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25.xml" ContentType="application/vnd.openxmlformats-officedocument.spreadsheetml.comments+xml"/>
  <Override PartName="/xl/drawings/drawing1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8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leobertoWagner-Cria\Documents\"/>
    </mc:Choice>
  </mc:AlternateContent>
  <xr:revisionPtr revIDLastSave="0" documentId="13_ncr:1_{F641A741-F7E7-4D66-8AFC-651796ABD4F8}" xr6:coauthVersionLast="47" xr6:coauthVersionMax="47" xr10:uidLastSave="{00000000-0000-0000-0000-000000000000}"/>
  <bookViews>
    <workbookView xWindow="-108" yWindow="-108" windowWidth="23256" windowHeight="12456" tabRatio="781" firstSheet="28" activeTab="35" xr2:uid="{CDCEEF57-DE8D-457B-988C-307BC264321E}"/>
  </bookViews>
  <sheets>
    <sheet name="Planilha6 (2)" sheetId="32" r:id="rId1"/>
    <sheet name="Julho23" sheetId="4" r:id="rId2"/>
    <sheet name="Agosto23" sheetId="5" r:id="rId3"/>
    <sheet name="Setembro23" sheetId="6" r:id="rId4"/>
    <sheet name="Outubro23" sheetId="9" r:id="rId5"/>
    <sheet name="Novembro23" sheetId="10" r:id="rId6"/>
    <sheet name="Dezembro23" sheetId="12" r:id="rId7"/>
    <sheet name="Janeiro 24" sheetId="13" r:id="rId8"/>
    <sheet name="Planilha4" sheetId="19" r:id="rId9"/>
    <sheet name="BD_USINAS_2024" sheetId="18" r:id="rId10"/>
    <sheet name="Folha1" sheetId="20" r:id="rId11"/>
    <sheet name="Fevereiro 24" sheetId="15" r:id="rId12"/>
    <sheet name="Folha3" sheetId="25" r:id="rId13"/>
    <sheet name="Folha2" sheetId="21" r:id="rId14"/>
    <sheet name="Março 24" sheetId="16" r:id="rId15"/>
    <sheet name="Abril 24" sheetId="23" r:id="rId16"/>
    <sheet name="Maio 24" sheetId="24" r:id="rId17"/>
    <sheet name="Junho 24" sheetId="26" r:id="rId18"/>
    <sheet name="Julho 24" sheetId="28" r:id="rId19"/>
    <sheet name="Agosto 24" sheetId="29" r:id="rId20"/>
    <sheet name="Setembro 24" sheetId="30" r:id="rId21"/>
    <sheet name="Outubro 24" sheetId="33" r:id="rId22"/>
    <sheet name="Novembro 24" sheetId="34" r:id="rId23"/>
    <sheet name="Dezembro 24" sheetId="35" r:id="rId24"/>
    <sheet name="Janeiro 25" sheetId="38" r:id="rId25"/>
    <sheet name="Fevereiro 25" sheetId="40" r:id="rId26"/>
    <sheet name="Março 25" sheetId="42" r:id="rId27"/>
    <sheet name="Abril 25" sheetId="43" r:id="rId28"/>
    <sheet name="Maio 25" sheetId="46" r:id="rId29"/>
    <sheet name="Junho 25" sheetId="47" r:id="rId30"/>
    <sheet name="Julho 25" sheetId="48" r:id="rId31"/>
    <sheet name="Planilha2" sheetId="22" r:id="rId32"/>
    <sheet name="Planilha1" sheetId="8" r:id="rId33"/>
    <sheet name="Controle ANO" sheetId="3" r:id="rId34"/>
    <sheet name="FCs estimados em PVsyst" sheetId="7" r:id="rId35"/>
    <sheet name="OESTE BIOGAS" sheetId="14" r:id="rId36"/>
    <sheet name="Geração - 01_2025" sheetId="39" r:id="rId37"/>
    <sheet name="Cadastro de OS" sheetId="11" r:id="rId38"/>
    <sheet name="Geração - 01_2024" sheetId="17" r:id="rId39"/>
    <sheet name="Geração - 01_2025 CM" sheetId="44" r:id="rId40"/>
    <sheet name="Planilha3" sheetId="27" r:id="rId41"/>
    <sheet name="Planilha7" sheetId="37" r:id="rId42"/>
    <sheet name="POT INST 25" sheetId="45" r:id="rId43"/>
  </sheets>
  <definedNames>
    <definedName name="_xlnm._FilterDatabase" localSheetId="9" hidden="1">BD_USINAS_2024!$A$1:$T$1691</definedName>
    <definedName name="_xlnm._FilterDatabase" localSheetId="38" hidden="1">'Geração - 01_2024'!$B$2:$Z$83</definedName>
    <definedName name="_xlnm._FilterDatabase" localSheetId="36" hidden="1">'Geração - 01_2025'!$B$2:$X$86</definedName>
    <definedName name="_xlnm._FilterDatabase" localSheetId="39" hidden="1">'Geração - 01_2025 CM'!$B$2:$X$83</definedName>
  </definedNames>
  <calcPr calcId="191028"/>
  <pivotCaches>
    <pivotCache cacheId="0" r:id="rId44"/>
    <pivotCache cacheId="1" r:id="rId4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" i="14" l="1"/>
  <c r="E18" i="14"/>
  <c r="F18" i="14"/>
  <c r="D19" i="14"/>
  <c r="E19" i="14"/>
  <c r="F19" i="14"/>
  <c r="G19" i="14"/>
  <c r="G18" i="14"/>
  <c r="AC6" i="14"/>
  <c r="H521" i="14"/>
  <c r="H522" i="14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G31" i="7"/>
  <c r="G30" i="7"/>
  <c r="I31" i="7"/>
  <c r="I30" i="7"/>
  <c r="P61" i="7"/>
  <c r="AB6" i="14"/>
  <c r="AA6" i="14"/>
  <c r="H520" i="14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Z6" i="14"/>
  <c r="H519" i="14"/>
  <c r="Y6" i="14"/>
  <c r="H518" i="14"/>
  <c r="X6" i="14"/>
  <c r="H517" i="14"/>
  <c r="W6" i="14"/>
  <c r="V6" i="14"/>
  <c r="U6" i="14"/>
  <c r="T6" i="14"/>
  <c r="S6" i="14"/>
  <c r="R6" i="14"/>
  <c r="Q6" i="14"/>
  <c r="P6" i="14"/>
  <c r="H516" i="14"/>
  <c r="H515" i="14" l="1"/>
  <c r="I19" i="14" s="1"/>
  <c r="H512" i="14"/>
  <c r="H513" i="14"/>
  <c r="H514" i="14"/>
  <c r="H511" i="14"/>
  <c r="K28" i="39"/>
  <c r="J28" i="39"/>
  <c r="L25" i="39"/>
  <c r="K25" i="39"/>
  <c r="J25" i="39"/>
  <c r="L22" i="39"/>
  <c r="K22" i="39"/>
  <c r="J22" i="39"/>
  <c r="L19" i="39"/>
  <c r="K19" i="39"/>
  <c r="J19" i="39"/>
  <c r="L16" i="39"/>
  <c r="K16" i="39"/>
  <c r="J16" i="39"/>
  <c r="T3" i="39"/>
  <c r="L13" i="39"/>
  <c r="K13" i="39"/>
  <c r="J13" i="39"/>
  <c r="L10" i="39"/>
  <c r="K10" i="39"/>
  <c r="J10" i="39"/>
  <c r="L4" i="39"/>
  <c r="K4" i="39"/>
  <c r="L7" i="39"/>
  <c r="K7" i="39"/>
  <c r="J7" i="39"/>
  <c r="J4" i="39"/>
  <c r="H510" i="14"/>
  <c r="E45" i="45"/>
  <c r="E40" i="45"/>
  <c r="E41" i="45"/>
  <c r="E42" i="45"/>
  <c r="E43" i="45"/>
  <c r="E44" i="45"/>
  <c r="E39" i="45"/>
  <c r="D45" i="45"/>
  <c r="H509" i="14"/>
  <c r="C45" i="45"/>
  <c r="O6" i="14"/>
  <c r="H508" i="14"/>
  <c r="C36" i="45"/>
  <c r="C47" i="45" s="1"/>
  <c r="N6" i="14"/>
  <c r="H507" i="14"/>
  <c r="M6" i="14"/>
  <c r="H506" i="14"/>
  <c r="L6" i="14"/>
  <c r="H505" i="14"/>
  <c r="K6" i="14"/>
  <c r="H504" i="14"/>
  <c r="J6" i="14"/>
  <c r="H503" i="14"/>
  <c r="I6" i="14"/>
  <c r="H502" i="14"/>
  <c r="H6" i="14"/>
  <c r="G6" i="14"/>
  <c r="H500" i="14"/>
  <c r="H501" i="14"/>
  <c r="F6" i="14"/>
  <c r="E6" i="14"/>
  <c r="H499" i="14"/>
  <c r="H498" i="14"/>
  <c r="H497" i="14"/>
  <c r="O61" i="7"/>
  <c r="AH33" i="48"/>
  <c r="I68" i="48"/>
  <c r="J68" i="48" s="1"/>
  <c r="K68" i="48" s="1"/>
  <c r="L68" i="48" s="1"/>
  <c r="M68" i="48" s="1"/>
  <c r="N68" i="48" s="1"/>
  <c r="O68" i="48" s="1"/>
  <c r="P68" i="48" s="1"/>
  <c r="Q68" i="48" s="1"/>
  <c r="R68" i="48" s="1"/>
  <c r="S68" i="48" s="1"/>
  <c r="T68" i="48" s="1"/>
  <c r="U68" i="48" s="1"/>
  <c r="V68" i="48" s="1"/>
  <c r="D68" i="48"/>
  <c r="E68" i="48" s="1"/>
  <c r="F68" i="48" s="1"/>
  <c r="I67" i="48"/>
  <c r="J67" i="48" s="1"/>
  <c r="K67" i="48" s="1"/>
  <c r="L67" i="48" s="1"/>
  <c r="M67" i="48" s="1"/>
  <c r="N67" i="48" s="1"/>
  <c r="O67" i="48" s="1"/>
  <c r="P67" i="48" s="1"/>
  <c r="Q67" i="48" s="1"/>
  <c r="R67" i="48" s="1"/>
  <c r="S67" i="48" s="1"/>
  <c r="T67" i="48" s="1"/>
  <c r="U67" i="48" s="1"/>
  <c r="V67" i="48" s="1"/>
  <c r="D67" i="48"/>
  <c r="E67" i="48" s="1"/>
  <c r="F67" i="48" s="1"/>
  <c r="I66" i="48"/>
  <c r="J66" i="48" s="1"/>
  <c r="K66" i="48" s="1"/>
  <c r="L66" i="48" s="1"/>
  <c r="M66" i="48" s="1"/>
  <c r="N66" i="48" s="1"/>
  <c r="O66" i="48" s="1"/>
  <c r="P66" i="48" s="1"/>
  <c r="Q66" i="48" s="1"/>
  <c r="R66" i="48" s="1"/>
  <c r="S66" i="48" s="1"/>
  <c r="T66" i="48" s="1"/>
  <c r="U66" i="48" s="1"/>
  <c r="V66" i="48" s="1"/>
  <c r="E66" i="48"/>
  <c r="F66" i="48" s="1"/>
  <c r="D66" i="48"/>
  <c r="I65" i="48"/>
  <c r="J65" i="48" s="1"/>
  <c r="K65" i="48" s="1"/>
  <c r="L65" i="48" s="1"/>
  <c r="M65" i="48" s="1"/>
  <c r="N65" i="48" s="1"/>
  <c r="O65" i="48" s="1"/>
  <c r="P65" i="48" s="1"/>
  <c r="Q65" i="48" s="1"/>
  <c r="R65" i="48" s="1"/>
  <c r="S65" i="48" s="1"/>
  <c r="T65" i="48" s="1"/>
  <c r="U65" i="48" s="1"/>
  <c r="V65" i="48" s="1"/>
  <c r="D65" i="48"/>
  <c r="E65" i="48" s="1"/>
  <c r="F65" i="48" s="1"/>
  <c r="I64" i="48"/>
  <c r="J64" i="48" s="1"/>
  <c r="K64" i="48" s="1"/>
  <c r="L64" i="48" s="1"/>
  <c r="M64" i="48" s="1"/>
  <c r="N64" i="48" s="1"/>
  <c r="O64" i="48" s="1"/>
  <c r="P64" i="48" s="1"/>
  <c r="Q64" i="48" s="1"/>
  <c r="R64" i="48" s="1"/>
  <c r="S64" i="48" s="1"/>
  <c r="T64" i="48" s="1"/>
  <c r="U64" i="48" s="1"/>
  <c r="V64" i="48" s="1"/>
  <c r="D64" i="48"/>
  <c r="E64" i="48" s="1"/>
  <c r="F64" i="48" s="1"/>
  <c r="I63" i="48"/>
  <c r="J63" i="48" s="1"/>
  <c r="K63" i="48" s="1"/>
  <c r="L63" i="48" s="1"/>
  <c r="M63" i="48" s="1"/>
  <c r="N63" i="48" s="1"/>
  <c r="O63" i="48" s="1"/>
  <c r="P63" i="48" s="1"/>
  <c r="Q63" i="48" s="1"/>
  <c r="R63" i="48" s="1"/>
  <c r="S63" i="48" s="1"/>
  <c r="T63" i="48" s="1"/>
  <c r="U63" i="48" s="1"/>
  <c r="V63" i="48" s="1"/>
  <c r="D63" i="48"/>
  <c r="E63" i="48" s="1"/>
  <c r="F63" i="48" s="1"/>
  <c r="I62" i="48"/>
  <c r="J62" i="48" s="1"/>
  <c r="K62" i="48" s="1"/>
  <c r="L62" i="48" s="1"/>
  <c r="M62" i="48" s="1"/>
  <c r="N62" i="48" s="1"/>
  <c r="O62" i="48" s="1"/>
  <c r="P62" i="48" s="1"/>
  <c r="Q62" i="48" s="1"/>
  <c r="R62" i="48" s="1"/>
  <c r="S62" i="48" s="1"/>
  <c r="T62" i="48" s="1"/>
  <c r="U62" i="48" s="1"/>
  <c r="V62" i="48" s="1"/>
  <c r="D62" i="48"/>
  <c r="E62" i="48" s="1"/>
  <c r="F62" i="48" s="1"/>
  <c r="I61" i="48"/>
  <c r="J61" i="48" s="1"/>
  <c r="K61" i="48" s="1"/>
  <c r="L61" i="48" s="1"/>
  <c r="M61" i="48" s="1"/>
  <c r="N61" i="48" s="1"/>
  <c r="O61" i="48" s="1"/>
  <c r="P61" i="48" s="1"/>
  <c r="Q61" i="48" s="1"/>
  <c r="R61" i="48" s="1"/>
  <c r="S61" i="48" s="1"/>
  <c r="T61" i="48" s="1"/>
  <c r="U61" i="48" s="1"/>
  <c r="V61" i="48" s="1"/>
  <c r="D61" i="48"/>
  <c r="E61" i="48" s="1"/>
  <c r="F61" i="48" s="1"/>
  <c r="I60" i="48"/>
  <c r="J60" i="48" s="1"/>
  <c r="K60" i="48" s="1"/>
  <c r="L60" i="48" s="1"/>
  <c r="M60" i="48" s="1"/>
  <c r="N60" i="48" s="1"/>
  <c r="O60" i="48" s="1"/>
  <c r="P60" i="48" s="1"/>
  <c r="Q60" i="48" s="1"/>
  <c r="R60" i="48" s="1"/>
  <c r="S60" i="48" s="1"/>
  <c r="T60" i="48" s="1"/>
  <c r="U60" i="48" s="1"/>
  <c r="V60" i="48" s="1"/>
  <c r="D60" i="48"/>
  <c r="E60" i="48" s="1"/>
  <c r="F60" i="48" s="1"/>
  <c r="I59" i="48"/>
  <c r="J59" i="48" s="1"/>
  <c r="K59" i="48" s="1"/>
  <c r="L59" i="48" s="1"/>
  <c r="M59" i="48" s="1"/>
  <c r="N59" i="48" s="1"/>
  <c r="O59" i="48" s="1"/>
  <c r="P59" i="48" s="1"/>
  <c r="Q59" i="48" s="1"/>
  <c r="R59" i="48" s="1"/>
  <c r="S59" i="48" s="1"/>
  <c r="T59" i="48" s="1"/>
  <c r="U59" i="48" s="1"/>
  <c r="V59" i="48" s="1"/>
  <c r="D59" i="48"/>
  <c r="E59" i="48" s="1"/>
  <c r="F59" i="48" s="1"/>
  <c r="I58" i="48"/>
  <c r="J58" i="48" s="1"/>
  <c r="K58" i="48" s="1"/>
  <c r="L58" i="48" s="1"/>
  <c r="M58" i="48" s="1"/>
  <c r="N58" i="48" s="1"/>
  <c r="O58" i="48" s="1"/>
  <c r="P58" i="48" s="1"/>
  <c r="Q58" i="48" s="1"/>
  <c r="R58" i="48" s="1"/>
  <c r="S58" i="48" s="1"/>
  <c r="T58" i="48" s="1"/>
  <c r="U58" i="48" s="1"/>
  <c r="V58" i="48" s="1"/>
  <c r="D58" i="48"/>
  <c r="E58" i="48" s="1"/>
  <c r="F58" i="48" s="1"/>
  <c r="I57" i="48"/>
  <c r="J57" i="48" s="1"/>
  <c r="K57" i="48" s="1"/>
  <c r="L57" i="48" s="1"/>
  <c r="M57" i="48" s="1"/>
  <c r="N57" i="48" s="1"/>
  <c r="O57" i="48" s="1"/>
  <c r="P57" i="48" s="1"/>
  <c r="Q57" i="48" s="1"/>
  <c r="R57" i="48" s="1"/>
  <c r="S57" i="48" s="1"/>
  <c r="T57" i="48" s="1"/>
  <c r="U57" i="48" s="1"/>
  <c r="V57" i="48" s="1"/>
  <c r="D57" i="48"/>
  <c r="E57" i="48" s="1"/>
  <c r="F57" i="48" s="1"/>
  <c r="I56" i="48"/>
  <c r="J56" i="48" s="1"/>
  <c r="K56" i="48" s="1"/>
  <c r="L56" i="48" s="1"/>
  <c r="M56" i="48" s="1"/>
  <c r="N56" i="48" s="1"/>
  <c r="O56" i="48" s="1"/>
  <c r="P56" i="48" s="1"/>
  <c r="Q56" i="48" s="1"/>
  <c r="R56" i="48" s="1"/>
  <c r="S56" i="48" s="1"/>
  <c r="T56" i="48" s="1"/>
  <c r="U56" i="48" s="1"/>
  <c r="V56" i="48" s="1"/>
  <c r="D56" i="48"/>
  <c r="E56" i="48" s="1"/>
  <c r="F56" i="48" s="1"/>
  <c r="I55" i="48"/>
  <c r="J55" i="48" s="1"/>
  <c r="K55" i="48" s="1"/>
  <c r="L55" i="48" s="1"/>
  <c r="M55" i="48" s="1"/>
  <c r="N55" i="48" s="1"/>
  <c r="O55" i="48" s="1"/>
  <c r="P55" i="48" s="1"/>
  <c r="Q55" i="48" s="1"/>
  <c r="R55" i="48" s="1"/>
  <c r="S55" i="48" s="1"/>
  <c r="T55" i="48" s="1"/>
  <c r="U55" i="48" s="1"/>
  <c r="V55" i="48" s="1"/>
  <c r="D55" i="48"/>
  <c r="E55" i="48" s="1"/>
  <c r="F55" i="48" s="1"/>
  <c r="I54" i="48"/>
  <c r="J54" i="48" s="1"/>
  <c r="K54" i="48" s="1"/>
  <c r="L54" i="48" s="1"/>
  <c r="M54" i="48" s="1"/>
  <c r="N54" i="48" s="1"/>
  <c r="O54" i="48" s="1"/>
  <c r="P54" i="48" s="1"/>
  <c r="Q54" i="48" s="1"/>
  <c r="R54" i="48" s="1"/>
  <c r="S54" i="48" s="1"/>
  <c r="T54" i="48" s="1"/>
  <c r="U54" i="48" s="1"/>
  <c r="V54" i="48" s="1"/>
  <c r="D54" i="48"/>
  <c r="E54" i="48" s="1"/>
  <c r="F54" i="48" s="1"/>
  <c r="I53" i="48"/>
  <c r="J53" i="48" s="1"/>
  <c r="K53" i="48" s="1"/>
  <c r="L53" i="48" s="1"/>
  <c r="M53" i="48" s="1"/>
  <c r="N53" i="48" s="1"/>
  <c r="O53" i="48" s="1"/>
  <c r="P53" i="48" s="1"/>
  <c r="Q53" i="48" s="1"/>
  <c r="R53" i="48" s="1"/>
  <c r="S53" i="48" s="1"/>
  <c r="T53" i="48" s="1"/>
  <c r="U53" i="48" s="1"/>
  <c r="V53" i="48" s="1"/>
  <c r="D53" i="48"/>
  <c r="E53" i="48" s="1"/>
  <c r="F53" i="48" s="1"/>
  <c r="I52" i="48"/>
  <c r="J52" i="48" s="1"/>
  <c r="K52" i="48" s="1"/>
  <c r="L52" i="48" s="1"/>
  <c r="M52" i="48" s="1"/>
  <c r="N52" i="48" s="1"/>
  <c r="O52" i="48" s="1"/>
  <c r="P52" i="48" s="1"/>
  <c r="Q52" i="48" s="1"/>
  <c r="R52" i="48" s="1"/>
  <c r="S52" i="48" s="1"/>
  <c r="T52" i="48" s="1"/>
  <c r="U52" i="48" s="1"/>
  <c r="V52" i="48" s="1"/>
  <c r="D52" i="48"/>
  <c r="E52" i="48" s="1"/>
  <c r="F52" i="48" s="1"/>
  <c r="I51" i="48"/>
  <c r="J51" i="48" s="1"/>
  <c r="K51" i="48" s="1"/>
  <c r="D51" i="48"/>
  <c r="E51" i="48" s="1"/>
  <c r="F51" i="48" s="1"/>
  <c r="I50" i="48"/>
  <c r="J50" i="48" s="1"/>
  <c r="K50" i="48" s="1"/>
  <c r="L50" i="48" s="1"/>
  <c r="M50" i="48" s="1"/>
  <c r="N50" i="48" s="1"/>
  <c r="O50" i="48" s="1"/>
  <c r="P50" i="48" s="1"/>
  <c r="Q50" i="48" s="1"/>
  <c r="R50" i="48" s="1"/>
  <c r="S50" i="48" s="1"/>
  <c r="T50" i="48" s="1"/>
  <c r="U50" i="48" s="1"/>
  <c r="V50" i="48" s="1"/>
  <c r="D50" i="48"/>
  <c r="E50" i="48" s="1"/>
  <c r="F50" i="48" s="1"/>
  <c r="I49" i="48"/>
  <c r="J49" i="48" s="1"/>
  <c r="K49" i="48" s="1"/>
  <c r="L49" i="48" s="1"/>
  <c r="M49" i="48" s="1"/>
  <c r="N49" i="48" s="1"/>
  <c r="O49" i="48" s="1"/>
  <c r="P49" i="48" s="1"/>
  <c r="Q49" i="48" s="1"/>
  <c r="R49" i="48" s="1"/>
  <c r="S49" i="48" s="1"/>
  <c r="T49" i="48" s="1"/>
  <c r="U49" i="48" s="1"/>
  <c r="V49" i="48" s="1"/>
  <c r="D49" i="48"/>
  <c r="E49" i="48" s="1"/>
  <c r="F49" i="48" s="1"/>
  <c r="I48" i="48"/>
  <c r="J48" i="48" s="1"/>
  <c r="K48" i="48" s="1"/>
  <c r="L48" i="48" s="1"/>
  <c r="M48" i="48" s="1"/>
  <c r="N48" i="48" s="1"/>
  <c r="O48" i="48" s="1"/>
  <c r="P48" i="48" s="1"/>
  <c r="Q48" i="48" s="1"/>
  <c r="R48" i="48" s="1"/>
  <c r="S48" i="48" s="1"/>
  <c r="T48" i="48" s="1"/>
  <c r="U48" i="48" s="1"/>
  <c r="V48" i="48" s="1"/>
  <c r="D48" i="48"/>
  <c r="E48" i="48" s="1"/>
  <c r="F48" i="48" s="1"/>
  <c r="I47" i="48"/>
  <c r="J47" i="48" s="1"/>
  <c r="K47" i="48" s="1"/>
  <c r="L47" i="48" s="1"/>
  <c r="M47" i="48" s="1"/>
  <c r="N47" i="48" s="1"/>
  <c r="O47" i="48" s="1"/>
  <c r="P47" i="48" s="1"/>
  <c r="Q47" i="48" s="1"/>
  <c r="R47" i="48" s="1"/>
  <c r="S47" i="48" s="1"/>
  <c r="T47" i="48" s="1"/>
  <c r="U47" i="48" s="1"/>
  <c r="V47" i="48" s="1"/>
  <c r="D47" i="48"/>
  <c r="E47" i="48" s="1"/>
  <c r="F47" i="48" s="1"/>
  <c r="H46" i="48"/>
  <c r="I46" i="48" s="1"/>
  <c r="J46" i="48" s="1"/>
  <c r="K46" i="48" s="1"/>
  <c r="L46" i="48" s="1"/>
  <c r="M46" i="48" s="1"/>
  <c r="N46" i="48" s="1"/>
  <c r="O46" i="48" s="1"/>
  <c r="P46" i="48" s="1"/>
  <c r="Q46" i="48" s="1"/>
  <c r="R46" i="48" s="1"/>
  <c r="S46" i="48" s="1"/>
  <c r="T46" i="48" s="1"/>
  <c r="U46" i="48" s="1"/>
  <c r="V46" i="48" s="1"/>
  <c r="G46" i="48"/>
  <c r="D46" i="48"/>
  <c r="E46" i="48" s="1"/>
  <c r="F46" i="48" s="1"/>
  <c r="AM45" i="48"/>
  <c r="I45" i="48"/>
  <c r="J45" i="48" s="1"/>
  <c r="K45" i="48" s="1"/>
  <c r="L45" i="48" s="1"/>
  <c r="M45" i="48" s="1"/>
  <c r="N45" i="48" s="1"/>
  <c r="O45" i="48" s="1"/>
  <c r="P45" i="48" s="1"/>
  <c r="Q45" i="48" s="1"/>
  <c r="R45" i="48" s="1"/>
  <c r="S45" i="48" s="1"/>
  <c r="T45" i="48" s="1"/>
  <c r="U45" i="48" s="1"/>
  <c r="V45" i="48" s="1"/>
  <c r="D45" i="48"/>
  <c r="E45" i="48" s="1"/>
  <c r="F45" i="48" s="1"/>
  <c r="AG43" i="48"/>
  <c r="AA43" i="48"/>
  <c r="Z43" i="48"/>
  <c r="T43" i="48"/>
  <c r="S43" i="48"/>
  <c r="M43" i="48"/>
  <c r="L43" i="48"/>
  <c r="F43" i="48"/>
  <c r="E43" i="48"/>
  <c r="AF41" i="48"/>
  <c r="AF42" i="48" s="1"/>
  <c r="O41" i="48"/>
  <c r="AE40" i="48"/>
  <c r="AC40" i="48"/>
  <c r="I39" i="48"/>
  <c r="T38" i="48"/>
  <c r="N37" i="48"/>
  <c r="L37" i="48"/>
  <c r="AJ33" i="48"/>
  <c r="AG33" i="48"/>
  <c r="AF33" i="48"/>
  <c r="AE33" i="48"/>
  <c r="AD33" i="48"/>
  <c r="AC33" i="48"/>
  <c r="AB33" i="48"/>
  <c r="AA33" i="48"/>
  <c r="Z33" i="48"/>
  <c r="Y33" i="48"/>
  <c r="X33" i="48"/>
  <c r="V33" i="48"/>
  <c r="U33" i="48"/>
  <c r="S33" i="48"/>
  <c r="R33" i="48"/>
  <c r="Q33" i="48"/>
  <c r="P33" i="48"/>
  <c r="O33" i="48"/>
  <c r="N33" i="48"/>
  <c r="M33" i="48"/>
  <c r="L33" i="48"/>
  <c r="K33" i="48"/>
  <c r="J33" i="48"/>
  <c r="I33" i="48"/>
  <c r="H33" i="48"/>
  <c r="G33" i="48"/>
  <c r="F33" i="48"/>
  <c r="E33" i="48"/>
  <c r="D33" i="48"/>
  <c r="BO32" i="48"/>
  <c r="BN32" i="48"/>
  <c r="BM32" i="48"/>
  <c r="BL32" i="48"/>
  <c r="BK32" i="48"/>
  <c r="BJ32" i="48"/>
  <c r="BI32" i="48"/>
  <c r="BH32" i="48"/>
  <c r="BG32" i="48"/>
  <c r="BF32" i="48"/>
  <c r="BE32" i="48"/>
  <c r="BD32" i="48"/>
  <c r="BC32" i="48"/>
  <c r="BB32" i="48"/>
  <c r="BA32" i="48"/>
  <c r="AZ32" i="48"/>
  <c r="AY32" i="48"/>
  <c r="AX32" i="48"/>
  <c r="AW32" i="48"/>
  <c r="AV32" i="48"/>
  <c r="AU32" i="48"/>
  <c r="AT32" i="48"/>
  <c r="AS32" i="48"/>
  <c r="AR32" i="48"/>
  <c r="AQ32" i="48"/>
  <c r="AP32" i="48"/>
  <c r="AO32" i="48"/>
  <c r="AN32" i="48"/>
  <c r="AM32" i="48"/>
  <c r="AL32" i="48"/>
  <c r="AI32" i="48"/>
  <c r="BP32" i="48" s="1"/>
  <c r="BO31" i="48"/>
  <c r="BN31" i="48"/>
  <c r="BM31" i="48"/>
  <c r="BL31" i="48"/>
  <c r="BK31" i="48"/>
  <c r="BJ31" i="48"/>
  <c r="BI31" i="48"/>
  <c r="BH31" i="48"/>
  <c r="BG31" i="48"/>
  <c r="BF31" i="48"/>
  <c r="BE31" i="48"/>
  <c r="BD31" i="48"/>
  <c r="BC31" i="48"/>
  <c r="BB31" i="48"/>
  <c r="BA31" i="48"/>
  <c r="AZ31" i="48"/>
  <c r="AY31" i="48"/>
  <c r="AX31" i="48"/>
  <c r="AW31" i="48"/>
  <c r="AV31" i="48"/>
  <c r="AU31" i="48"/>
  <c r="AT31" i="48"/>
  <c r="AS31" i="48"/>
  <c r="AR31" i="48"/>
  <c r="AQ31" i="48"/>
  <c r="AP31" i="48"/>
  <c r="AO31" i="48"/>
  <c r="AN31" i="48"/>
  <c r="AM31" i="48"/>
  <c r="AL31" i="48"/>
  <c r="AK31" i="48"/>
  <c r="AI31" i="48"/>
  <c r="BP31" i="48" s="1"/>
  <c r="BO30" i="48"/>
  <c r="BN30" i="48"/>
  <c r="BM30" i="48"/>
  <c r="BL30" i="48"/>
  <c r="BK30" i="48"/>
  <c r="BJ30" i="48"/>
  <c r="BI30" i="48"/>
  <c r="BH30" i="48"/>
  <c r="BG30" i="48"/>
  <c r="BF30" i="48"/>
  <c r="BE30" i="48"/>
  <c r="BD30" i="48"/>
  <c r="BC30" i="48"/>
  <c r="BB30" i="48"/>
  <c r="BA30" i="48"/>
  <c r="AZ30" i="48"/>
  <c r="AY30" i="48"/>
  <c r="AX30" i="48"/>
  <c r="AW30" i="48"/>
  <c r="AV30" i="48"/>
  <c r="AU30" i="48"/>
  <c r="AT30" i="48"/>
  <c r="AS30" i="48"/>
  <c r="AR30" i="48"/>
  <c r="AQ30" i="48"/>
  <c r="AP30" i="48"/>
  <c r="AO30" i="48"/>
  <c r="AN30" i="48"/>
  <c r="AM30" i="48"/>
  <c r="AL30" i="48"/>
  <c r="AK30" i="48"/>
  <c r="AI30" i="48"/>
  <c r="BP30" i="48" s="1"/>
  <c r="BO29" i="48"/>
  <c r="BN29" i="48"/>
  <c r="BM29" i="48"/>
  <c r="BL29" i="48"/>
  <c r="BK29" i="48"/>
  <c r="BJ29" i="48"/>
  <c r="BI29" i="48"/>
  <c r="BH29" i="48"/>
  <c r="BG29" i="48"/>
  <c r="BF29" i="48"/>
  <c r="BE29" i="48"/>
  <c r="BD29" i="48"/>
  <c r="BC29" i="48"/>
  <c r="BB29" i="48"/>
  <c r="BA29" i="48"/>
  <c r="AZ29" i="48"/>
  <c r="AY29" i="48"/>
  <c r="AX29" i="48"/>
  <c r="AW29" i="48"/>
  <c r="AV29" i="48"/>
  <c r="AU29" i="48"/>
  <c r="AT29" i="48"/>
  <c r="AS29" i="48"/>
  <c r="AR29" i="48"/>
  <c r="AQ29" i="48"/>
  <c r="AP29" i="48"/>
  <c r="AO29" i="48"/>
  <c r="AN29" i="48"/>
  <c r="AM29" i="48"/>
  <c r="AL29" i="48"/>
  <c r="AK29" i="48"/>
  <c r="AI29" i="48"/>
  <c r="BP29" i="48" s="1"/>
  <c r="BO28" i="48"/>
  <c r="BN28" i="48"/>
  <c r="BM28" i="48"/>
  <c r="BL28" i="48"/>
  <c r="BK28" i="48"/>
  <c r="BJ28" i="48"/>
  <c r="BI28" i="48"/>
  <c r="BH28" i="48"/>
  <c r="BG28" i="48"/>
  <c r="BF28" i="48"/>
  <c r="BE28" i="48"/>
  <c r="BD28" i="48"/>
  <c r="BC28" i="48"/>
  <c r="BB28" i="48"/>
  <c r="BA28" i="48"/>
  <c r="AZ28" i="48"/>
  <c r="AY28" i="48"/>
  <c r="AX28" i="48"/>
  <c r="AW28" i="48"/>
  <c r="AV28" i="48"/>
  <c r="AU28" i="48"/>
  <c r="AT28" i="48"/>
  <c r="AS28" i="48"/>
  <c r="AR28" i="48"/>
  <c r="AQ28" i="48"/>
  <c r="AP28" i="48"/>
  <c r="AO28" i="48"/>
  <c r="AN28" i="48"/>
  <c r="AM28" i="48"/>
  <c r="AL28" i="48"/>
  <c r="AK28" i="48"/>
  <c r="AI28" i="48"/>
  <c r="BP28" i="48" s="1"/>
  <c r="BO27" i="48"/>
  <c r="BN27" i="48"/>
  <c r="BM27" i="48"/>
  <c r="BL27" i="48"/>
  <c r="BK27" i="48"/>
  <c r="BJ27" i="48"/>
  <c r="BI27" i="48"/>
  <c r="BH27" i="48"/>
  <c r="BG27" i="48"/>
  <c r="BF27" i="48"/>
  <c r="BE27" i="48"/>
  <c r="BD27" i="48"/>
  <c r="BC27" i="48"/>
  <c r="BB27" i="48"/>
  <c r="BA27" i="48"/>
  <c r="AZ27" i="48"/>
  <c r="AY27" i="48"/>
  <c r="AX27" i="48"/>
  <c r="AW27" i="48"/>
  <c r="AV27" i="48"/>
  <c r="AU27" i="48"/>
  <c r="AT27" i="48"/>
  <c r="AS27" i="48"/>
  <c r="AR27" i="48"/>
  <c r="AQ27" i="48"/>
  <c r="AP27" i="48"/>
  <c r="AO27" i="48"/>
  <c r="AN27" i="48"/>
  <c r="AM27" i="48"/>
  <c r="AL27" i="48"/>
  <c r="AK27" i="48"/>
  <c r="AI27" i="48"/>
  <c r="BP27" i="48" s="1"/>
  <c r="BO26" i="48"/>
  <c r="BN26" i="48"/>
  <c r="BM26" i="48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I26" i="48"/>
  <c r="BP26" i="48" s="1"/>
  <c r="BO25" i="48"/>
  <c r="BN25" i="48"/>
  <c r="BM25" i="48"/>
  <c r="BL25" i="48"/>
  <c r="BK25" i="48"/>
  <c r="BJ25" i="48"/>
  <c r="BI25" i="48"/>
  <c r="BH25" i="48"/>
  <c r="BG25" i="48"/>
  <c r="BF25" i="48"/>
  <c r="BE25" i="48"/>
  <c r="BD25" i="48"/>
  <c r="BC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I25" i="48"/>
  <c r="BP25" i="48" s="1"/>
  <c r="BO24" i="48"/>
  <c r="BN24" i="48"/>
  <c r="BM24" i="48"/>
  <c r="BL24" i="48"/>
  <c r="BK24" i="48"/>
  <c r="BJ24" i="48"/>
  <c r="BI24" i="48"/>
  <c r="BH24" i="48"/>
  <c r="BG24" i="48"/>
  <c r="BF24" i="48"/>
  <c r="BE24" i="48"/>
  <c r="BD24" i="48"/>
  <c r="BC24" i="48"/>
  <c r="BB24" i="48"/>
  <c r="BA24" i="48"/>
  <c r="AZ24" i="48"/>
  <c r="AY24" i="48"/>
  <c r="AX24" i="48"/>
  <c r="AW24" i="48"/>
  <c r="AV24" i="48"/>
  <c r="AU24" i="48"/>
  <c r="AT24" i="48"/>
  <c r="AS24" i="48"/>
  <c r="AR24" i="48"/>
  <c r="AQ24" i="48"/>
  <c r="AP24" i="48"/>
  <c r="AO24" i="48"/>
  <c r="AN24" i="48"/>
  <c r="AM24" i="48"/>
  <c r="AL24" i="48"/>
  <c r="AK24" i="48"/>
  <c r="AI24" i="48"/>
  <c r="BP24" i="48" s="1"/>
  <c r="BO23" i="48"/>
  <c r="BN23" i="48"/>
  <c r="BM23" i="48"/>
  <c r="BL23" i="48"/>
  <c r="BK23" i="48"/>
  <c r="BJ23" i="48"/>
  <c r="BI23" i="48"/>
  <c r="BH23" i="48"/>
  <c r="BG23" i="48"/>
  <c r="BF23" i="48"/>
  <c r="BE23" i="48"/>
  <c r="BD23" i="48"/>
  <c r="BC23" i="48"/>
  <c r="BB23" i="48"/>
  <c r="BA23" i="48"/>
  <c r="AZ23" i="48"/>
  <c r="AY23" i="48"/>
  <c r="AX23" i="48"/>
  <c r="AW23" i="48"/>
  <c r="AV23" i="48"/>
  <c r="AU23" i="48"/>
  <c r="AT23" i="48"/>
  <c r="AS23" i="48"/>
  <c r="AR23" i="48"/>
  <c r="AQ23" i="48"/>
  <c r="AP23" i="48"/>
  <c r="AO23" i="48"/>
  <c r="AN23" i="48"/>
  <c r="AM23" i="48"/>
  <c r="AL23" i="48"/>
  <c r="AK23" i="48"/>
  <c r="AI23" i="48"/>
  <c r="BP23" i="48" s="1"/>
  <c r="BO22" i="48"/>
  <c r="BN22" i="48"/>
  <c r="BM22" i="48"/>
  <c r="BL22" i="48"/>
  <c r="BK22" i="48"/>
  <c r="BJ22" i="48"/>
  <c r="BI22" i="48"/>
  <c r="BH22" i="48"/>
  <c r="BG22" i="48"/>
  <c r="BF22" i="48"/>
  <c r="BE22" i="48"/>
  <c r="BD22" i="48"/>
  <c r="BC22" i="48"/>
  <c r="BB22" i="48"/>
  <c r="BA22" i="48"/>
  <c r="AZ22" i="48"/>
  <c r="AY22" i="48"/>
  <c r="AX22" i="48"/>
  <c r="AW22" i="48"/>
  <c r="AV22" i="48"/>
  <c r="AU22" i="48"/>
  <c r="AT22" i="48"/>
  <c r="AS22" i="48"/>
  <c r="AR22" i="48"/>
  <c r="AQ22" i="48"/>
  <c r="AP22" i="48"/>
  <c r="AO22" i="48"/>
  <c r="AN22" i="48"/>
  <c r="AM22" i="48"/>
  <c r="AL22" i="48"/>
  <c r="AK22" i="48"/>
  <c r="AI22" i="48"/>
  <c r="BP22" i="48" s="1"/>
  <c r="BO21" i="48"/>
  <c r="BN21" i="48"/>
  <c r="BM21" i="48"/>
  <c r="BL21" i="48"/>
  <c r="BK21" i="48"/>
  <c r="BJ21" i="48"/>
  <c r="BI21" i="48"/>
  <c r="BH21" i="48"/>
  <c r="BG21" i="48"/>
  <c r="BF21" i="48"/>
  <c r="BE21" i="48"/>
  <c r="BD21" i="48"/>
  <c r="BC21" i="48"/>
  <c r="BB21" i="48"/>
  <c r="BA21" i="48"/>
  <c r="AZ21" i="48"/>
  <c r="AY21" i="48"/>
  <c r="AX21" i="48"/>
  <c r="AW21" i="48"/>
  <c r="AV21" i="48"/>
  <c r="AU21" i="48"/>
  <c r="AT21" i="48"/>
  <c r="AS21" i="48"/>
  <c r="AR21" i="48"/>
  <c r="AQ21" i="48"/>
  <c r="AP21" i="48"/>
  <c r="AO21" i="48"/>
  <c r="AN21" i="48"/>
  <c r="AM21" i="48"/>
  <c r="AL21" i="48"/>
  <c r="AK21" i="48"/>
  <c r="AI21" i="48"/>
  <c r="BP21" i="48" s="1"/>
  <c r="BQ20" i="48"/>
  <c r="BQ28" i="48" s="1"/>
  <c r="BO20" i="48"/>
  <c r="BN20" i="48"/>
  <c r="BM20" i="48"/>
  <c r="BL20" i="48"/>
  <c r="BK20" i="48"/>
  <c r="BJ20" i="48"/>
  <c r="BI20" i="48"/>
  <c r="BH20" i="48"/>
  <c r="BG20" i="48"/>
  <c r="BF20" i="48"/>
  <c r="BE20" i="48"/>
  <c r="BD20" i="48"/>
  <c r="BC20" i="48"/>
  <c r="BB20" i="48"/>
  <c r="BA20" i="48"/>
  <c r="AZ20" i="48"/>
  <c r="AY20" i="48"/>
  <c r="AX20" i="48"/>
  <c r="AW20" i="48"/>
  <c r="AV20" i="48"/>
  <c r="AU20" i="48"/>
  <c r="AT20" i="48"/>
  <c r="AS20" i="48"/>
  <c r="AR20" i="48"/>
  <c r="AQ20" i="48"/>
  <c r="AP20" i="48"/>
  <c r="AO20" i="48"/>
  <c r="AN20" i="48"/>
  <c r="AM20" i="48"/>
  <c r="AL20" i="48"/>
  <c r="AK20" i="48"/>
  <c r="AI20" i="48"/>
  <c r="BP20" i="48" s="1"/>
  <c r="BT20" i="48" s="1"/>
  <c r="BQ19" i="48"/>
  <c r="BR19" i="48" s="1"/>
  <c r="BO19" i="48"/>
  <c r="BN19" i="48"/>
  <c r="BM19" i="48"/>
  <c r="BL19" i="48"/>
  <c r="BK19" i="48"/>
  <c r="BJ19" i="48"/>
  <c r="BI19" i="48"/>
  <c r="BH19" i="48"/>
  <c r="BG19" i="48"/>
  <c r="BF19" i="48"/>
  <c r="BE19" i="48"/>
  <c r="BD19" i="48"/>
  <c r="BC19" i="48"/>
  <c r="BB19" i="48"/>
  <c r="BA19" i="48"/>
  <c r="AZ19" i="48"/>
  <c r="AY19" i="48"/>
  <c r="AX19" i="48"/>
  <c r="AW19" i="48"/>
  <c r="AV19" i="48"/>
  <c r="AU19" i="48"/>
  <c r="AT19" i="48"/>
  <c r="AS19" i="48"/>
  <c r="AR19" i="48"/>
  <c r="AQ19" i="48"/>
  <c r="AP19" i="48"/>
  <c r="AO19" i="48"/>
  <c r="AN19" i="48"/>
  <c r="AM19" i="48"/>
  <c r="AL19" i="48"/>
  <c r="AK19" i="48"/>
  <c r="AI19" i="48"/>
  <c r="BP19" i="48" s="1"/>
  <c r="BT19" i="48" s="1"/>
  <c r="BO18" i="48"/>
  <c r="BN18" i="48"/>
  <c r="BM18" i="48"/>
  <c r="BL18" i="48"/>
  <c r="BK18" i="48"/>
  <c r="BJ18" i="48"/>
  <c r="BI18" i="48"/>
  <c r="BH18" i="48"/>
  <c r="BG18" i="48"/>
  <c r="BF18" i="48"/>
  <c r="BE18" i="48"/>
  <c r="BD18" i="48"/>
  <c r="BC18" i="48"/>
  <c r="BB18" i="48"/>
  <c r="BA18" i="48"/>
  <c r="AZ18" i="48"/>
  <c r="AY18" i="48"/>
  <c r="AX18" i="48"/>
  <c r="AW18" i="48"/>
  <c r="AV18" i="48"/>
  <c r="AU18" i="48"/>
  <c r="AT18" i="48"/>
  <c r="AS18" i="48"/>
  <c r="AR18" i="48"/>
  <c r="AQ18" i="48"/>
  <c r="AP18" i="48"/>
  <c r="AO18" i="48"/>
  <c r="AN18" i="48"/>
  <c r="AM18" i="48"/>
  <c r="AL18" i="48"/>
  <c r="AK18" i="48"/>
  <c r="AI18" i="48"/>
  <c r="BP18" i="48" s="1"/>
  <c r="BQ17" i="48"/>
  <c r="BO17" i="48"/>
  <c r="BN17" i="48"/>
  <c r="BM17" i="48"/>
  <c r="BL17" i="48"/>
  <c r="BK17" i="48"/>
  <c r="BJ17" i="48"/>
  <c r="BI17" i="48"/>
  <c r="BH17" i="48"/>
  <c r="BG17" i="48"/>
  <c r="BF17" i="48"/>
  <c r="BD17" i="48"/>
  <c r="BC17" i="48"/>
  <c r="BB17" i="48"/>
  <c r="BA17" i="48"/>
  <c r="AZ17" i="48"/>
  <c r="AY17" i="48"/>
  <c r="AX17" i="48"/>
  <c r="AW17" i="48"/>
  <c r="AV17" i="48"/>
  <c r="AU17" i="48"/>
  <c r="AT17" i="48"/>
  <c r="AS17" i="48"/>
  <c r="AR17" i="48"/>
  <c r="AQ17" i="48"/>
  <c r="AP17" i="48"/>
  <c r="AO17" i="48"/>
  <c r="AN17" i="48"/>
  <c r="AM17" i="48"/>
  <c r="AL17" i="48"/>
  <c r="AK17" i="48"/>
  <c r="AI17" i="48"/>
  <c r="BP17" i="48" s="1"/>
  <c r="BT17" i="48" s="1"/>
  <c r="W33" i="48"/>
  <c r="AI16" i="48"/>
  <c r="K42" i="7" s="1"/>
  <c r="BQ15" i="48"/>
  <c r="BR15" i="48" s="1"/>
  <c r="BO15" i="48"/>
  <c r="BN15" i="48"/>
  <c r="BM15" i="48"/>
  <c r="BL15" i="48"/>
  <c r="BK15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AK15" i="48"/>
  <c r="AI15" i="48"/>
  <c r="BP15" i="48" s="1"/>
  <c r="BT15" i="48" s="1"/>
  <c r="BO14" i="48"/>
  <c r="BN14" i="48"/>
  <c r="BM14" i="48"/>
  <c r="BL14" i="48"/>
  <c r="BK14" i="48"/>
  <c r="BJ14" i="48"/>
  <c r="BI14" i="48"/>
  <c r="BH14" i="48"/>
  <c r="BG14" i="48"/>
  <c r="BF14" i="48"/>
  <c r="BE14" i="48"/>
  <c r="BD14" i="48"/>
  <c r="BC14" i="48"/>
  <c r="BB14" i="48"/>
  <c r="BA14" i="48"/>
  <c r="AZ14" i="48"/>
  <c r="AY14" i="48"/>
  <c r="AX14" i="48"/>
  <c r="AW14" i="48"/>
  <c r="AV14" i="48"/>
  <c r="AU14" i="48"/>
  <c r="AT14" i="48"/>
  <c r="AS14" i="48"/>
  <c r="AR14" i="48"/>
  <c r="AQ14" i="48"/>
  <c r="AP14" i="48"/>
  <c r="AO14" i="48"/>
  <c r="AN14" i="48"/>
  <c r="AM14" i="48"/>
  <c r="AL14" i="48"/>
  <c r="AK14" i="48"/>
  <c r="AI14" i="48"/>
  <c r="BP14" i="48" s="1"/>
  <c r="BO13" i="48"/>
  <c r="BN13" i="48"/>
  <c r="BM13" i="48"/>
  <c r="BL13" i="48"/>
  <c r="BK13" i="48"/>
  <c r="BJ13" i="48"/>
  <c r="BI13" i="48"/>
  <c r="BH13" i="48"/>
  <c r="BG13" i="48"/>
  <c r="BF13" i="48"/>
  <c r="BE13" i="48"/>
  <c r="BD13" i="48"/>
  <c r="BC13" i="48"/>
  <c r="BB13" i="48"/>
  <c r="BA13" i="48"/>
  <c r="AZ13" i="48"/>
  <c r="AY13" i="48"/>
  <c r="AX13" i="48"/>
  <c r="AW13" i="48"/>
  <c r="AV13" i="48"/>
  <c r="AU13" i="48"/>
  <c r="AT13" i="48"/>
  <c r="AS13" i="48"/>
  <c r="AR13" i="48"/>
  <c r="AQ13" i="48"/>
  <c r="AP13" i="48"/>
  <c r="AO13" i="48"/>
  <c r="AN13" i="48"/>
  <c r="AM13" i="48"/>
  <c r="AL13" i="48"/>
  <c r="AK13" i="48"/>
  <c r="AI13" i="48"/>
  <c r="BP13" i="48" s="1"/>
  <c r="BQ12" i="48"/>
  <c r="BO12" i="48"/>
  <c r="BN12" i="48"/>
  <c r="BM12" i="48"/>
  <c r="BL12" i="48"/>
  <c r="BK12" i="48"/>
  <c r="BJ12" i="48"/>
  <c r="BI12" i="48"/>
  <c r="BH12" i="48"/>
  <c r="BG12" i="48"/>
  <c r="BF12" i="48"/>
  <c r="BE12" i="48"/>
  <c r="BD12" i="48"/>
  <c r="BC12" i="48"/>
  <c r="BB12" i="48"/>
  <c r="BA12" i="48"/>
  <c r="AZ12" i="48"/>
  <c r="AY12" i="48"/>
  <c r="AX12" i="48"/>
  <c r="AW12" i="48"/>
  <c r="AV12" i="48"/>
  <c r="AU12" i="48"/>
  <c r="AT12" i="48"/>
  <c r="AS12" i="48"/>
  <c r="AR12" i="48"/>
  <c r="AQ12" i="48"/>
  <c r="AP12" i="48"/>
  <c r="AO12" i="48"/>
  <c r="AN12" i="48"/>
  <c r="AM12" i="48"/>
  <c r="AL12" i="48"/>
  <c r="AI12" i="48"/>
  <c r="BP12" i="48" s="1"/>
  <c r="BT12" i="48" s="1"/>
  <c r="BQ11" i="48"/>
  <c r="BR11" i="48" s="1"/>
  <c r="BO11" i="48"/>
  <c r="BN11" i="48"/>
  <c r="BM11" i="48"/>
  <c r="BL11" i="48"/>
  <c r="BK11" i="48"/>
  <c r="BJ11" i="48"/>
  <c r="BI11" i="48"/>
  <c r="BH11" i="48"/>
  <c r="BG11" i="48"/>
  <c r="BF11" i="48"/>
  <c r="BE11" i="48"/>
  <c r="BD11" i="48"/>
  <c r="BC11" i="48"/>
  <c r="BB11" i="48"/>
  <c r="BA11" i="48"/>
  <c r="AZ11" i="48"/>
  <c r="AY11" i="48"/>
  <c r="AX11" i="48"/>
  <c r="AW11" i="48"/>
  <c r="AV11" i="48"/>
  <c r="AU11" i="48"/>
  <c r="AT11" i="48"/>
  <c r="AS11" i="48"/>
  <c r="AR11" i="48"/>
  <c r="AQ11" i="48"/>
  <c r="AP11" i="48"/>
  <c r="AO11" i="48"/>
  <c r="AN11" i="48"/>
  <c r="AM11" i="48"/>
  <c r="AL11" i="48"/>
  <c r="AK11" i="48"/>
  <c r="AI11" i="48"/>
  <c r="BP11" i="48" s="1"/>
  <c r="BT11" i="48" s="1"/>
  <c r="BQ10" i="48"/>
  <c r="BR10" i="48" s="1"/>
  <c r="BO10" i="48"/>
  <c r="BN10" i="48"/>
  <c r="BM10" i="48"/>
  <c r="BL10" i="48"/>
  <c r="BK10" i="48"/>
  <c r="BJ10" i="48"/>
  <c r="BI10" i="48"/>
  <c r="BH10" i="48"/>
  <c r="BG10" i="48"/>
  <c r="BF10" i="48"/>
  <c r="BE10" i="48"/>
  <c r="BD10" i="48"/>
  <c r="BC10" i="48"/>
  <c r="BB10" i="48"/>
  <c r="BA10" i="48"/>
  <c r="AZ10" i="48"/>
  <c r="AY10" i="48"/>
  <c r="AX10" i="48"/>
  <c r="AW10" i="48"/>
  <c r="AV10" i="48"/>
  <c r="AU10" i="48"/>
  <c r="AT10" i="48"/>
  <c r="AS10" i="48"/>
  <c r="AR10" i="48"/>
  <c r="AQ10" i="48"/>
  <c r="AP10" i="48"/>
  <c r="AO10" i="48"/>
  <c r="AN10" i="48"/>
  <c r="BS10" i="48" s="1"/>
  <c r="AM10" i="48"/>
  <c r="AL10" i="48"/>
  <c r="AK10" i="48"/>
  <c r="AI10" i="48"/>
  <c r="BP10" i="48" s="1"/>
  <c r="BT10" i="48" s="1"/>
  <c r="BQ9" i="48"/>
  <c r="BR9" i="48" s="1"/>
  <c r="BO9" i="48"/>
  <c r="BN9" i="48"/>
  <c r="BM9" i="48"/>
  <c r="BL9" i="48"/>
  <c r="BK9" i="48"/>
  <c r="BJ9" i="48"/>
  <c r="BI9" i="48"/>
  <c r="BH9" i="48"/>
  <c r="BG9" i="48"/>
  <c r="BF9" i="48"/>
  <c r="BE9" i="48"/>
  <c r="BD9" i="48"/>
  <c r="BC9" i="48"/>
  <c r="BB9" i="48"/>
  <c r="BA9" i="48"/>
  <c r="AZ9" i="48"/>
  <c r="AY9" i="48"/>
  <c r="AX9" i="48"/>
  <c r="AW9" i="48"/>
  <c r="AV9" i="48"/>
  <c r="AU9" i="48"/>
  <c r="AT9" i="48"/>
  <c r="AS9" i="48"/>
  <c r="AR9" i="48"/>
  <c r="AQ9" i="48"/>
  <c r="AP9" i="48"/>
  <c r="AO9" i="48"/>
  <c r="AN9" i="48"/>
  <c r="BS9" i="48" s="1"/>
  <c r="AM9" i="48"/>
  <c r="AL9" i="48"/>
  <c r="AK9" i="48"/>
  <c r="AI9" i="48"/>
  <c r="BP9" i="48" s="1"/>
  <c r="BT9" i="48" s="1"/>
  <c r="BQ8" i="48"/>
  <c r="BR8" i="48" s="1"/>
  <c r="BO8" i="48"/>
  <c r="BN8" i="48"/>
  <c r="BM8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I8" i="48"/>
  <c r="BP8" i="48" s="1"/>
  <c r="BT8" i="48" s="1"/>
  <c r="BQ7" i="48"/>
  <c r="BR7" i="48" s="1"/>
  <c r="BO7" i="48"/>
  <c r="BN7" i="48"/>
  <c r="BM7" i="48"/>
  <c r="BL7" i="48"/>
  <c r="BK7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AL7" i="48"/>
  <c r="AK7" i="48"/>
  <c r="AI7" i="48"/>
  <c r="BP7" i="48" s="1"/>
  <c r="BT7" i="48" s="1"/>
  <c r="BQ6" i="48"/>
  <c r="BR6" i="48" s="1"/>
  <c r="BO6" i="48"/>
  <c r="BN6" i="48"/>
  <c r="BM6" i="48"/>
  <c r="BL6" i="48"/>
  <c r="BK6" i="48"/>
  <c r="BJ6" i="48"/>
  <c r="BI6" i="48"/>
  <c r="BH6" i="48"/>
  <c r="BG6" i="48"/>
  <c r="BF6" i="48"/>
  <c r="BE6" i="48"/>
  <c r="BD6" i="48"/>
  <c r="BC6" i="48"/>
  <c r="BB6" i="48"/>
  <c r="BA6" i="48"/>
  <c r="AZ6" i="48"/>
  <c r="AY6" i="48"/>
  <c r="AX6" i="48"/>
  <c r="AW6" i="48"/>
  <c r="AV6" i="48"/>
  <c r="AU6" i="48"/>
  <c r="AT6" i="48"/>
  <c r="AS6" i="48"/>
  <c r="AR6" i="48"/>
  <c r="AQ6" i="48"/>
  <c r="AP6" i="48"/>
  <c r="AO6" i="48"/>
  <c r="AN6" i="48"/>
  <c r="BS6" i="48" s="1"/>
  <c r="AM6" i="48"/>
  <c r="AL6" i="48"/>
  <c r="AK6" i="48"/>
  <c r="AI6" i="48"/>
  <c r="K32" i="7" s="1"/>
  <c r="BQ5" i="48"/>
  <c r="BR5" i="48" s="1"/>
  <c r="BO5" i="48"/>
  <c r="BN5" i="48"/>
  <c r="BM5" i="48"/>
  <c r="BL5" i="48"/>
  <c r="BK5" i="48"/>
  <c r="BJ5" i="48"/>
  <c r="BI5" i="48"/>
  <c r="BH5" i="48"/>
  <c r="BG5" i="48"/>
  <c r="BF5" i="48"/>
  <c r="BE5" i="48"/>
  <c r="BD5" i="48"/>
  <c r="BC5" i="48"/>
  <c r="BB5" i="48"/>
  <c r="BA5" i="48"/>
  <c r="AZ5" i="48"/>
  <c r="AY5" i="48"/>
  <c r="AX5" i="48"/>
  <c r="AW5" i="48"/>
  <c r="AV5" i="48"/>
  <c r="AU5" i="48"/>
  <c r="AT5" i="48"/>
  <c r="AS5" i="48"/>
  <c r="AR5" i="48"/>
  <c r="AQ5" i="48"/>
  <c r="AP5" i="48"/>
  <c r="AO5" i="48"/>
  <c r="AN5" i="48"/>
  <c r="BS5" i="48" s="1"/>
  <c r="AM5" i="48"/>
  <c r="AL5" i="48"/>
  <c r="AK5" i="48"/>
  <c r="AI5" i="48"/>
  <c r="BP5" i="48" s="1"/>
  <c r="BT5" i="48" s="1"/>
  <c r="AI1" i="48"/>
  <c r="AG6" i="14"/>
  <c r="H496" i="14"/>
  <c r="D47" i="45" l="1"/>
  <c r="K46" i="7"/>
  <c r="K44" i="7"/>
  <c r="K45" i="7"/>
  <c r="K43" i="7"/>
  <c r="K54" i="7"/>
  <c r="K49" i="7"/>
  <c r="K51" i="7"/>
  <c r="K52" i="7"/>
  <c r="K39" i="7"/>
  <c r="K41" i="7"/>
  <c r="K38" i="7"/>
  <c r="K53" i="7"/>
  <c r="K56" i="7"/>
  <c r="K50" i="7"/>
  <c r="K37" i="7"/>
  <c r="K35" i="7"/>
  <c r="K47" i="7"/>
  <c r="K40" i="7"/>
  <c r="K48" i="7"/>
  <c r="K57" i="7"/>
  <c r="K55" i="7"/>
  <c r="K58" i="7"/>
  <c r="K31" i="7"/>
  <c r="K34" i="7"/>
  <c r="K33" i="7"/>
  <c r="K36" i="7"/>
  <c r="AI33" i="48"/>
  <c r="AI34" i="48" s="1"/>
  <c r="BS7" i="48"/>
  <c r="BS17" i="48"/>
  <c r="BB25" i="48"/>
  <c r="BT28" i="48"/>
  <c r="BT30" i="48"/>
  <c r="BQ30" i="48"/>
  <c r="BR30" i="48" s="1"/>
  <c r="BQ13" i="48"/>
  <c r="BR13" i="48" s="1"/>
  <c r="BR20" i="48"/>
  <c r="BQ22" i="48"/>
  <c r="BS30" i="48"/>
  <c r="L51" i="48"/>
  <c r="M51" i="48" s="1"/>
  <c r="N51" i="48" s="1"/>
  <c r="O51" i="48" s="1"/>
  <c r="P51" i="48" s="1"/>
  <c r="Q51" i="48" s="1"/>
  <c r="R51" i="48" s="1"/>
  <c r="S51" i="48" s="1"/>
  <c r="T51" i="48" s="1"/>
  <c r="U51" i="48" s="1"/>
  <c r="V51" i="48" s="1"/>
  <c r="BS19" i="48"/>
  <c r="BS20" i="48"/>
  <c r="BT25" i="48"/>
  <c r="BQ25" i="48"/>
  <c r="BS15" i="48"/>
  <c r="BR28" i="48"/>
  <c r="BS28" i="48"/>
  <c r="BT21" i="48"/>
  <c r="BS18" i="48"/>
  <c r="BT23" i="48"/>
  <c r="BP6" i="48"/>
  <c r="BT6" i="48" s="1"/>
  <c r="BQ24" i="48"/>
  <c r="BQ27" i="48"/>
  <c r="T33" i="48"/>
  <c r="AI2" i="48"/>
  <c r="BQ14" i="48"/>
  <c r="BR14" i="48" s="1"/>
  <c r="BE17" i="48"/>
  <c r="BQ21" i="48"/>
  <c r="BR21" i="48" s="1"/>
  <c r="BQ18" i="48"/>
  <c r="BR18" i="48" s="1"/>
  <c r="BQ29" i="48"/>
  <c r="BQ23" i="48"/>
  <c r="BQ26" i="48"/>
  <c r="BR26" i="48" s="1"/>
  <c r="BS8" i="48"/>
  <c r="BS11" i="48"/>
  <c r="BQ31" i="48"/>
  <c r="BR31" i="48" s="1"/>
  <c r="BR17" i="48"/>
  <c r="H495" i="14"/>
  <c r="H494" i="14"/>
  <c r="H493" i="14"/>
  <c r="H492" i="14"/>
  <c r="H491" i="14"/>
  <c r="H490" i="14"/>
  <c r="H489" i="14"/>
  <c r="H488" i="14"/>
  <c r="H487" i="14"/>
  <c r="H486" i="14"/>
  <c r="W17" i="47"/>
  <c r="H485" i="14"/>
  <c r="AI36" i="48" l="1"/>
  <c r="AI37" i="48"/>
  <c r="BS31" i="48"/>
  <c r="BT13" i="48"/>
  <c r="BS13" i="48"/>
  <c r="BS22" i="48"/>
  <c r="BR22" i="48"/>
  <c r="BT14" i="48"/>
  <c r="BS14" i="48"/>
  <c r="BT22" i="48"/>
  <c r="BS21" i="48"/>
  <c r="BS25" i="48"/>
  <c r="BR25" i="48"/>
  <c r="BT18" i="48"/>
  <c r="BS23" i="48"/>
  <c r="BR23" i="48"/>
  <c r="BS27" i="48"/>
  <c r="BR27" i="48"/>
  <c r="BS29" i="48"/>
  <c r="BR29" i="48"/>
  <c r="BT31" i="48"/>
  <c r="BT29" i="48"/>
  <c r="AI35" i="48"/>
  <c r="BS26" i="48"/>
  <c r="BS24" i="48"/>
  <c r="BR24" i="48"/>
  <c r="BT26" i="48"/>
  <c r="BT24" i="48"/>
  <c r="BT27" i="48"/>
  <c r="H484" i="14"/>
  <c r="H483" i="14"/>
  <c r="T25" i="47"/>
  <c r="H482" i="14"/>
  <c r="H481" i="14"/>
  <c r="BW5" i="48" l="1"/>
  <c r="BW7" i="48"/>
  <c r="H480" i="14"/>
  <c r="H479" i="14"/>
  <c r="P33" i="47"/>
  <c r="F478" i="14"/>
  <c r="K478" i="14"/>
  <c r="H478" i="14"/>
  <c r="H477" i="14"/>
  <c r="H476" i="14"/>
  <c r="H469" i="14"/>
  <c r="H470" i="14"/>
  <c r="H471" i="14"/>
  <c r="H472" i="14"/>
  <c r="H473" i="14"/>
  <c r="H474" i="14"/>
  <c r="H475" i="14"/>
  <c r="L11" i="47"/>
  <c r="BW6" i="48" l="1"/>
  <c r="H462" i="14"/>
  <c r="H463" i="14"/>
  <c r="H464" i="14"/>
  <c r="H465" i="14"/>
  <c r="H466" i="14"/>
  <c r="H467" i="14"/>
  <c r="H468" i="14"/>
  <c r="AI6" i="14"/>
  <c r="I68" i="47" l="1"/>
  <c r="J68" i="47" s="1"/>
  <c r="K68" i="47" s="1"/>
  <c r="L68" i="47" s="1"/>
  <c r="M68" i="47" s="1"/>
  <c r="N68" i="47" s="1"/>
  <c r="O68" i="47" s="1"/>
  <c r="P68" i="47" s="1"/>
  <c r="Q68" i="47" s="1"/>
  <c r="R68" i="47" s="1"/>
  <c r="S68" i="47" s="1"/>
  <c r="T68" i="47" s="1"/>
  <c r="U68" i="47" s="1"/>
  <c r="V68" i="47" s="1"/>
  <c r="D68" i="47"/>
  <c r="E68" i="47" s="1"/>
  <c r="F68" i="47" s="1"/>
  <c r="I67" i="47"/>
  <c r="J67" i="47" s="1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D67" i="47"/>
  <c r="E67" i="47" s="1"/>
  <c r="F67" i="47" s="1"/>
  <c r="I66" i="47"/>
  <c r="J66" i="47" s="1"/>
  <c r="K66" i="47" s="1"/>
  <c r="L66" i="47" s="1"/>
  <c r="M66" i="47" s="1"/>
  <c r="N66" i="47" s="1"/>
  <c r="O66" i="47" s="1"/>
  <c r="P66" i="47" s="1"/>
  <c r="Q66" i="47" s="1"/>
  <c r="R66" i="47" s="1"/>
  <c r="S66" i="47" s="1"/>
  <c r="T66" i="47" s="1"/>
  <c r="U66" i="47" s="1"/>
  <c r="V66" i="47" s="1"/>
  <c r="D66" i="47"/>
  <c r="E66" i="47" s="1"/>
  <c r="F66" i="47" s="1"/>
  <c r="I65" i="47"/>
  <c r="J65" i="47" s="1"/>
  <c r="K65" i="47" s="1"/>
  <c r="L65" i="47" s="1"/>
  <c r="M65" i="47" s="1"/>
  <c r="N65" i="47" s="1"/>
  <c r="O65" i="47" s="1"/>
  <c r="P65" i="47" s="1"/>
  <c r="Q65" i="47" s="1"/>
  <c r="R65" i="47" s="1"/>
  <c r="S65" i="47" s="1"/>
  <c r="T65" i="47" s="1"/>
  <c r="U65" i="47" s="1"/>
  <c r="V65" i="47" s="1"/>
  <c r="D65" i="47"/>
  <c r="E65" i="47" s="1"/>
  <c r="F65" i="47" s="1"/>
  <c r="I64" i="47"/>
  <c r="J64" i="47" s="1"/>
  <c r="K64" i="47" s="1"/>
  <c r="L64" i="47" s="1"/>
  <c r="M64" i="47" s="1"/>
  <c r="N64" i="47" s="1"/>
  <c r="O64" i="47" s="1"/>
  <c r="P64" i="47" s="1"/>
  <c r="Q64" i="47" s="1"/>
  <c r="R64" i="47" s="1"/>
  <c r="S64" i="47" s="1"/>
  <c r="T64" i="47" s="1"/>
  <c r="U64" i="47" s="1"/>
  <c r="V64" i="47" s="1"/>
  <c r="D64" i="47"/>
  <c r="E64" i="47" s="1"/>
  <c r="F64" i="47" s="1"/>
  <c r="I63" i="47"/>
  <c r="J63" i="47" s="1"/>
  <c r="K63" i="47" s="1"/>
  <c r="L63" i="47" s="1"/>
  <c r="M63" i="47" s="1"/>
  <c r="N63" i="47" s="1"/>
  <c r="O63" i="47" s="1"/>
  <c r="P63" i="47" s="1"/>
  <c r="Q63" i="47" s="1"/>
  <c r="R63" i="47" s="1"/>
  <c r="S63" i="47" s="1"/>
  <c r="T63" i="47" s="1"/>
  <c r="U63" i="47" s="1"/>
  <c r="V63" i="47" s="1"/>
  <c r="D63" i="47"/>
  <c r="E63" i="47" s="1"/>
  <c r="F63" i="47" s="1"/>
  <c r="I62" i="47"/>
  <c r="J62" i="47" s="1"/>
  <c r="K62" i="47" s="1"/>
  <c r="L62" i="47" s="1"/>
  <c r="M62" i="47" s="1"/>
  <c r="N62" i="47" s="1"/>
  <c r="O62" i="47" s="1"/>
  <c r="P62" i="47" s="1"/>
  <c r="Q62" i="47" s="1"/>
  <c r="R62" i="47" s="1"/>
  <c r="S62" i="47" s="1"/>
  <c r="T62" i="47" s="1"/>
  <c r="U62" i="47" s="1"/>
  <c r="V62" i="47" s="1"/>
  <c r="D62" i="47"/>
  <c r="E62" i="47" s="1"/>
  <c r="F62" i="47" s="1"/>
  <c r="I61" i="47"/>
  <c r="J61" i="47" s="1"/>
  <c r="K61" i="47" s="1"/>
  <c r="L61" i="47" s="1"/>
  <c r="M61" i="47" s="1"/>
  <c r="N61" i="47" s="1"/>
  <c r="O61" i="47" s="1"/>
  <c r="P61" i="47" s="1"/>
  <c r="Q61" i="47" s="1"/>
  <c r="R61" i="47" s="1"/>
  <c r="S61" i="47" s="1"/>
  <c r="T61" i="47" s="1"/>
  <c r="U61" i="47" s="1"/>
  <c r="V61" i="47" s="1"/>
  <c r="D61" i="47"/>
  <c r="E61" i="47" s="1"/>
  <c r="F61" i="47" s="1"/>
  <c r="I60" i="47"/>
  <c r="J60" i="47" s="1"/>
  <c r="K60" i="47" s="1"/>
  <c r="L60" i="47" s="1"/>
  <c r="M60" i="47" s="1"/>
  <c r="N60" i="47" s="1"/>
  <c r="O60" i="47" s="1"/>
  <c r="P60" i="47" s="1"/>
  <c r="Q60" i="47" s="1"/>
  <c r="R60" i="47" s="1"/>
  <c r="S60" i="47" s="1"/>
  <c r="T60" i="47" s="1"/>
  <c r="U60" i="47" s="1"/>
  <c r="V60" i="47" s="1"/>
  <c r="D60" i="47"/>
  <c r="E60" i="47" s="1"/>
  <c r="F60" i="47" s="1"/>
  <c r="I59" i="47"/>
  <c r="J59" i="47" s="1"/>
  <c r="K59" i="47" s="1"/>
  <c r="L59" i="47" s="1"/>
  <c r="M59" i="47" s="1"/>
  <c r="N59" i="47" s="1"/>
  <c r="O59" i="47" s="1"/>
  <c r="P59" i="47" s="1"/>
  <c r="Q59" i="47" s="1"/>
  <c r="R59" i="47" s="1"/>
  <c r="S59" i="47" s="1"/>
  <c r="T59" i="47" s="1"/>
  <c r="U59" i="47" s="1"/>
  <c r="V59" i="47" s="1"/>
  <c r="D59" i="47"/>
  <c r="E59" i="47" s="1"/>
  <c r="F59" i="47" s="1"/>
  <c r="I58" i="47"/>
  <c r="J58" i="47" s="1"/>
  <c r="K58" i="47" s="1"/>
  <c r="L58" i="47" s="1"/>
  <c r="M58" i="47" s="1"/>
  <c r="N58" i="47" s="1"/>
  <c r="O58" i="47" s="1"/>
  <c r="P58" i="47" s="1"/>
  <c r="Q58" i="47" s="1"/>
  <c r="R58" i="47" s="1"/>
  <c r="S58" i="47" s="1"/>
  <c r="T58" i="47" s="1"/>
  <c r="U58" i="47" s="1"/>
  <c r="V58" i="47" s="1"/>
  <c r="D58" i="47"/>
  <c r="E58" i="47" s="1"/>
  <c r="F58" i="47" s="1"/>
  <c r="I57" i="47"/>
  <c r="J57" i="47" s="1"/>
  <c r="K57" i="47" s="1"/>
  <c r="L57" i="47" s="1"/>
  <c r="M57" i="47" s="1"/>
  <c r="N57" i="47" s="1"/>
  <c r="O57" i="47" s="1"/>
  <c r="P57" i="47" s="1"/>
  <c r="Q57" i="47" s="1"/>
  <c r="R57" i="47" s="1"/>
  <c r="S57" i="47" s="1"/>
  <c r="T57" i="47" s="1"/>
  <c r="U57" i="47" s="1"/>
  <c r="V57" i="47" s="1"/>
  <c r="D57" i="47"/>
  <c r="E57" i="47" s="1"/>
  <c r="F57" i="47" s="1"/>
  <c r="I56" i="47"/>
  <c r="J56" i="47" s="1"/>
  <c r="K56" i="47" s="1"/>
  <c r="L56" i="47" s="1"/>
  <c r="M56" i="47" s="1"/>
  <c r="N56" i="47" s="1"/>
  <c r="O56" i="47" s="1"/>
  <c r="P56" i="47" s="1"/>
  <c r="Q56" i="47" s="1"/>
  <c r="R56" i="47" s="1"/>
  <c r="S56" i="47" s="1"/>
  <c r="T56" i="47" s="1"/>
  <c r="U56" i="47" s="1"/>
  <c r="V56" i="47" s="1"/>
  <c r="D56" i="47"/>
  <c r="E56" i="47" s="1"/>
  <c r="F56" i="47" s="1"/>
  <c r="I55" i="47"/>
  <c r="J55" i="47" s="1"/>
  <c r="K55" i="47" s="1"/>
  <c r="L55" i="47" s="1"/>
  <c r="M55" i="47" s="1"/>
  <c r="N55" i="47" s="1"/>
  <c r="O55" i="47" s="1"/>
  <c r="P55" i="47" s="1"/>
  <c r="Q55" i="47" s="1"/>
  <c r="R55" i="47" s="1"/>
  <c r="S55" i="47" s="1"/>
  <c r="T55" i="47" s="1"/>
  <c r="U55" i="47" s="1"/>
  <c r="V55" i="47" s="1"/>
  <c r="D55" i="47"/>
  <c r="E55" i="47" s="1"/>
  <c r="F55" i="47" s="1"/>
  <c r="I54" i="47"/>
  <c r="J54" i="47" s="1"/>
  <c r="K54" i="47" s="1"/>
  <c r="L54" i="47" s="1"/>
  <c r="M54" i="47" s="1"/>
  <c r="N54" i="47" s="1"/>
  <c r="O54" i="47" s="1"/>
  <c r="P54" i="47" s="1"/>
  <c r="Q54" i="47" s="1"/>
  <c r="R54" i="47" s="1"/>
  <c r="S54" i="47" s="1"/>
  <c r="T54" i="47" s="1"/>
  <c r="U54" i="47" s="1"/>
  <c r="V54" i="47" s="1"/>
  <c r="D54" i="47"/>
  <c r="E54" i="47" s="1"/>
  <c r="F54" i="47" s="1"/>
  <c r="I53" i="47"/>
  <c r="J53" i="47" s="1"/>
  <c r="K53" i="47" s="1"/>
  <c r="L53" i="47" s="1"/>
  <c r="M53" i="47" s="1"/>
  <c r="N53" i="47" s="1"/>
  <c r="O53" i="47" s="1"/>
  <c r="P53" i="47" s="1"/>
  <c r="Q53" i="47" s="1"/>
  <c r="R53" i="47" s="1"/>
  <c r="S53" i="47" s="1"/>
  <c r="T53" i="47" s="1"/>
  <c r="U53" i="47" s="1"/>
  <c r="V53" i="47" s="1"/>
  <c r="D53" i="47"/>
  <c r="E53" i="47" s="1"/>
  <c r="F53" i="47" s="1"/>
  <c r="I52" i="47"/>
  <c r="J52" i="47" s="1"/>
  <c r="K52" i="47" s="1"/>
  <c r="L52" i="47" s="1"/>
  <c r="M52" i="47" s="1"/>
  <c r="N52" i="47" s="1"/>
  <c r="O52" i="47" s="1"/>
  <c r="P52" i="47" s="1"/>
  <c r="Q52" i="47" s="1"/>
  <c r="R52" i="47" s="1"/>
  <c r="S52" i="47" s="1"/>
  <c r="T52" i="47" s="1"/>
  <c r="U52" i="47" s="1"/>
  <c r="V52" i="47" s="1"/>
  <c r="D52" i="47"/>
  <c r="E52" i="47" s="1"/>
  <c r="F52" i="47" s="1"/>
  <c r="I51" i="47"/>
  <c r="J51" i="47" s="1"/>
  <c r="K51" i="47" s="1"/>
  <c r="L51" i="47" s="1"/>
  <c r="M51" i="47" s="1"/>
  <c r="N51" i="47" s="1"/>
  <c r="O51" i="47" s="1"/>
  <c r="P51" i="47" s="1"/>
  <c r="Q51" i="47" s="1"/>
  <c r="R51" i="47" s="1"/>
  <c r="S51" i="47" s="1"/>
  <c r="T51" i="47" s="1"/>
  <c r="U51" i="47" s="1"/>
  <c r="V51" i="47" s="1"/>
  <c r="D51" i="47"/>
  <c r="E51" i="47" s="1"/>
  <c r="F51" i="47" s="1"/>
  <c r="I50" i="47"/>
  <c r="J50" i="47" s="1"/>
  <c r="K50" i="47" s="1"/>
  <c r="L50" i="47" s="1"/>
  <c r="M50" i="47" s="1"/>
  <c r="N50" i="47" s="1"/>
  <c r="O50" i="47" s="1"/>
  <c r="P50" i="47" s="1"/>
  <c r="Q50" i="47" s="1"/>
  <c r="R50" i="47" s="1"/>
  <c r="S50" i="47" s="1"/>
  <c r="T50" i="47" s="1"/>
  <c r="U50" i="47" s="1"/>
  <c r="V50" i="47" s="1"/>
  <c r="D50" i="47"/>
  <c r="E50" i="47" s="1"/>
  <c r="F50" i="47" s="1"/>
  <c r="I49" i="47"/>
  <c r="J49" i="47" s="1"/>
  <c r="K49" i="47" s="1"/>
  <c r="L49" i="47" s="1"/>
  <c r="M49" i="47" s="1"/>
  <c r="N49" i="47" s="1"/>
  <c r="O49" i="47" s="1"/>
  <c r="P49" i="47" s="1"/>
  <c r="Q49" i="47" s="1"/>
  <c r="R49" i="47" s="1"/>
  <c r="S49" i="47" s="1"/>
  <c r="T49" i="47" s="1"/>
  <c r="U49" i="47" s="1"/>
  <c r="V49" i="47" s="1"/>
  <c r="D49" i="47"/>
  <c r="E49" i="47" s="1"/>
  <c r="F49" i="47" s="1"/>
  <c r="I48" i="47"/>
  <c r="J48" i="47" s="1"/>
  <c r="K48" i="47" s="1"/>
  <c r="L48" i="47" s="1"/>
  <c r="M48" i="47" s="1"/>
  <c r="N48" i="47" s="1"/>
  <c r="O48" i="47" s="1"/>
  <c r="P48" i="47" s="1"/>
  <c r="Q48" i="47" s="1"/>
  <c r="R48" i="47" s="1"/>
  <c r="S48" i="47" s="1"/>
  <c r="T48" i="47" s="1"/>
  <c r="U48" i="47" s="1"/>
  <c r="V48" i="47" s="1"/>
  <c r="D48" i="47"/>
  <c r="E48" i="47" s="1"/>
  <c r="F48" i="47" s="1"/>
  <c r="I47" i="47"/>
  <c r="J47" i="47" s="1"/>
  <c r="K47" i="47" s="1"/>
  <c r="L47" i="47" s="1"/>
  <c r="M47" i="47" s="1"/>
  <c r="N47" i="47" s="1"/>
  <c r="O47" i="47" s="1"/>
  <c r="P47" i="47" s="1"/>
  <c r="Q47" i="47" s="1"/>
  <c r="R47" i="47" s="1"/>
  <c r="S47" i="47" s="1"/>
  <c r="T47" i="47" s="1"/>
  <c r="U47" i="47" s="1"/>
  <c r="V47" i="47" s="1"/>
  <c r="D47" i="47"/>
  <c r="E47" i="47" s="1"/>
  <c r="F47" i="47" s="1"/>
  <c r="I46" i="47"/>
  <c r="J46" i="47" s="1"/>
  <c r="K46" i="47" s="1"/>
  <c r="L46" i="47" s="1"/>
  <c r="M46" i="47" s="1"/>
  <c r="N46" i="47" s="1"/>
  <c r="O46" i="47" s="1"/>
  <c r="P46" i="47" s="1"/>
  <c r="Q46" i="47" s="1"/>
  <c r="R46" i="47" s="1"/>
  <c r="S46" i="47" s="1"/>
  <c r="T46" i="47" s="1"/>
  <c r="U46" i="47" s="1"/>
  <c r="V46" i="47" s="1"/>
  <c r="H46" i="47"/>
  <c r="G46" i="47"/>
  <c r="D46" i="47"/>
  <c r="E46" i="47" s="1"/>
  <c r="F46" i="47" s="1"/>
  <c r="AL45" i="47"/>
  <c r="I45" i="47"/>
  <c r="J45" i="47" s="1"/>
  <c r="K45" i="47" s="1"/>
  <c r="L45" i="47" s="1"/>
  <c r="M45" i="47" s="1"/>
  <c r="N45" i="47" s="1"/>
  <c r="O45" i="47" s="1"/>
  <c r="P45" i="47" s="1"/>
  <c r="Q45" i="47" s="1"/>
  <c r="R45" i="47" s="1"/>
  <c r="S45" i="47" s="1"/>
  <c r="T45" i="47" s="1"/>
  <c r="U45" i="47" s="1"/>
  <c r="V45" i="47" s="1"/>
  <c r="D45" i="47"/>
  <c r="E45" i="47" s="1"/>
  <c r="F45" i="47" s="1"/>
  <c r="AG43" i="47"/>
  <c r="AA43" i="47"/>
  <c r="Z43" i="47"/>
  <c r="T43" i="47"/>
  <c r="S43" i="47"/>
  <c r="M43" i="47"/>
  <c r="L43" i="47"/>
  <c r="F43" i="47"/>
  <c r="E43" i="47"/>
  <c r="AF41" i="47"/>
  <c r="AF42" i="47" s="1"/>
  <c r="O41" i="47"/>
  <c r="AE40" i="47"/>
  <c r="AC40" i="47"/>
  <c r="I39" i="47"/>
  <c r="T38" i="47"/>
  <c r="N37" i="47"/>
  <c r="L37" i="47"/>
  <c r="AI33" i="47"/>
  <c r="AG33" i="47"/>
  <c r="AF33" i="47"/>
  <c r="AE33" i="47"/>
  <c r="AD33" i="47"/>
  <c r="AC33" i="47"/>
  <c r="AB33" i="47"/>
  <c r="AA33" i="47"/>
  <c r="Z33" i="47"/>
  <c r="Y33" i="47"/>
  <c r="X33" i="47"/>
  <c r="W33" i="47"/>
  <c r="V33" i="47"/>
  <c r="U33" i="47"/>
  <c r="T33" i="47"/>
  <c r="S33" i="47"/>
  <c r="R33" i="47"/>
  <c r="Q33" i="47"/>
  <c r="O33" i="47"/>
  <c r="N33" i="47"/>
  <c r="L33" i="47"/>
  <c r="K33" i="47"/>
  <c r="J33" i="47"/>
  <c r="I33" i="47"/>
  <c r="H33" i="47"/>
  <c r="G33" i="47"/>
  <c r="E33" i="47"/>
  <c r="D33" i="47"/>
  <c r="BN32" i="47"/>
  <c r="BM32" i="47"/>
  <c r="BL32" i="47"/>
  <c r="BK32" i="47"/>
  <c r="BJ32" i="47"/>
  <c r="BI32" i="47"/>
  <c r="BH32" i="47"/>
  <c r="BG32" i="47"/>
  <c r="BF32" i="47"/>
  <c r="BE32" i="47"/>
  <c r="BD32" i="47"/>
  <c r="BC32" i="47"/>
  <c r="BB32" i="47"/>
  <c r="BA32" i="47"/>
  <c r="AZ32" i="47"/>
  <c r="AY32" i="47"/>
  <c r="AX32" i="47"/>
  <c r="AW32" i="47"/>
  <c r="AV32" i="47"/>
  <c r="AU32" i="47"/>
  <c r="AT32" i="47"/>
  <c r="AS32" i="47"/>
  <c r="AR32" i="47"/>
  <c r="AQ32" i="47"/>
  <c r="AP32" i="47"/>
  <c r="AO32" i="47"/>
  <c r="AN32" i="47"/>
  <c r="AM32" i="47"/>
  <c r="AL32" i="47"/>
  <c r="AK32" i="47"/>
  <c r="AH32" i="47"/>
  <c r="BN31" i="47"/>
  <c r="BM31" i="47"/>
  <c r="BL31" i="47"/>
  <c r="BK31" i="47"/>
  <c r="BJ31" i="47"/>
  <c r="BI31" i="47"/>
  <c r="BH31" i="47"/>
  <c r="BG31" i="47"/>
  <c r="BF31" i="47"/>
  <c r="BE31" i="47"/>
  <c r="BD31" i="47"/>
  <c r="BC31" i="47"/>
  <c r="BB31" i="47"/>
  <c r="BA31" i="47"/>
  <c r="AZ31" i="47"/>
  <c r="AY31" i="47"/>
  <c r="AX31" i="47"/>
  <c r="AW31" i="47"/>
  <c r="AV31" i="47"/>
  <c r="AU31" i="47"/>
  <c r="AT31" i="47"/>
  <c r="AS31" i="47"/>
  <c r="AR31" i="47"/>
  <c r="AQ31" i="47"/>
  <c r="AP31" i="47"/>
  <c r="AO31" i="47"/>
  <c r="AN31" i="47"/>
  <c r="AM31" i="47"/>
  <c r="AL31" i="47"/>
  <c r="AK31" i="47"/>
  <c r="AJ31" i="47"/>
  <c r="AH31" i="47"/>
  <c r="BN30" i="47"/>
  <c r="BM30" i="47"/>
  <c r="BL30" i="47"/>
  <c r="BK30" i="47"/>
  <c r="BJ30" i="47"/>
  <c r="BI30" i="47"/>
  <c r="BH30" i="47"/>
  <c r="BG30" i="47"/>
  <c r="BF30" i="47"/>
  <c r="BE30" i="47"/>
  <c r="BD30" i="47"/>
  <c r="BC30" i="47"/>
  <c r="BB30" i="47"/>
  <c r="BA30" i="47"/>
  <c r="AZ30" i="47"/>
  <c r="AY30" i="47"/>
  <c r="AX30" i="47"/>
  <c r="AW30" i="47"/>
  <c r="AV30" i="47"/>
  <c r="AU30" i="47"/>
  <c r="AT30" i="47"/>
  <c r="AS30" i="47"/>
  <c r="AR30" i="47"/>
  <c r="AQ30" i="47"/>
  <c r="AP30" i="47"/>
  <c r="AO30" i="47"/>
  <c r="AN30" i="47"/>
  <c r="AM30" i="47"/>
  <c r="AL30" i="47"/>
  <c r="AK30" i="47"/>
  <c r="AJ30" i="47"/>
  <c r="AH30" i="47"/>
  <c r="BN29" i="47"/>
  <c r="BM29" i="47"/>
  <c r="BL29" i="47"/>
  <c r="BK29" i="47"/>
  <c r="BJ29" i="47"/>
  <c r="BI29" i="47"/>
  <c r="BH29" i="47"/>
  <c r="BG29" i="47"/>
  <c r="BF29" i="47"/>
  <c r="BE29" i="47"/>
  <c r="BD29" i="47"/>
  <c r="BC29" i="47"/>
  <c r="BB29" i="47"/>
  <c r="BA29" i="47"/>
  <c r="AZ29" i="47"/>
  <c r="AY29" i="47"/>
  <c r="AX29" i="47"/>
  <c r="AW29" i="47"/>
  <c r="AV29" i="47"/>
  <c r="AU29" i="47"/>
  <c r="AT29" i="47"/>
  <c r="AS29" i="47"/>
  <c r="AR29" i="47"/>
  <c r="AQ29" i="47"/>
  <c r="AP29" i="47"/>
  <c r="AO29" i="47"/>
  <c r="AN29" i="47"/>
  <c r="AM29" i="47"/>
  <c r="AL29" i="47"/>
  <c r="AK29" i="47"/>
  <c r="AJ29" i="47"/>
  <c r="AH29" i="47"/>
  <c r="BN28" i="47"/>
  <c r="BM28" i="47"/>
  <c r="BL28" i="47"/>
  <c r="BK28" i="47"/>
  <c r="BJ28" i="47"/>
  <c r="BI28" i="47"/>
  <c r="BH28" i="47"/>
  <c r="BG28" i="47"/>
  <c r="BF28" i="47"/>
  <c r="BE28" i="47"/>
  <c r="BD28" i="47"/>
  <c r="BC28" i="47"/>
  <c r="BB28" i="47"/>
  <c r="BA28" i="47"/>
  <c r="AZ28" i="47"/>
  <c r="AY28" i="47"/>
  <c r="AX28" i="47"/>
  <c r="AW28" i="47"/>
  <c r="AV28" i="47"/>
  <c r="AU28" i="47"/>
  <c r="AT28" i="47"/>
  <c r="AS28" i="47"/>
  <c r="AR28" i="47"/>
  <c r="AQ28" i="47"/>
  <c r="AP28" i="47"/>
  <c r="AO28" i="47"/>
  <c r="AN28" i="47"/>
  <c r="AM28" i="47"/>
  <c r="AL28" i="47"/>
  <c r="AK28" i="47"/>
  <c r="AJ28" i="47"/>
  <c r="AH28" i="47"/>
  <c r="BN27" i="47"/>
  <c r="BM27" i="47"/>
  <c r="BL27" i="47"/>
  <c r="BK27" i="47"/>
  <c r="BJ27" i="47"/>
  <c r="BI27" i="47"/>
  <c r="BH27" i="47"/>
  <c r="BG27" i="47"/>
  <c r="BF27" i="47"/>
  <c r="BE27" i="47"/>
  <c r="BD27" i="47"/>
  <c r="BC27" i="47"/>
  <c r="BB27" i="47"/>
  <c r="BA27" i="47"/>
  <c r="AZ27" i="47"/>
  <c r="AY27" i="47"/>
  <c r="AX27" i="47"/>
  <c r="AW27" i="47"/>
  <c r="AV27" i="47"/>
  <c r="AU27" i="47"/>
  <c r="AT27" i="47"/>
  <c r="AS27" i="47"/>
  <c r="AR27" i="47"/>
  <c r="AQ27" i="47"/>
  <c r="AP27" i="47"/>
  <c r="AO27" i="47"/>
  <c r="AN27" i="47"/>
  <c r="AM27" i="47"/>
  <c r="AL27" i="47"/>
  <c r="AK27" i="47"/>
  <c r="AJ27" i="47"/>
  <c r="AH27" i="47"/>
  <c r="BN26" i="47"/>
  <c r="BM26" i="47"/>
  <c r="BL26" i="47"/>
  <c r="BK26" i="47"/>
  <c r="BJ26" i="47"/>
  <c r="BI26" i="47"/>
  <c r="BH26" i="47"/>
  <c r="BG26" i="47"/>
  <c r="BF26" i="47"/>
  <c r="BE26" i="47"/>
  <c r="BD26" i="47"/>
  <c r="BC26" i="47"/>
  <c r="BB26" i="47"/>
  <c r="BA26" i="47"/>
  <c r="AZ26" i="47"/>
  <c r="AY26" i="47"/>
  <c r="AX26" i="47"/>
  <c r="AW26" i="47"/>
  <c r="AV26" i="47"/>
  <c r="AU26" i="47"/>
  <c r="AT26" i="47"/>
  <c r="AS26" i="47"/>
  <c r="AR26" i="47"/>
  <c r="AQ26" i="47"/>
  <c r="AP26" i="47"/>
  <c r="AO26" i="47"/>
  <c r="AN26" i="47"/>
  <c r="AM26" i="47"/>
  <c r="AL26" i="47"/>
  <c r="AK26" i="47"/>
  <c r="AJ26" i="47"/>
  <c r="AH26" i="47"/>
  <c r="BN25" i="47"/>
  <c r="BM25" i="47"/>
  <c r="BL25" i="47"/>
  <c r="BK25" i="47"/>
  <c r="BJ25" i="47"/>
  <c r="BI25" i="47"/>
  <c r="BH25" i="47"/>
  <c r="BG25" i="47"/>
  <c r="BF25" i="47"/>
  <c r="BE25" i="47"/>
  <c r="BD25" i="47"/>
  <c r="BC25" i="47"/>
  <c r="BB25" i="47"/>
  <c r="BA25" i="47"/>
  <c r="AZ25" i="47"/>
  <c r="AY25" i="47"/>
  <c r="AX25" i="47"/>
  <c r="AW25" i="47"/>
  <c r="AV25" i="47"/>
  <c r="AU25" i="47"/>
  <c r="AS25" i="47"/>
  <c r="AR25" i="47"/>
  <c r="AQ25" i="47"/>
  <c r="AP25" i="47"/>
  <c r="AO25" i="47"/>
  <c r="AN25" i="47"/>
  <c r="AL25" i="47"/>
  <c r="AK25" i="47"/>
  <c r="M33" i="47"/>
  <c r="AM25" i="47"/>
  <c r="BN24" i="47"/>
  <c r="BM24" i="47"/>
  <c r="BL24" i="47"/>
  <c r="BK24" i="47"/>
  <c r="BJ24" i="47"/>
  <c r="BI24" i="47"/>
  <c r="BH24" i="47"/>
  <c r="BG24" i="47"/>
  <c r="BF24" i="47"/>
  <c r="BE24" i="47"/>
  <c r="BD24" i="47"/>
  <c r="BC24" i="47"/>
  <c r="BB24" i="47"/>
  <c r="BA24" i="47"/>
  <c r="AZ24" i="47"/>
  <c r="AY24" i="47"/>
  <c r="AX24" i="47"/>
  <c r="AW24" i="47"/>
  <c r="AV24" i="47"/>
  <c r="AU24" i="47"/>
  <c r="AT24" i="47"/>
  <c r="AS24" i="47"/>
  <c r="AR24" i="47"/>
  <c r="AQ24" i="47"/>
  <c r="AP24" i="47"/>
  <c r="AO24" i="47"/>
  <c r="AN24" i="47"/>
  <c r="AM24" i="47"/>
  <c r="AL24" i="47"/>
  <c r="AK24" i="47"/>
  <c r="AJ24" i="47"/>
  <c r="AH24" i="47"/>
  <c r="BN23" i="47"/>
  <c r="BM23" i="47"/>
  <c r="BL23" i="47"/>
  <c r="BK23" i="47"/>
  <c r="BJ23" i="47"/>
  <c r="BI23" i="47"/>
  <c r="BH23" i="47"/>
  <c r="BG23" i="47"/>
  <c r="BF23" i="47"/>
  <c r="BE23" i="47"/>
  <c r="BD23" i="47"/>
  <c r="BC23" i="47"/>
  <c r="BB23" i="47"/>
  <c r="BA23" i="47"/>
  <c r="AZ23" i="47"/>
  <c r="AY23" i="47"/>
  <c r="AX23" i="47"/>
  <c r="AW23" i="47"/>
  <c r="AV23" i="47"/>
  <c r="AU23" i="47"/>
  <c r="AT23" i="47"/>
  <c r="AS23" i="47"/>
  <c r="AR23" i="47"/>
  <c r="AQ23" i="47"/>
  <c r="AP23" i="47"/>
  <c r="AO23" i="47"/>
  <c r="AN23" i="47"/>
  <c r="AM23" i="47"/>
  <c r="AL23" i="47"/>
  <c r="AK23" i="47"/>
  <c r="AJ23" i="47"/>
  <c r="AH23" i="47"/>
  <c r="BN22" i="47"/>
  <c r="BM22" i="47"/>
  <c r="BL22" i="47"/>
  <c r="BK22" i="47"/>
  <c r="BJ22" i="47"/>
  <c r="BI22" i="47"/>
  <c r="BH22" i="47"/>
  <c r="BG22" i="47"/>
  <c r="BF22" i="47"/>
  <c r="BE22" i="47"/>
  <c r="BD22" i="47"/>
  <c r="BC22" i="47"/>
  <c r="BB22" i="47"/>
  <c r="BA22" i="47"/>
  <c r="AZ22" i="47"/>
  <c r="AY22" i="47"/>
  <c r="AX22" i="47"/>
  <c r="AW22" i="47"/>
  <c r="AV22" i="47"/>
  <c r="AU22" i="47"/>
  <c r="AT22" i="47"/>
  <c r="AS22" i="47"/>
  <c r="AR22" i="47"/>
  <c r="AQ22" i="47"/>
  <c r="AP22" i="47"/>
  <c r="AO22" i="47"/>
  <c r="AN22" i="47"/>
  <c r="AM22" i="47"/>
  <c r="AL22" i="47"/>
  <c r="AK22" i="47"/>
  <c r="AJ22" i="47"/>
  <c r="AH22" i="47"/>
  <c r="BN21" i="47"/>
  <c r="BM21" i="47"/>
  <c r="BL21" i="47"/>
  <c r="BK21" i="47"/>
  <c r="BJ21" i="47"/>
  <c r="BI21" i="47"/>
  <c r="BH21" i="47"/>
  <c r="BG21" i="47"/>
  <c r="BF21" i="47"/>
  <c r="BE21" i="47"/>
  <c r="BD21" i="47"/>
  <c r="BC21" i="47"/>
  <c r="BB21" i="47"/>
  <c r="BA21" i="47"/>
  <c r="AZ21" i="47"/>
  <c r="AY21" i="47"/>
  <c r="AX21" i="47"/>
  <c r="AW21" i="47"/>
  <c r="AV21" i="47"/>
  <c r="AU21" i="47"/>
  <c r="AT21" i="47"/>
  <c r="AS21" i="47"/>
  <c r="AR21" i="47"/>
  <c r="AQ21" i="47"/>
  <c r="AP21" i="47"/>
  <c r="AO21" i="47"/>
  <c r="AN21" i="47"/>
  <c r="AM21" i="47"/>
  <c r="AL21" i="47"/>
  <c r="AK21" i="47"/>
  <c r="AJ21" i="47"/>
  <c r="AH21" i="47"/>
  <c r="BN20" i="47"/>
  <c r="BM20" i="47"/>
  <c r="BL20" i="47"/>
  <c r="BK20" i="47"/>
  <c r="BJ20" i="47"/>
  <c r="BI20" i="47"/>
  <c r="BH20" i="47"/>
  <c r="BG20" i="47"/>
  <c r="BF20" i="47"/>
  <c r="BE20" i="47"/>
  <c r="BD20" i="47"/>
  <c r="BC20" i="47"/>
  <c r="BB20" i="47"/>
  <c r="BA20" i="47"/>
  <c r="AZ20" i="47"/>
  <c r="AY20" i="47"/>
  <c r="AX20" i="47"/>
  <c r="AW20" i="47"/>
  <c r="AV20" i="47"/>
  <c r="AU20" i="47"/>
  <c r="AT20" i="47"/>
  <c r="AS20" i="47"/>
  <c r="AR20" i="47"/>
  <c r="AQ20" i="47"/>
  <c r="AP20" i="47"/>
  <c r="AO20" i="47"/>
  <c r="AN20" i="47"/>
  <c r="AM20" i="47"/>
  <c r="AL20" i="47"/>
  <c r="AK20" i="47"/>
  <c r="AJ20" i="47"/>
  <c r="AH20" i="47"/>
  <c r="BN19" i="47"/>
  <c r="BM19" i="47"/>
  <c r="BL19" i="47"/>
  <c r="BK19" i="47"/>
  <c r="BJ19" i="47"/>
  <c r="BI19" i="47"/>
  <c r="BH19" i="47"/>
  <c r="BG19" i="47"/>
  <c r="BF19" i="47"/>
  <c r="BE19" i="47"/>
  <c r="BD19" i="47"/>
  <c r="BC19" i="47"/>
  <c r="BB19" i="47"/>
  <c r="BA19" i="47"/>
  <c r="AZ19" i="47"/>
  <c r="AY19" i="47"/>
  <c r="AX19" i="47"/>
  <c r="AW19" i="47"/>
  <c r="AV19" i="47"/>
  <c r="AU19" i="47"/>
  <c r="AT19" i="47"/>
  <c r="AS19" i="47"/>
  <c r="AR19" i="47"/>
  <c r="AQ19" i="47"/>
  <c r="AP19" i="47"/>
  <c r="AO19" i="47"/>
  <c r="AN19" i="47"/>
  <c r="AM19" i="47"/>
  <c r="AL19" i="47"/>
  <c r="AK19" i="47"/>
  <c r="AJ19" i="47"/>
  <c r="AH19" i="47"/>
  <c r="BN18" i="47"/>
  <c r="BM18" i="47"/>
  <c r="BL18" i="47"/>
  <c r="BK18" i="47"/>
  <c r="BJ18" i="47"/>
  <c r="BI18" i="47"/>
  <c r="BH18" i="47"/>
  <c r="BG18" i="47"/>
  <c r="BF18" i="47"/>
  <c r="BE18" i="47"/>
  <c r="BD18" i="47"/>
  <c r="BC18" i="47"/>
  <c r="BB18" i="47"/>
  <c r="BA18" i="47"/>
  <c r="AZ18" i="47"/>
  <c r="AY18" i="47"/>
  <c r="AX18" i="47"/>
  <c r="AW18" i="47"/>
  <c r="AV18" i="47"/>
  <c r="AU18" i="47"/>
  <c r="AT18" i="47"/>
  <c r="AS18" i="47"/>
  <c r="AR18" i="47"/>
  <c r="AQ18" i="47"/>
  <c r="AP18" i="47"/>
  <c r="AO18" i="47"/>
  <c r="AN18" i="47"/>
  <c r="AM18" i="47"/>
  <c r="AL18" i="47"/>
  <c r="AK18" i="47"/>
  <c r="AJ18" i="47"/>
  <c r="AH18" i="47"/>
  <c r="BN17" i="47"/>
  <c r="BM17" i="47"/>
  <c r="BL17" i="47"/>
  <c r="BK17" i="47"/>
  <c r="BJ17" i="47"/>
  <c r="BI17" i="47"/>
  <c r="BH17" i="47"/>
  <c r="BG17" i="47"/>
  <c r="BF17" i="47"/>
  <c r="BE17" i="47"/>
  <c r="BD17" i="47"/>
  <c r="BB17" i="47"/>
  <c r="BA17" i="47"/>
  <c r="AZ17" i="47"/>
  <c r="AY17" i="47"/>
  <c r="AX17" i="47"/>
  <c r="AW17" i="47"/>
  <c r="AV17" i="47"/>
  <c r="AU17" i="47"/>
  <c r="AT17" i="47"/>
  <c r="AS17" i="47"/>
  <c r="AR17" i="47"/>
  <c r="AQ17" i="47"/>
  <c r="AP17" i="47"/>
  <c r="AO17" i="47"/>
  <c r="AN17" i="47"/>
  <c r="AM17" i="47"/>
  <c r="AL17" i="47"/>
  <c r="AK17" i="47"/>
  <c r="AJ17" i="47"/>
  <c r="AH17" i="47"/>
  <c r="BC17" i="47"/>
  <c r="AH16" i="47"/>
  <c r="BN15" i="47"/>
  <c r="BM15" i="47"/>
  <c r="BL15" i="47"/>
  <c r="BK15" i="47"/>
  <c r="BJ15" i="47"/>
  <c r="BI15" i="47"/>
  <c r="BH15" i="47"/>
  <c r="BG15" i="47"/>
  <c r="BF15" i="47"/>
  <c r="BE15" i="47"/>
  <c r="BD15" i="47"/>
  <c r="BC15" i="47"/>
  <c r="BB15" i="47"/>
  <c r="BA15" i="47"/>
  <c r="AZ15" i="47"/>
  <c r="AY15" i="47"/>
  <c r="AX15" i="47"/>
  <c r="AW15" i="47"/>
  <c r="AV15" i="47"/>
  <c r="AU15" i="47"/>
  <c r="AT15" i="47"/>
  <c r="AS15" i="47"/>
  <c r="AR15" i="47"/>
  <c r="AQ15" i="47"/>
  <c r="AP15" i="47"/>
  <c r="AO15" i="47"/>
  <c r="AN15" i="47"/>
  <c r="AM15" i="47"/>
  <c r="AL15" i="47"/>
  <c r="AK15" i="47"/>
  <c r="AJ15" i="47"/>
  <c r="AH15" i="47"/>
  <c r="BN14" i="47"/>
  <c r="BM14" i="47"/>
  <c r="BL14" i="47"/>
  <c r="BK14" i="47"/>
  <c r="BJ14" i="47"/>
  <c r="BI14" i="47"/>
  <c r="BH14" i="47"/>
  <c r="BG14" i="47"/>
  <c r="BF14" i="47"/>
  <c r="BE14" i="47"/>
  <c r="BD14" i="47"/>
  <c r="BC14" i="47"/>
  <c r="BB14" i="47"/>
  <c r="BA14" i="47"/>
  <c r="AZ14" i="47"/>
  <c r="AY14" i="47"/>
  <c r="AX14" i="47"/>
  <c r="AW14" i="47"/>
  <c r="AV14" i="47"/>
  <c r="AU14" i="47"/>
  <c r="AT14" i="47"/>
  <c r="AS14" i="47"/>
  <c r="AR14" i="47"/>
  <c r="AQ14" i="47"/>
  <c r="AP14" i="47"/>
  <c r="AO14" i="47"/>
  <c r="AN14" i="47"/>
  <c r="AM14" i="47"/>
  <c r="AL14" i="47"/>
  <c r="AK14" i="47"/>
  <c r="AJ14" i="47"/>
  <c r="AH14" i="47"/>
  <c r="BN13" i="47"/>
  <c r="BM13" i="47"/>
  <c r="BL13" i="47"/>
  <c r="BK13" i="47"/>
  <c r="BJ13" i="47"/>
  <c r="BI13" i="47"/>
  <c r="BH13" i="47"/>
  <c r="BG13" i="47"/>
  <c r="BF13" i="47"/>
  <c r="BE13" i="47"/>
  <c r="BD13" i="47"/>
  <c r="BC13" i="47"/>
  <c r="BB13" i="47"/>
  <c r="BA13" i="47"/>
  <c r="AZ13" i="47"/>
  <c r="AY13" i="47"/>
  <c r="AX13" i="47"/>
  <c r="AW13" i="47"/>
  <c r="AV13" i="47"/>
  <c r="AU13" i="47"/>
  <c r="AT13" i="47"/>
  <c r="AS13" i="47"/>
  <c r="AR13" i="47"/>
  <c r="AQ13" i="47"/>
  <c r="AP13" i="47"/>
  <c r="AO13" i="47"/>
  <c r="AN13" i="47"/>
  <c r="AM13" i="47"/>
  <c r="AL13" i="47"/>
  <c r="AK13" i="47"/>
  <c r="AJ13" i="47"/>
  <c r="AH13" i="47"/>
  <c r="BN12" i="47"/>
  <c r="BM12" i="47"/>
  <c r="BL12" i="47"/>
  <c r="BK12" i="47"/>
  <c r="BJ12" i="47"/>
  <c r="BI12" i="47"/>
  <c r="BH12" i="47"/>
  <c r="BG12" i="47"/>
  <c r="BF12" i="47"/>
  <c r="BE12" i="47"/>
  <c r="BD12" i="47"/>
  <c r="BC12" i="47"/>
  <c r="BB12" i="47"/>
  <c r="BA12" i="47"/>
  <c r="AZ12" i="47"/>
  <c r="AY12" i="47"/>
  <c r="AX12" i="47"/>
  <c r="AW12" i="47"/>
  <c r="AV12" i="47"/>
  <c r="AU12" i="47"/>
  <c r="AT12" i="47"/>
  <c r="AS12" i="47"/>
  <c r="AR12" i="47"/>
  <c r="AQ12" i="47"/>
  <c r="AP12" i="47"/>
  <c r="AO12" i="47"/>
  <c r="AN12" i="47"/>
  <c r="AM12" i="47"/>
  <c r="AL12" i="47"/>
  <c r="AK12" i="47"/>
  <c r="AH12" i="47"/>
  <c r="BN11" i="47"/>
  <c r="BM11" i="47"/>
  <c r="BL11" i="47"/>
  <c r="BK11" i="47"/>
  <c r="BJ11" i="47"/>
  <c r="BI11" i="47"/>
  <c r="BH11" i="47"/>
  <c r="BG11" i="47"/>
  <c r="BF11" i="47"/>
  <c r="BE11" i="47"/>
  <c r="BD11" i="47"/>
  <c r="BC11" i="47"/>
  <c r="BB11" i="47"/>
  <c r="BA11" i="47"/>
  <c r="AZ11" i="47"/>
  <c r="AY11" i="47"/>
  <c r="AX11" i="47"/>
  <c r="AW11" i="47"/>
  <c r="AV11" i="47"/>
  <c r="AU11" i="47"/>
  <c r="AT11" i="47"/>
  <c r="AS11" i="47"/>
  <c r="AR11" i="47"/>
  <c r="AQ11" i="47"/>
  <c r="AP11" i="47"/>
  <c r="AO11" i="47"/>
  <c r="AN11" i="47"/>
  <c r="AM11" i="47"/>
  <c r="AL11" i="47"/>
  <c r="AK11" i="47"/>
  <c r="AJ11" i="47"/>
  <c r="AH11" i="47"/>
  <c r="BN10" i="47"/>
  <c r="BM10" i="47"/>
  <c r="BL10" i="47"/>
  <c r="BK10" i="47"/>
  <c r="BJ10" i="47"/>
  <c r="BI10" i="47"/>
  <c r="BH10" i="47"/>
  <c r="BG10" i="47"/>
  <c r="BF10" i="47"/>
  <c r="BE10" i="47"/>
  <c r="BD10" i="47"/>
  <c r="BC10" i="47"/>
  <c r="BB10" i="47"/>
  <c r="BA10" i="47"/>
  <c r="AZ10" i="47"/>
  <c r="AY10" i="47"/>
  <c r="AX10" i="47"/>
  <c r="AW10" i="47"/>
  <c r="AV10" i="47"/>
  <c r="AU10" i="47"/>
  <c r="AT10" i="47"/>
  <c r="AS10" i="47"/>
  <c r="AR10" i="47"/>
  <c r="AQ10" i="47"/>
  <c r="AP10" i="47"/>
  <c r="AO10" i="47"/>
  <c r="AN10" i="47"/>
  <c r="AM10" i="47"/>
  <c r="AL10" i="47"/>
  <c r="AK10" i="47"/>
  <c r="AJ10" i="47"/>
  <c r="AH10" i="47"/>
  <c r="BN9" i="47"/>
  <c r="BM9" i="47"/>
  <c r="BL9" i="47"/>
  <c r="BK9" i="47"/>
  <c r="BJ9" i="47"/>
  <c r="BI9" i="47"/>
  <c r="BH9" i="47"/>
  <c r="BG9" i="47"/>
  <c r="BF9" i="47"/>
  <c r="BE9" i="47"/>
  <c r="BD9" i="47"/>
  <c r="BC9" i="47"/>
  <c r="BB9" i="47"/>
  <c r="BA9" i="47"/>
  <c r="AZ9" i="47"/>
  <c r="AY9" i="47"/>
  <c r="AX9" i="47"/>
  <c r="AW9" i="47"/>
  <c r="AV9" i="47"/>
  <c r="AU9" i="47"/>
  <c r="AT9" i="47"/>
  <c r="AS9" i="47"/>
  <c r="AR9" i="47"/>
  <c r="AQ9" i="47"/>
  <c r="AP9" i="47"/>
  <c r="AO9" i="47"/>
  <c r="AN9" i="47"/>
  <c r="AM9" i="47"/>
  <c r="AL9" i="47"/>
  <c r="AK9" i="47"/>
  <c r="AJ9" i="47"/>
  <c r="AH9" i="47"/>
  <c r="BN8" i="47"/>
  <c r="BM8" i="47"/>
  <c r="BL8" i="47"/>
  <c r="BK8" i="47"/>
  <c r="BJ8" i="47"/>
  <c r="BI8" i="47"/>
  <c r="BH8" i="47"/>
  <c r="BG8" i="47"/>
  <c r="BF8" i="47"/>
  <c r="BE8" i="47"/>
  <c r="BD8" i="47"/>
  <c r="BC8" i="47"/>
  <c r="BB8" i="47"/>
  <c r="BA8" i="47"/>
  <c r="AZ8" i="47"/>
  <c r="AY8" i="47"/>
  <c r="AX8" i="47"/>
  <c r="AW8" i="47"/>
  <c r="AV8" i="47"/>
  <c r="AU8" i="47"/>
  <c r="AT8" i="47"/>
  <c r="AS8" i="47"/>
  <c r="AR8" i="47"/>
  <c r="AQ8" i="47"/>
  <c r="AP8" i="47"/>
  <c r="AO8" i="47"/>
  <c r="AN8" i="47"/>
  <c r="AM8" i="47"/>
  <c r="AL8" i="47"/>
  <c r="AK8" i="47"/>
  <c r="AJ8" i="47"/>
  <c r="AH8" i="47"/>
  <c r="BN7" i="47"/>
  <c r="BM7" i="47"/>
  <c r="BL7" i="47"/>
  <c r="BK7" i="47"/>
  <c r="BJ7" i="47"/>
  <c r="BI7" i="47"/>
  <c r="BH7" i="47"/>
  <c r="BG7" i="47"/>
  <c r="BF7" i="47"/>
  <c r="BE7" i="47"/>
  <c r="BD7" i="47"/>
  <c r="BC7" i="47"/>
  <c r="BB7" i="47"/>
  <c r="BA7" i="47"/>
  <c r="AZ7" i="47"/>
  <c r="AY7" i="47"/>
  <c r="AX7" i="47"/>
  <c r="AW7" i="47"/>
  <c r="AV7" i="47"/>
  <c r="AU7" i="47"/>
  <c r="AT7" i="47"/>
  <c r="AS7" i="47"/>
  <c r="AR7" i="47"/>
  <c r="AQ7" i="47"/>
  <c r="AP7" i="47"/>
  <c r="AO7" i="47"/>
  <c r="AN7" i="47"/>
  <c r="AM7" i="47"/>
  <c r="AL7" i="47"/>
  <c r="AK7" i="47"/>
  <c r="AJ7" i="47"/>
  <c r="AH7" i="47"/>
  <c r="BN6" i="47"/>
  <c r="BM6" i="47"/>
  <c r="BL6" i="47"/>
  <c r="BK6" i="47"/>
  <c r="BJ6" i="47"/>
  <c r="BI6" i="47"/>
  <c r="BH6" i="47"/>
  <c r="BG6" i="47"/>
  <c r="BF6" i="47"/>
  <c r="BE6" i="47"/>
  <c r="BD6" i="47"/>
  <c r="BC6" i="47"/>
  <c r="BB6" i="47"/>
  <c r="BA6" i="47"/>
  <c r="AZ6" i="47"/>
  <c r="AY6" i="47"/>
  <c r="AX6" i="47"/>
  <c r="AW6" i="47"/>
  <c r="AV6" i="47"/>
  <c r="AU6" i="47"/>
  <c r="AT6" i="47"/>
  <c r="AS6" i="47"/>
  <c r="AR6" i="47"/>
  <c r="AQ6" i="47"/>
  <c r="AP6" i="47"/>
  <c r="AO6" i="47"/>
  <c r="AN6" i="47"/>
  <c r="AM6" i="47"/>
  <c r="AL6" i="47"/>
  <c r="AK6" i="47"/>
  <c r="AJ6" i="47"/>
  <c r="AH6" i="47"/>
  <c r="BN5" i="47"/>
  <c r="BM5" i="47"/>
  <c r="BL5" i="47"/>
  <c r="BK5" i="47"/>
  <c r="BJ5" i="47"/>
  <c r="BI5" i="47"/>
  <c r="BH5" i="47"/>
  <c r="BG5" i="47"/>
  <c r="BF5" i="47"/>
  <c r="BE5" i="47"/>
  <c r="BD5" i="47"/>
  <c r="BC5" i="47"/>
  <c r="BB5" i="47"/>
  <c r="BA5" i="47"/>
  <c r="AZ5" i="47"/>
  <c r="AY5" i="47"/>
  <c r="AX5" i="47"/>
  <c r="AW5" i="47"/>
  <c r="AV5" i="47"/>
  <c r="AU5" i="47"/>
  <c r="AT5" i="47"/>
  <c r="AS5" i="47"/>
  <c r="AR5" i="47"/>
  <c r="AQ5" i="47"/>
  <c r="AP5" i="47"/>
  <c r="AO5" i="47"/>
  <c r="AN5" i="47"/>
  <c r="AM5" i="47"/>
  <c r="AL5" i="47"/>
  <c r="AK5" i="47"/>
  <c r="AJ5" i="47"/>
  <c r="AH5" i="47"/>
  <c r="AH1" i="47"/>
  <c r="AH33" i="46"/>
  <c r="H461" i="14"/>
  <c r="H460" i="14"/>
  <c r="BO12" i="47" l="1"/>
  <c r="BO6" i="47"/>
  <c r="BO26" i="47"/>
  <c r="BO31" i="47"/>
  <c r="BO29" i="47"/>
  <c r="BO32" i="47"/>
  <c r="BO5" i="47"/>
  <c r="BO8" i="47"/>
  <c r="BO7" i="47"/>
  <c r="BO11" i="47"/>
  <c r="BO27" i="47"/>
  <c r="BO30" i="47"/>
  <c r="BO23" i="47"/>
  <c r="BO13" i="47"/>
  <c r="BO9" i="47"/>
  <c r="BO15" i="47"/>
  <c r="BO24" i="47"/>
  <c r="BO28" i="47"/>
  <c r="BO14" i="47"/>
  <c r="BO18" i="47"/>
  <c r="BO22" i="47"/>
  <c r="BO21" i="47"/>
  <c r="BO20" i="47"/>
  <c r="BO17" i="47"/>
  <c r="BO19" i="47"/>
  <c r="BO10" i="47"/>
  <c r="AH2" i="47"/>
  <c r="F33" i="47"/>
  <c r="AH25" i="47"/>
  <c r="AJ25" i="47"/>
  <c r="AT25" i="47"/>
  <c r="H459" i="14"/>
  <c r="H458" i="14"/>
  <c r="AH33" i="47" l="1"/>
  <c r="BO25" i="47"/>
  <c r="H457" i="14"/>
  <c r="H456" i="14"/>
  <c r="AH34" i="47" l="1"/>
  <c r="AH37" i="47"/>
  <c r="AH36" i="47"/>
  <c r="AH35" i="47"/>
  <c r="H455" i="14"/>
  <c r="V17" i="46"/>
  <c r="H454" i="14"/>
  <c r="H453" i="14" l="1"/>
  <c r="H452" i="14"/>
  <c r="T25" i="46"/>
  <c r="H451" i="14"/>
  <c r="H450" i="14"/>
  <c r="H449" i="14"/>
  <c r="H448" i="14"/>
  <c r="H447" i="14"/>
  <c r="H446" i="14"/>
  <c r="M25" i="46"/>
  <c r="H445" i="14"/>
  <c r="H444" i="14"/>
  <c r="H443" i="14"/>
  <c r="H442" i="14"/>
  <c r="H441" i="14"/>
  <c r="H440" i="14"/>
  <c r="O43" i="7" l="1"/>
  <c r="H439" i="14"/>
  <c r="F7" i="14" l="1"/>
  <c r="H438" i="14"/>
  <c r="F25" i="46"/>
  <c r="D6" i="14"/>
  <c r="H437" i="14"/>
  <c r="J39" i="7"/>
  <c r="H436" i="14"/>
  <c r="AI17" i="46"/>
  <c r="BP17" i="46" s="1"/>
  <c r="AI18" i="46"/>
  <c r="AI19" i="46"/>
  <c r="AI20" i="46"/>
  <c r="BP20" i="46" s="1"/>
  <c r="AI21" i="46"/>
  <c r="AI22" i="46"/>
  <c r="BP22" i="46" s="1"/>
  <c r="AI23" i="46"/>
  <c r="AI24" i="46"/>
  <c r="AI25" i="46"/>
  <c r="BP25" i="46" s="1"/>
  <c r="AI26" i="46"/>
  <c r="AI27" i="46"/>
  <c r="BP27" i="46" s="1"/>
  <c r="AI28" i="46"/>
  <c r="BP28" i="46" s="1"/>
  <c r="AI29" i="46"/>
  <c r="BP29" i="46" s="1"/>
  <c r="AI30" i="46"/>
  <c r="AI31" i="46"/>
  <c r="AI16" i="46"/>
  <c r="AI6" i="46"/>
  <c r="BP6" i="46" s="1"/>
  <c r="AI7" i="46"/>
  <c r="AI8" i="46"/>
  <c r="BP8" i="46" s="1"/>
  <c r="AI9" i="46"/>
  <c r="BP9" i="46" s="1"/>
  <c r="AI10" i="46"/>
  <c r="AI11" i="46"/>
  <c r="AI12" i="46"/>
  <c r="BP12" i="46" s="1"/>
  <c r="AI13" i="46"/>
  <c r="AI14" i="46"/>
  <c r="AI2" i="46" s="1"/>
  <c r="AI15" i="46"/>
  <c r="AI5" i="46"/>
  <c r="L89" i="39"/>
  <c r="M89" i="39"/>
  <c r="N89" i="39"/>
  <c r="O89" i="39"/>
  <c r="P89" i="39"/>
  <c r="Q89" i="39"/>
  <c r="R89" i="39"/>
  <c r="K89" i="39"/>
  <c r="J89" i="39"/>
  <c r="I41" i="39"/>
  <c r="G89" i="39"/>
  <c r="H89" i="39"/>
  <c r="I89" i="39"/>
  <c r="O41" i="39"/>
  <c r="M41" i="39"/>
  <c r="G41" i="39"/>
  <c r="S40" i="39"/>
  <c r="R39" i="39"/>
  <c r="R41" i="39" s="1"/>
  <c r="Q39" i="39"/>
  <c r="Q41" i="39" s="1"/>
  <c r="P39" i="39"/>
  <c r="P41" i="39" s="1"/>
  <c r="O39" i="39"/>
  <c r="N39" i="39"/>
  <c r="N41" i="39" s="1"/>
  <c r="M39" i="39"/>
  <c r="L39" i="39"/>
  <c r="L41" i="39" s="1"/>
  <c r="K39" i="39"/>
  <c r="K41" i="39" s="1"/>
  <c r="J39" i="39"/>
  <c r="J41" i="39" s="1"/>
  <c r="I39" i="39"/>
  <c r="H39" i="39"/>
  <c r="G39" i="39"/>
  <c r="I68" i="46"/>
  <c r="J68" i="46" s="1"/>
  <c r="K68" i="46" s="1"/>
  <c r="L68" i="46" s="1"/>
  <c r="M68" i="46" s="1"/>
  <c r="N68" i="46" s="1"/>
  <c r="O68" i="46" s="1"/>
  <c r="P68" i="46" s="1"/>
  <c r="Q68" i="46" s="1"/>
  <c r="R68" i="46" s="1"/>
  <c r="S68" i="46" s="1"/>
  <c r="T68" i="46" s="1"/>
  <c r="U68" i="46" s="1"/>
  <c r="V68" i="46" s="1"/>
  <c r="D68" i="46"/>
  <c r="E68" i="46" s="1"/>
  <c r="F68" i="46" s="1"/>
  <c r="I67" i="46"/>
  <c r="J67" i="46" s="1"/>
  <c r="K67" i="46" s="1"/>
  <c r="L67" i="46" s="1"/>
  <c r="M67" i="46" s="1"/>
  <c r="N67" i="46" s="1"/>
  <c r="O67" i="46" s="1"/>
  <c r="P67" i="46" s="1"/>
  <c r="Q67" i="46" s="1"/>
  <c r="R67" i="46" s="1"/>
  <c r="S67" i="46" s="1"/>
  <c r="T67" i="46" s="1"/>
  <c r="U67" i="46" s="1"/>
  <c r="V67" i="46" s="1"/>
  <c r="D67" i="46"/>
  <c r="E67" i="46" s="1"/>
  <c r="F67" i="46" s="1"/>
  <c r="I66" i="46"/>
  <c r="J66" i="46" s="1"/>
  <c r="K66" i="46" s="1"/>
  <c r="L66" i="46" s="1"/>
  <c r="M66" i="46" s="1"/>
  <c r="N66" i="46" s="1"/>
  <c r="O66" i="46" s="1"/>
  <c r="P66" i="46" s="1"/>
  <c r="Q66" i="46" s="1"/>
  <c r="R66" i="46" s="1"/>
  <c r="S66" i="46" s="1"/>
  <c r="T66" i="46" s="1"/>
  <c r="U66" i="46" s="1"/>
  <c r="V66" i="46" s="1"/>
  <c r="D66" i="46"/>
  <c r="E66" i="46" s="1"/>
  <c r="F66" i="46" s="1"/>
  <c r="I65" i="46"/>
  <c r="J65" i="46" s="1"/>
  <c r="K65" i="46" s="1"/>
  <c r="L65" i="46" s="1"/>
  <c r="M65" i="46" s="1"/>
  <c r="N65" i="46" s="1"/>
  <c r="O65" i="46" s="1"/>
  <c r="P65" i="46" s="1"/>
  <c r="Q65" i="46" s="1"/>
  <c r="R65" i="46" s="1"/>
  <c r="S65" i="46" s="1"/>
  <c r="T65" i="46" s="1"/>
  <c r="U65" i="46" s="1"/>
  <c r="V65" i="46" s="1"/>
  <c r="D65" i="46"/>
  <c r="E65" i="46" s="1"/>
  <c r="F65" i="46" s="1"/>
  <c r="I64" i="46"/>
  <c r="J64" i="46" s="1"/>
  <c r="K64" i="46" s="1"/>
  <c r="L64" i="46" s="1"/>
  <c r="M64" i="46" s="1"/>
  <c r="N64" i="46" s="1"/>
  <c r="O64" i="46" s="1"/>
  <c r="P64" i="46" s="1"/>
  <c r="Q64" i="46" s="1"/>
  <c r="R64" i="46" s="1"/>
  <c r="S64" i="46" s="1"/>
  <c r="T64" i="46" s="1"/>
  <c r="U64" i="46" s="1"/>
  <c r="V64" i="46" s="1"/>
  <c r="D64" i="46"/>
  <c r="E64" i="46" s="1"/>
  <c r="F64" i="46" s="1"/>
  <c r="I63" i="46"/>
  <c r="J63" i="46" s="1"/>
  <c r="K63" i="46" s="1"/>
  <c r="L63" i="46" s="1"/>
  <c r="M63" i="46" s="1"/>
  <c r="N63" i="46" s="1"/>
  <c r="O63" i="46" s="1"/>
  <c r="P63" i="46" s="1"/>
  <c r="Q63" i="46" s="1"/>
  <c r="R63" i="46" s="1"/>
  <c r="S63" i="46" s="1"/>
  <c r="T63" i="46" s="1"/>
  <c r="U63" i="46" s="1"/>
  <c r="V63" i="46" s="1"/>
  <c r="D63" i="46"/>
  <c r="E63" i="46" s="1"/>
  <c r="F63" i="46" s="1"/>
  <c r="I62" i="46"/>
  <c r="J62" i="46" s="1"/>
  <c r="K62" i="46" s="1"/>
  <c r="L62" i="46" s="1"/>
  <c r="M62" i="46" s="1"/>
  <c r="N62" i="46" s="1"/>
  <c r="O62" i="46" s="1"/>
  <c r="P62" i="46" s="1"/>
  <c r="Q62" i="46" s="1"/>
  <c r="R62" i="46" s="1"/>
  <c r="S62" i="46" s="1"/>
  <c r="T62" i="46" s="1"/>
  <c r="U62" i="46" s="1"/>
  <c r="V62" i="46" s="1"/>
  <c r="D62" i="46"/>
  <c r="E62" i="46" s="1"/>
  <c r="F62" i="46" s="1"/>
  <c r="I61" i="46"/>
  <c r="J61" i="46" s="1"/>
  <c r="K61" i="46" s="1"/>
  <c r="L61" i="46" s="1"/>
  <c r="M61" i="46" s="1"/>
  <c r="N61" i="46" s="1"/>
  <c r="O61" i="46" s="1"/>
  <c r="P61" i="46" s="1"/>
  <c r="Q61" i="46" s="1"/>
  <c r="R61" i="46" s="1"/>
  <c r="S61" i="46" s="1"/>
  <c r="T61" i="46" s="1"/>
  <c r="U61" i="46" s="1"/>
  <c r="V61" i="46" s="1"/>
  <c r="D61" i="46"/>
  <c r="E61" i="46" s="1"/>
  <c r="F61" i="46" s="1"/>
  <c r="I60" i="46"/>
  <c r="J60" i="46" s="1"/>
  <c r="K60" i="46" s="1"/>
  <c r="L60" i="46" s="1"/>
  <c r="M60" i="46" s="1"/>
  <c r="N60" i="46" s="1"/>
  <c r="O60" i="46" s="1"/>
  <c r="P60" i="46" s="1"/>
  <c r="Q60" i="46" s="1"/>
  <c r="R60" i="46" s="1"/>
  <c r="S60" i="46" s="1"/>
  <c r="T60" i="46" s="1"/>
  <c r="U60" i="46" s="1"/>
  <c r="V60" i="46" s="1"/>
  <c r="D60" i="46"/>
  <c r="E60" i="46" s="1"/>
  <c r="F60" i="46" s="1"/>
  <c r="I59" i="46"/>
  <c r="J59" i="46" s="1"/>
  <c r="K59" i="46" s="1"/>
  <c r="L59" i="46" s="1"/>
  <c r="M59" i="46" s="1"/>
  <c r="N59" i="46" s="1"/>
  <c r="O59" i="46" s="1"/>
  <c r="P59" i="46" s="1"/>
  <c r="Q59" i="46" s="1"/>
  <c r="R59" i="46" s="1"/>
  <c r="S59" i="46" s="1"/>
  <c r="T59" i="46" s="1"/>
  <c r="U59" i="46" s="1"/>
  <c r="V59" i="46" s="1"/>
  <c r="D59" i="46"/>
  <c r="E59" i="46" s="1"/>
  <c r="F59" i="46" s="1"/>
  <c r="I58" i="46"/>
  <c r="J58" i="46" s="1"/>
  <c r="K58" i="46" s="1"/>
  <c r="L58" i="46" s="1"/>
  <c r="M58" i="46" s="1"/>
  <c r="N58" i="46" s="1"/>
  <c r="O58" i="46" s="1"/>
  <c r="P58" i="46" s="1"/>
  <c r="Q58" i="46" s="1"/>
  <c r="R58" i="46" s="1"/>
  <c r="S58" i="46" s="1"/>
  <c r="T58" i="46" s="1"/>
  <c r="U58" i="46" s="1"/>
  <c r="V58" i="46" s="1"/>
  <c r="D58" i="46"/>
  <c r="E58" i="46" s="1"/>
  <c r="F58" i="46" s="1"/>
  <c r="I57" i="46"/>
  <c r="J57" i="46" s="1"/>
  <c r="K57" i="46" s="1"/>
  <c r="L57" i="46" s="1"/>
  <c r="M57" i="46" s="1"/>
  <c r="N57" i="46" s="1"/>
  <c r="O57" i="46" s="1"/>
  <c r="P57" i="46" s="1"/>
  <c r="Q57" i="46" s="1"/>
  <c r="R57" i="46" s="1"/>
  <c r="S57" i="46" s="1"/>
  <c r="T57" i="46" s="1"/>
  <c r="U57" i="46" s="1"/>
  <c r="V57" i="46" s="1"/>
  <c r="D57" i="46"/>
  <c r="E57" i="46" s="1"/>
  <c r="F57" i="46" s="1"/>
  <c r="I56" i="46"/>
  <c r="J56" i="46" s="1"/>
  <c r="K56" i="46" s="1"/>
  <c r="L56" i="46" s="1"/>
  <c r="M56" i="46" s="1"/>
  <c r="N56" i="46" s="1"/>
  <c r="O56" i="46" s="1"/>
  <c r="P56" i="46" s="1"/>
  <c r="Q56" i="46" s="1"/>
  <c r="R56" i="46" s="1"/>
  <c r="S56" i="46" s="1"/>
  <c r="T56" i="46" s="1"/>
  <c r="U56" i="46" s="1"/>
  <c r="V56" i="46" s="1"/>
  <c r="D56" i="46"/>
  <c r="E56" i="46" s="1"/>
  <c r="F56" i="46" s="1"/>
  <c r="I55" i="46"/>
  <c r="J55" i="46" s="1"/>
  <c r="K55" i="46" s="1"/>
  <c r="L55" i="46" s="1"/>
  <c r="M55" i="46" s="1"/>
  <c r="N55" i="46" s="1"/>
  <c r="O55" i="46" s="1"/>
  <c r="P55" i="46" s="1"/>
  <c r="Q55" i="46" s="1"/>
  <c r="R55" i="46" s="1"/>
  <c r="S55" i="46" s="1"/>
  <c r="T55" i="46" s="1"/>
  <c r="U55" i="46" s="1"/>
  <c r="V55" i="46" s="1"/>
  <c r="D55" i="46"/>
  <c r="E55" i="46" s="1"/>
  <c r="F55" i="46" s="1"/>
  <c r="I54" i="46"/>
  <c r="J54" i="46" s="1"/>
  <c r="K54" i="46" s="1"/>
  <c r="L54" i="46" s="1"/>
  <c r="M54" i="46" s="1"/>
  <c r="N54" i="46" s="1"/>
  <c r="O54" i="46" s="1"/>
  <c r="P54" i="46" s="1"/>
  <c r="Q54" i="46" s="1"/>
  <c r="R54" i="46" s="1"/>
  <c r="S54" i="46" s="1"/>
  <c r="T54" i="46" s="1"/>
  <c r="U54" i="46" s="1"/>
  <c r="V54" i="46" s="1"/>
  <c r="D54" i="46"/>
  <c r="E54" i="46" s="1"/>
  <c r="F54" i="46" s="1"/>
  <c r="I53" i="46"/>
  <c r="J53" i="46" s="1"/>
  <c r="K53" i="46" s="1"/>
  <c r="L53" i="46" s="1"/>
  <c r="M53" i="46" s="1"/>
  <c r="N53" i="46" s="1"/>
  <c r="O53" i="46" s="1"/>
  <c r="P53" i="46" s="1"/>
  <c r="Q53" i="46" s="1"/>
  <c r="R53" i="46" s="1"/>
  <c r="S53" i="46" s="1"/>
  <c r="T53" i="46" s="1"/>
  <c r="U53" i="46" s="1"/>
  <c r="V53" i="46" s="1"/>
  <c r="D53" i="46"/>
  <c r="E53" i="46" s="1"/>
  <c r="F53" i="46" s="1"/>
  <c r="I52" i="46"/>
  <c r="J52" i="46" s="1"/>
  <c r="K52" i="46" s="1"/>
  <c r="L52" i="46" s="1"/>
  <c r="M52" i="46" s="1"/>
  <c r="N52" i="46" s="1"/>
  <c r="O52" i="46" s="1"/>
  <c r="P52" i="46" s="1"/>
  <c r="Q52" i="46" s="1"/>
  <c r="R52" i="46" s="1"/>
  <c r="S52" i="46" s="1"/>
  <c r="T52" i="46" s="1"/>
  <c r="U52" i="46" s="1"/>
  <c r="V52" i="46" s="1"/>
  <c r="D52" i="46"/>
  <c r="E52" i="46" s="1"/>
  <c r="F52" i="46" s="1"/>
  <c r="I51" i="46"/>
  <c r="J51" i="46" s="1"/>
  <c r="K51" i="46" s="1"/>
  <c r="L51" i="46" s="1"/>
  <c r="M51" i="46" s="1"/>
  <c r="N51" i="46" s="1"/>
  <c r="O51" i="46" s="1"/>
  <c r="P51" i="46" s="1"/>
  <c r="Q51" i="46" s="1"/>
  <c r="R51" i="46" s="1"/>
  <c r="S51" i="46" s="1"/>
  <c r="T51" i="46" s="1"/>
  <c r="U51" i="46" s="1"/>
  <c r="V51" i="46" s="1"/>
  <c r="D51" i="46"/>
  <c r="E51" i="46" s="1"/>
  <c r="F51" i="46" s="1"/>
  <c r="I50" i="46"/>
  <c r="J50" i="46" s="1"/>
  <c r="K50" i="46" s="1"/>
  <c r="L50" i="46" s="1"/>
  <c r="M50" i="46" s="1"/>
  <c r="N50" i="46" s="1"/>
  <c r="O50" i="46" s="1"/>
  <c r="P50" i="46" s="1"/>
  <c r="Q50" i="46" s="1"/>
  <c r="R50" i="46" s="1"/>
  <c r="S50" i="46" s="1"/>
  <c r="T50" i="46" s="1"/>
  <c r="U50" i="46" s="1"/>
  <c r="V50" i="46" s="1"/>
  <c r="D50" i="46"/>
  <c r="E50" i="46" s="1"/>
  <c r="F50" i="46" s="1"/>
  <c r="I49" i="46"/>
  <c r="J49" i="46" s="1"/>
  <c r="K49" i="46" s="1"/>
  <c r="L49" i="46" s="1"/>
  <c r="M49" i="46" s="1"/>
  <c r="N49" i="46" s="1"/>
  <c r="O49" i="46" s="1"/>
  <c r="P49" i="46" s="1"/>
  <c r="Q49" i="46" s="1"/>
  <c r="R49" i="46" s="1"/>
  <c r="S49" i="46" s="1"/>
  <c r="T49" i="46" s="1"/>
  <c r="U49" i="46" s="1"/>
  <c r="V49" i="46" s="1"/>
  <c r="D49" i="46"/>
  <c r="E49" i="46" s="1"/>
  <c r="F49" i="46" s="1"/>
  <c r="J48" i="46"/>
  <c r="K48" i="46" s="1"/>
  <c r="L48" i="46" s="1"/>
  <c r="M48" i="46" s="1"/>
  <c r="N48" i="46" s="1"/>
  <c r="O48" i="46" s="1"/>
  <c r="P48" i="46" s="1"/>
  <c r="Q48" i="46" s="1"/>
  <c r="R48" i="46" s="1"/>
  <c r="S48" i="46" s="1"/>
  <c r="T48" i="46" s="1"/>
  <c r="U48" i="46" s="1"/>
  <c r="V48" i="46" s="1"/>
  <c r="I48" i="46"/>
  <c r="D48" i="46"/>
  <c r="E48" i="46" s="1"/>
  <c r="F48" i="46" s="1"/>
  <c r="I47" i="46"/>
  <c r="J47" i="46" s="1"/>
  <c r="K47" i="46" s="1"/>
  <c r="L47" i="46" s="1"/>
  <c r="M47" i="46" s="1"/>
  <c r="N47" i="46" s="1"/>
  <c r="O47" i="46" s="1"/>
  <c r="P47" i="46" s="1"/>
  <c r="Q47" i="46" s="1"/>
  <c r="R47" i="46" s="1"/>
  <c r="S47" i="46" s="1"/>
  <c r="T47" i="46" s="1"/>
  <c r="U47" i="46" s="1"/>
  <c r="V47" i="46" s="1"/>
  <c r="D47" i="46"/>
  <c r="E47" i="46" s="1"/>
  <c r="F47" i="46" s="1"/>
  <c r="H46" i="46"/>
  <c r="I46" i="46" s="1"/>
  <c r="J46" i="46" s="1"/>
  <c r="K46" i="46" s="1"/>
  <c r="L46" i="46" s="1"/>
  <c r="M46" i="46" s="1"/>
  <c r="N46" i="46" s="1"/>
  <c r="O46" i="46" s="1"/>
  <c r="P46" i="46" s="1"/>
  <c r="Q46" i="46" s="1"/>
  <c r="R46" i="46" s="1"/>
  <c r="S46" i="46" s="1"/>
  <c r="T46" i="46" s="1"/>
  <c r="U46" i="46" s="1"/>
  <c r="V46" i="46" s="1"/>
  <c r="G46" i="46"/>
  <c r="D46" i="46"/>
  <c r="E46" i="46" s="1"/>
  <c r="F46" i="46" s="1"/>
  <c r="AM45" i="46"/>
  <c r="I45" i="46"/>
  <c r="J45" i="46" s="1"/>
  <c r="K45" i="46" s="1"/>
  <c r="L45" i="46" s="1"/>
  <c r="M45" i="46" s="1"/>
  <c r="N45" i="46" s="1"/>
  <c r="O45" i="46" s="1"/>
  <c r="P45" i="46" s="1"/>
  <c r="Q45" i="46" s="1"/>
  <c r="R45" i="46" s="1"/>
  <c r="S45" i="46" s="1"/>
  <c r="T45" i="46" s="1"/>
  <c r="U45" i="46" s="1"/>
  <c r="V45" i="46" s="1"/>
  <c r="D45" i="46"/>
  <c r="E45" i="46" s="1"/>
  <c r="F45" i="46" s="1"/>
  <c r="AG43" i="46"/>
  <c r="AA43" i="46"/>
  <c r="Z43" i="46"/>
  <c r="T43" i="46"/>
  <c r="S43" i="46"/>
  <c r="M43" i="46"/>
  <c r="L43" i="46"/>
  <c r="F43" i="46"/>
  <c r="E43" i="46"/>
  <c r="AF41" i="46"/>
  <c r="AF42" i="46" s="1"/>
  <c r="O41" i="46"/>
  <c r="AE40" i="46"/>
  <c r="AC40" i="46"/>
  <c r="I39" i="46"/>
  <c r="T38" i="46"/>
  <c r="N37" i="46"/>
  <c r="L37" i="46"/>
  <c r="AJ33" i="46"/>
  <c r="AG33" i="46"/>
  <c r="AF33" i="46"/>
  <c r="AE33" i="46"/>
  <c r="AD33" i="46"/>
  <c r="AC33" i="46"/>
  <c r="AB33" i="46"/>
  <c r="AA33" i="46"/>
  <c r="Z33" i="46"/>
  <c r="Y33" i="46"/>
  <c r="X33" i="46"/>
  <c r="W33" i="46"/>
  <c r="V33" i="46"/>
  <c r="T33" i="46"/>
  <c r="S33" i="46"/>
  <c r="R33" i="46"/>
  <c r="Q33" i="46"/>
  <c r="P33" i="46"/>
  <c r="O33" i="46"/>
  <c r="M33" i="46"/>
  <c r="L33" i="46"/>
  <c r="K33" i="46"/>
  <c r="J33" i="46"/>
  <c r="I33" i="46"/>
  <c r="H33" i="46"/>
  <c r="G33" i="46"/>
  <c r="F33" i="46"/>
  <c r="E33" i="46"/>
  <c r="D33" i="46"/>
  <c r="BO32" i="46"/>
  <c r="BN32" i="46"/>
  <c r="BM32" i="46"/>
  <c r="BL32" i="46"/>
  <c r="BK32" i="46"/>
  <c r="BJ32" i="46"/>
  <c r="BI32" i="46"/>
  <c r="BH32" i="46"/>
  <c r="BG32" i="46"/>
  <c r="BF32" i="46"/>
  <c r="BE32" i="46"/>
  <c r="BD32" i="46"/>
  <c r="BC32" i="46"/>
  <c r="BB32" i="46"/>
  <c r="BA32" i="46"/>
  <c r="AZ32" i="46"/>
  <c r="AY32" i="46"/>
  <c r="AX32" i="46"/>
  <c r="AW32" i="46"/>
  <c r="AV32" i="46"/>
  <c r="AU32" i="46"/>
  <c r="AT32" i="46"/>
  <c r="AS32" i="46"/>
  <c r="AR32" i="46"/>
  <c r="AQ32" i="46"/>
  <c r="AP32" i="46"/>
  <c r="AO32" i="46"/>
  <c r="AN32" i="46"/>
  <c r="AM32" i="46"/>
  <c r="AL32" i="46"/>
  <c r="AI32" i="46"/>
  <c r="BP32" i="46" s="1"/>
  <c r="BO31" i="46"/>
  <c r="BN31" i="46"/>
  <c r="BM31" i="46"/>
  <c r="BL31" i="46"/>
  <c r="BK31" i="46"/>
  <c r="BJ31" i="46"/>
  <c r="BI31" i="46"/>
  <c r="BH31" i="46"/>
  <c r="BG31" i="46"/>
  <c r="BF31" i="46"/>
  <c r="BE31" i="46"/>
  <c r="BD31" i="46"/>
  <c r="BC31" i="46"/>
  <c r="BB31" i="46"/>
  <c r="BA31" i="46"/>
  <c r="AZ31" i="46"/>
  <c r="AY31" i="46"/>
  <c r="AX31" i="46"/>
  <c r="AW31" i="46"/>
  <c r="AV31" i="46"/>
  <c r="AU31" i="46"/>
  <c r="AT31" i="46"/>
  <c r="AS31" i="46"/>
  <c r="AR31" i="46"/>
  <c r="AQ31" i="46"/>
  <c r="AP31" i="46"/>
  <c r="AO31" i="46"/>
  <c r="AN31" i="46"/>
  <c r="AM31" i="46"/>
  <c r="AL31" i="46"/>
  <c r="AK31" i="46"/>
  <c r="BO30" i="46"/>
  <c r="BN30" i="46"/>
  <c r="BM30" i="46"/>
  <c r="BL30" i="46"/>
  <c r="BK30" i="46"/>
  <c r="BJ30" i="46"/>
  <c r="BI30" i="46"/>
  <c r="BH30" i="46"/>
  <c r="BG30" i="46"/>
  <c r="BF30" i="46"/>
  <c r="BE30" i="46"/>
  <c r="BD30" i="46"/>
  <c r="BC30" i="46"/>
  <c r="BB30" i="46"/>
  <c r="BA30" i="46"/>
  <c r="AZ30" i="46"/>
  <c r="AY30" i="46"/>
  <c r="AX30" i="46"/>
  <c r="AW30" i="46"/>
  <c r="AV30" i="46"/>
  <c r="AU30" i="46"/>
  <c r="AT30" i="46"/>
  <c r="AS30" i="46"/>
  <c r="AR30" i="46"/>
  <c r="AQ30" i="46"/>
  <c r="AP30" i="46"/>
  <c r="AO30" i="46"/>
  <c r="AN30" i="46"/>
  <c r="AM30" i="46"/>
  <c r="AL30" i="46"/>
  <c r="AK30" i="46"/>
  <c r="BO29" i="46"/>
  <c r="BN29" i="46"/>
  <c r="BM29" i="46"/>
  <c r="BL29" i="46"/>
  <c r="BK29" i="46"/>
  <c r="BJ29" i="46"/>
  <c r="BI29" i="46"/>
  <c r="BH29" i="46"/>
  <c r="BG29" i="46"/>
  <c r="BF29" i="46"/>
  <c r="BE29" i="46"/>
  <c r="BD29" i="46"/>
  <c r="BC29" i="46"/>
  <c r="BB29" i="46"/>
  <c r="BA29" i="46"/>
  <c r="AZ29" i="46"/>
  <c r="AY29" i="46"/>
  <c r="AX29" i="46"/>
  <c r="AW29" i="46"/>
  <c r="AV29" i="46"/>
  <c r="AU29" i="46"/>
  <c r="AT29" i="46"/>
  <c r="AS29" i="46"/>
  <c r="AR29" i="46"/>
  <c r="AQ29" i="46"/>
  <c r="AP29" i="46"/>
  <c r="AO29" i="46"/>
  <c r="AN29" i="46"/>
  <c r="AM29" i="46"/>
  <c r="AL29" i="46"/>
  <c r="AK29" i="46"/>
  <c r="BO28" i="46"/>
  <c r="BN28" i="46"/>
  <c r="BM28" i="46"/>
  <c r="BL28" i="46"/>
  <c r="BK28" i="46"/>
  <c r="BJ28" i="46"/>
  <c r="BI28" i="46"/>
  <c r="BH28" i="46"/>
  <c r="BG28" i="46"/>
  <c r="BF28" i="46"/>
  <c r="BE28" i="46"/>
  <c r="BD28" i="46"/>
  <c r="BC28" i="46"/>
  <c r="BB28" i="46"/>
  <c r="BA28" i="46"/>
  <c r="AZ28" i="46"/>
  <c r="AY28" i="46"/>
  <c r="AX28" i="46"/>
  <c r="AW28" i="46"/>
  <c r="AV28" i="46"/>
  <c r="AU28" i="46"/>
  <c r="AT28" i="46"/>
  <c r="AS28" i="46"/>
  <c r="AR28" i="46"/>
  <c r="AQ28" i="46"/>
  <c r="AP28" i="46"/>
  <c r="AO28" i="46"/>
  <c r="AN28" i="46"/>
  <c r="AM28" i="46"/>
  <c r="AL28" i="46"/>
  <c r="AK28" i="46"/>
  <c r="BO27" i="46"/>
  <c r="BN27" i="46"/>
  <c r="BM27" i="46"/>
  <c r="BL27" i="46"/>
  <c r="BK27" i="46"/>
  <c r="BJ27" i="46"/>
  <c r="BI27" i="46"/>
  <c r="BH27" i="46"/>
  <c r="BG27" i="46"/>
  <c r="BF27" i="46"/>
  <c r="BE27" i="46"/>
  <c r="BD27" i="46"/>
  <c r="BC27" i="46"/>
  <c r="BB27" i="46"/>
  <c r="BA27" i="46"/>
  <c r="AZ27" i="46"/>
  <c r="AY27" i="46"/>
  <c r="AX27" i="46"/>
  <c r="AW27" i="46"/>
  <c r="AV27" i="46"/>
  <c r="AU27" i="46"/>
  <c r="AT27" i="46"/>
  <c r="AS27" i="46"/>
  <c r="AR27" i="46"/>
  <c r="AQ27" i="46"/>
  <c r="AP27" i="46"/>
  <c r="AO27" i="46"/>
  <c r="AN27" i="46"/>
  <c r="AM27" i="46"/>
  <c r="AL27" i="46"/>
  <c r="AK27" i="46"/>
  <c r="BO26" i="46"/>
  <c r="BN26" i="46"/>
  <c r="BM26" i="46"/>
  <c r="BL26" i="46"/>
  <c r="BK26" i="46"/>
  <c r="BJ26" i="46"/>
  <c r="BI26" i="46"/>
  <c r="BH26" i="46"/>
  <c r="BG26" i="46"/>
  <c r="BF26" i="46"/>
  <c r="BE26" i="46"/>
  <c r="BD26" i="46"/>
  <c r="BC26" i="46"/>
  <c r="BB26" i="46"/>
  <c r="BA26" i="46"/>
  <c r="AZ26" i="46"/>
  <c r="AY26" i="46"/>
  <c r="AX26" i="46"/>
  <c r="AW26" i="46"/>
  <c r="AV26" i="46"/>
  <c r="AU26" i="46"/>
  <c r="AT26" i="46"/>
  <c r="AS26" i="46"/>
  <c r="AR26" i="46"/>
  <c r="AQ26" i="46"/>
  <c r="AP26" i="46"/>
  <c r="AO26" i="46"/>
  <c r="AN26" i="46"/>
  <c r="AM26" i="46"/>
  <c r="AL26" i="46"/>
  <c r="AK26" i="46"/>
  <c r="BO25" i="46"/>
  <c r="BN25" i="46"/>
  <c r="BM25" i="46"/>
  <c r="BL25" i="46"/>
  <c r="BK25" i="46"/>
  <c r="BJ25" i="46"/>
  <c r="BI25" i="46"/>
  <c r="BH25" i="46"/>
  <c r="BG25" i="46"/>
  <c r="BF25" i="46"/>
  <c r="BE25" i="46"/>
  <c r="BD25" i="46"/>
  <c r="BC25" i="46"/>
  <c r="BB25" i="46"/>
  <c r="BA25" i="46"/>
  <c r="AZ25" i="46"/>
  <c r="AY25" i="46"/>
  <c r="AX25" i="46"/>
  <c r="AW25" i="46"/>
  <c r="AV25" i="46"/>
  <c r="AU25" i="46"/>
  <c r="AT25" i="46"/>
  <c r="AS25" i="46"/>
  <c r="AR25" i="46"/>
  <c r="AQ25" i="46"/>
  <c r="AP25" i="46"/>
  <c r="AO25" i="46"/>
  <c r="AN25" i="46"/>
  <c r="AM25" i="46"/>
  <c r="AL25" i="46"/>
  <c r="AK25" i="46"/>
  <c r="U33" i="46"/>
  <c r="N33" i="46"/>
  <c r="BO24" i="46"/>
  <c r="BN24" i="46"/>
  <c r="BM24" i="46"/>
  <c r="BL24" i="46"/>
  <c r="BK24" i="46"/>
  <c r="BJ24" i="46"/>
  <c r="BI24" i="46"/>
  <c r="BH24" i="46"/>
  <c r="BG24" i="46"/>
  <c r="BF24" i="46"/>
  <c r="BE24" i="46"/>
  <c r="BD24" i="46"/>
  <c r="BC24" i="46"/>
  <c r="BB24" i="46"/>
  <c r="BA24" i="46"/>
  <c r="AZ24" i="46"/>
  <c r="AY24" i="46"/>
  <c r="AX24" i="46"/>
  <c r="AW24" i="46"/>
  <c r="AU24" i="46"/>
  <c r="AT24" i="46"/>
  <c r="AS24" i="46"/>
  <c r="AR24" i="46"/>
  <c r="AQ24" i="46"/>
  <c r="AP24" i="46"/>
  <c r="AO24" i="46"/>
  <c r="AN24" i="46"/>
  <c r="AM24" i="46"/>
  <c r="AL24" i="46"/>
  <c r="AK24" i="46"/>
  <c r="BO23" i="46"/>
  <c r="BN23" i="46"/>
  <c r="BM23" i="46"/>
  <c r="BL23" i="46"/>
  <c r="BK23" i="46"/>
  <c r="BJ23" i="46"/>
  <c r="BI23" i="46"/>
  <c r="BH23" i="46"/>
  <c r="BG23" i="46"/>
  <c r="BF23" i="46"/>
  <c r="BE23" i="46"/>
  <c r="BD23" i="46"/>
  <c r="BC23" i="46"/>
  <c r="BB23" i="46"/>
  <c r="BA23" i="46"/>
  <c r="AZ23" i="46"/>
  <c r="AY23" i="46"/>
  <c r="AX23" i="46"/>
  <c r="AW23" i="46"/>
  <c r="AV23" i="46"/>
  <c r="AU23" i="46"/>
  <c r="AT23" i="46"/>
  <c r="AS23" i="46"/>
  <c r="AR23" i="46"/>
  <c r="AQ23" i="46"/>
  <c r="AP23" i="46"/>
  <c r="AO23" i="46"/>
  <c r="AN23" i="46"/>
  <c r="AM23" i="46"/>
  <c r="AL23" i="46"/>
  <c r="AK23" i="46"/>
  <c r="BO22" i="46"/>
  <c r="BN22" i="46"/>
  <c r="BM22" i="46"/>
  <c r="BL22" i="46"/>
  <c r="BK22" i="46"/>
  <c r="BJ22" i="46"/>
  <c r="BI22" i="46"/>
  <c r="BH22" i="46"/>
  <c r="BG22" i="46"/>
  <c r="BF22" i="46"/>
  <c r="BE22" i="46"/>
  <c r="BD22" i="46"/>
  <c r="BC22" i="46"/>
  <c r="BB22" i="46"/>
  <c r="BA22" i="46"/>
  <c r="AZ22" i="46"/>
  <c r="AY22" i="46"/>
  <c r="AX22" i="46"/>
  <c r="AW22" i="46"/>
  <c r="AV22" i="46"/>
  <c r="AU22" i="46"/>
  <c r="AT22" i="46"/>
  <c r="AS22" i="46"/>
  <c r="AR22" i="46"/>
  <c r="AQ22" i="46"/>
  <c r="AP22" i="46"/>
  <c r="AO22" i="46"/>
  <c r="AN22" i="46"/>
  <c r="AM22" i="46"/>
  <c r="AL22" i="46"/>
  <c r="AK22" i="46"/>
  <c r="BO21" i="46"/>
  <c r="BN21" i="46"/>
  <c r="BM21" i="46"/>
  <c r="BL21" i="46"/>
  <c r="BK21" i="46"/>
  <c r="BJ21" i="46"/>
  <c r="BI21" i="46"/>
  <c r="BH21" i="46"/>
  <c r="BG21" i="46"/>
  <c r="BF21" i="46"/>
  <c r="BE21" i="46"/>
  <c r="BD21" i="46"/>
  <c r="BC21" i="46"/>
  <c r="BB21" i="46"/>
  <c r="BA21" i="46"/>
  <c r="AZ21" i="46"/>
  <c r="AY21" i="46"/>
  <c r="AX21" i="46"/>
  <c r="AW21" i="46"/>
  <c r="AV21" i="46"/>
  <c r="AU21" i="46"/>
  <c r="AT21" i="46"/>
  <c r="AS21" i="46"/>
  <c r="AR21" i="46"/>
  <c r="AQ21" i="46"/>
  <c r="AP21" i="46"/>
  <c r="AO21" i="46"/>
  <c r="AN21" i="46"/>
  <c r="AM21" i="46"/>
  <c r="AL21" i="46"/>
  <c r="AK21" i="46"/>
  <c r="BO20" i="46"/>
  <c r="BN20" i="46"/>
  <c r="BM20" i="46"/>
  <c r="BL20" i="46"/>
  <c r="BK20" i="46"/>
  <c r="BJ20" i="46"/>
  <c r="BI20" i="46"/>
  <c r="BH20" i="46"/>
  <c r="BG20" i="46"/>
  <c r="BF20" i="46"/>
  <c r="BE20" i="46"/>
  <c r="BD20" i="46"/>
  <c r="BC20" i="46"/>
  <c r="BB20" i="46"/>
  <c r="BA20" i="46"/>
  <c r="AZ20" i="46"/>
  <c r="AY20" i="46"/>
  <c r="AX20" i="46"/>
  <c r="AW20" i="46"/>
  <c r="AV20" i="46"/>
  <c r="AU20" i="46"/>
  <c r="AT20" i="46"/>
  <c r="AS20" i="46"/>
  <c r="AR20" i="46"/>
  <c r="AQ20" i="46"/>
  <c r="AP20" i="46"/>
  <c r="AO20" i="46"/>
  <c r="AN20" i="46"/>
  <c r="AM20" i="46"/>
  <c r="AL20" i="46"/>
  <c r="AK20" i="46"/>
  <c r="BO19" i="46"/>
  <c r="BN19" i="46"/>
  <c r="BM19" i="46"/>
  <c r="BL19" i="46"/>
  <c r="BK19" i="46"/>
  <c r="BJ19" i="46"/>
  <c r="BI19" i="46"/>
  <c r="BH19" i="46"/>
  <c r="BG19" i="46"/>
  <c r="BF19" i="46"/>
  <c r="BE19" i="46"/>
  <c r="BD19" i="46"/>
  <c r="BC19" i="46"/>
  <c r="BB19" i="46"/>
  <c r="BA19" i="46"/>
  <c r="AZ19" i="46"/>
  <c r="AY19" i="46"/>
  <c r="AX19" i="46"/>
  <c r="AW19" i="46"/>
  <c r="AV19" i="46"/>
  <c r="AU19" i="46"/>
  <c r="AT19" i="46"/>
  <c r="AS19" i="46"/>
  <c r="AR19" i="46"/>
  <c r="AQ19" i="46"/>
  <c r="AP19" i="46"/>
  <c r="AO19" i="46"/>
  <c r="AN19" i="46"/>
  <c r="AM19" i="46"/>
  <c r="AL19" i="46"/>
  <c r="AK19" i="46"/>
  <c r="BO18" i="46"/>
  <c r="BN18" i="46"/>
  <c r="BM18" i="46"/>
  <c r="BL18" i="46"/>
  <c r="BK18" i="46"/>
  <c r="BJ18" i="46"/>
  <c r="BI18" i="46"/>
  <c r="BH18" i="46"/>
  <c r="BG18" i="46"/>
  <c r="BF18" i="46"/>
  <c r="BE18" i="46"/>
  <c r="BD18" i="46"/>
  <c r="BC18" i="46"/>
  <c r="BB18" i="46"/>
  <c r="BA18" i="46"/>
  <c r="AZ18" i="46"/>
  <c r="AY18" i="46"/>
  <c r="AX18" i="46"/>
  <c r="AW18" i="46"/>
  <c r="AV18" i="46"/>
  <c r="AU18" i="46"/>
  <c r="AT18" i="46"/>
  <c r="AS18" i="46"/>
  <c r="AR18" i="46"/>
  <c r="AQ18" i="46"/>
  <c r="AP18" i="46"/>
  <c r="AO18" i="46"/>
  <c r="AN18" i="46"/>
  <c r="AM18" i="46"/>
  <c r="AL18" i="46"/>
  <c r="AK18" i="46"/>
  <c r="BO17" i="46"/>
  <c r="BN17" i="46"/>
  <c r="BM17" i="46"/>
  <c r="BL17" i="46"/>
  <c r="BK17" i="46"/>
  <c r="BJ17" i="46"/>
  <c r="BI17" i="46"/>
  <c r="BH17" i="46"/>
  <c r="BG17" i="46"/>
  <c r="BF17" i="46"/>
  <c r="BE17" i="46"/>
  <c r="BD17" i="46"/>
  <c r="BC17" i="46"/>
  <c r="BB17" i="46"/>
  <c r="BA17" i="46"/>
  <c r="AZ17" i="46"/>
  <c r="AY17" i="46"/>
  <c r="AX17" i="46"/>
  <c r="AW17" i="46"/>
  <c r="AV17" i="46"/>
  <c r="AU17" i="46"/>
  <c r="AT17" i="46"/>
  <c r="AS17" i="46"/>
  <c r="AR17" i="46"/>
  <c r="AQ17" i="46"/>
  <c r="AP17" i="46"/>
  <c r="AO17" i="46"/>
  <c r="AN17" i="46"/>
  <c r="AM17" i="46"/>
  <c r="AL17" i="46"/>
  <c r="AK17" i="46"/>
  <c r="BO15" i="46"/>
  <c r="BN15" i="46"/>
  <c r="BM15" i="46"/>
  <c r="BL15" i="46"/>
  <c r="BK15" i="46"/>
  <c r="BJ15" i="46"/>
  <c r="BI15" i="46"/>
  <c r="BH15" i="46"/>
  <c r="BG15" i="46"/>
  <c r="BF15" i="46"/>
  <c r="BE15" i="46"/>
  <c r="BD15" i="46"/>
  <c r="BC15" i="46"/>
  <c r="BB15" i="46"/>
  <c r="BA15" i="46"/>
  <c r="AZ15" i="46"/>
  <c r="AY15" i="46"/>
  <c r="AX15" i="46"/>
  <c r="AW15" i="46"/>
  <c r="AV15" i="46"/>
  <c r="AU15" i="46"/>
  <c r="AT15" i="46"/>
  <c r="AS15" i="46"/>
  <c r="AR15" i="46"/>
  <c r="AQ15" i="46"/>
  <c r="AP15" i="46"/>
  <c r="AO15" i="46"/>
  <c r="AN15" i="46"/>
  <c r="AM15" i="46"/>
  <c r="AL15" i="46"/>
  <c r="AK15" i="46"/>
  <c r="BO14" i="46"/>
  <c r="BN14" i="46"/>
  <c r="BM14" i="46"/>
  <c r="BL14" i="46"/>
  <c r="BK14" i="46"/>
  <c r="BJ14" i="46"/>
  <c r="BI14" i="46"/>
  <c r="BH14" i="46"/>
  <c r="BG14" i="46"/>
  <c r="BF14" i="46"/>
  <c r="BE14" i="46"/>
  <c r="BD14" i="46"/>
  <c r="BC14" i="46"/>
  <c r="BB14" i="46"/>
  <c r="BA14" i="46"/>
  <c r="AZ14" i="46"/>
  <c r="AY14" i="46"/>
  <c r="AX14" i="46"/>
  <c r="AW14" i="46"/>
  <c r="AV14" i="46"/>
  <c r="AU14" i="46"/>
  <c r="AT14" i="46"/>
  <c r="AS14" i="46"/>
  <c r="AR14" i="46"/>
  <c r="AQ14" i="46"/>
  <c r="AP14" i="46"/>
  <c r="AO14" i="46"/>
  <c r="AN14" i="46"/>
  <c r="AM14" i="46"/>
  <c r="AL14" i="46"/>
  <c r="AK14" i="46"/>
  <c r="BO13" i="46"/>
  <c r="BN13" i="46"/>
  <c r="BM13" i="46"/>
  <c r="BL13" i="46"/>
  <c r="BK13" i="46"/>
  <c r="BJ13" i="46"/>
  <c r="BI13" i="46"/>
  <c r="BH13" i="46"/>
  <c r="BG13" i="46"/>
  <c r="BF13" i="46"/>
  <c r="BE13" i="46"/>
  <c r="BD13" i="46"/>
  <c r="BC13" i="46"/>
  <c r="BB13" i="46"/>
  <c r="BA13" i="46"/>
  <c r="AZ13" i="46"/>
  <c r="AY13" i="46"/>
  <c r="AX13" i="46"/>
  <c r="AW13" i="46"/>
  <c r="AV13" i="46"/>
  <c r="AU13" i="46"/>
  <c r="AT13" i="46"/>
  <c r="AS13" i="46"/>
  <c r="AR13" i="46"/>
  <c r="AQ13" i="46"/>
  <c r="AP13" i="46"/>
  <c r="AO13" i="46"/>
  <c r="AN13" i="46"/>
  <c r="AM13" i="46"/>
  <c r="AL13" i="46"/>
  <c r="AK13" i="46"/>
  <c r="BO12" i="46"/>
  <c r="BN12" i="46"/>
  <c r="BM12" i="46"/>
  <c r="BL12" i="46"/>
  <c r="BK12" i="46"/>
  <c r="BJ12" i="46"/>
  <c r="BI12" i="46"/>
  <c r="BH12" i="46"/>
  <c r="BG12" i="46"/>
  <c r="BF12" i="46"/>
  <c r="BE12" i="46"/>
  <c r="BD12" i="46"/>
  <c r="BC12" i="46"/>
  <c r="BB12" i="46"/>
  <c r="BA12" i="46"/>
  <c r="AZ12" i="46"/>
  <c r="AY12" i="46"/>
  <c r="AX12" i="46"/>
  <c r="AW12" i="46"/>
  <c r="AV12" i="46"/>
  <c r="AU12" i="46"/>
  <c r="AT12" i="46"/>
  <c r="AS12" i="46"/>
  <c r="AR12" i="46"/>
  <c r="AQ12" i="46"/>
  <c r="AP12" i="46"/>
  <c r="AO12" i="46"/>
  <c r="AN12" i="46"/>
  <c r="AM12" i="46"/>
  <c r="AL12" i="46"/>
  <c r="BO11" i="46"/>
  <c r="BN11" i="46"/>
  <c r="BM11" i="46"/>
  <c r="BL11" i="46"/>
  <c r="BK11" i="46"/>
  <c r="BJ11" i="46"/>
  <c r="BI11" i="46"/>
  <c r="BH11" i="46"/>
  <c r="BG11" i="46"/>
  <c r="BF11" i="46"/>
  <c r="BE11" i="46"/>
  <c r="BD11" i="46"/>
  <c r="BC11" i="46"/>
  <c r="BB11" i="46"/>
  <c r="BA11" i="46"/>
  <c r="AZ11" i="46"/>
  <c r="AY11" i="46"/>
  <c r="AX11" i="46"/>
  <c r="AW11" i="46"/>
  <c r="AV11" i="46"/>
  <c r="AU11" i="46"/>
  <c r="AT11" i="46"/>
  <c r="AS11" i="46"/>
  <c r="AR11" i="46"/>
  <c r="AQ11" i="46"/>
  <c r="AP11" i="46"/>
  <c r="AO11" i="46"/>
  <c r="AN11" i="46"/>
  <c r="AM11" i="46"/>
  <c r="AL11" i="46"/>
  <c r="AK11" i="46"/>
  <c r="BO10" i="46"/>
  <c r="BN10" i="46"/>
  <c r="BM10" i="46"/>
  <c r="BL10" i="46"/>
  <c r="BK10" i="46"/>
  <c r="BJ10" i="46"/>
  <c r="BI10" i="46"/>
  <c r="BH10" i="46"/>
  <c r="BG10" i="46"/>
  <c r="BF10" i="46"/>
  <c r="BE10" i="46"/>
  <c r="BD10" i="46"/>
  <c r="BC10" i="46"/>
  <c r="BB10" i="46"/>
  <c r="BA10" i="46"/>
  <c r="AZ10" i="46"/>
  <c r="AY10" i="46"/>
  <c r="AX10" i="46"/>
  <c r="AW10" i="46"/>
  <c r="AV10" i="46"/>
  <c r="AU10" i="46"/>
  <c r="AT10" i="46"/>
  <c r="AS10" i="46"/>
  <c r="AR10" i="46"/>
  <c r="AQ10" i="46"/>
  <c r="AP10" i="46"/>
  <c r="AO10" i="46"/>
  <c r="AN10" i="46"/>
  <c r="AM10" i="46"/>
  <c r="AL10" i="46"/>
  <c r="AK10" i="46"/>
  <c r="BO9" i="46"/>
  <c r="BN9" i="46"/>
  <c r="BM9" i="46"/>
  <c r="BL9" i="46"/>
  <c r="BK9" i="46"/>
  <c r="BJ9" i="46"/>
  <c r="BI9" i="46"/>
  <c r="BH9" i="46"/>
  <c r="BG9" i="46"/>
  <c r="BF9" i="46"/>
  <c r="BE9" i="46"/>
  <c r="BD9" i="46"/>
  <c r="BC9" i="46"/>
  <c r="BB9" i="46"/>
  <c r="BA9" i="46"/>
  <c r="AZ9" i="46"/>
  <c r="AY9" i="46"/>
  <c r="AX9" i="46"/>
  <c r="AW9" i="46"/>
  <c r="AV9" i="46"/>
  <c r="AU9" i="46"/>
  <c r="AT9" i="46"/>
  <c r="AS9" i="46"/>
  <c r="AR9" i="46"/>
  <c r="AQ9" i="46"/>
  <c r="AP9" i="46"/>
  <c r="AO9" i="46"/>
  <c r="AN9" i="46"/>
  <c r="AM9" i="46"/>
  <c r="AL9" i="46"/>
  <c r="AK9" i="46"/>
  <c r="BO8" i="46"/>
  <c r="BN8" i="46"/>
  <c r="BM8" i="46"/>
  <c r="BL8" i="46"/>
  <c r="BK8" i="46"/>
  <c r="BJ8" i="46"/>
  <c r="BI8" i="46"/>
  <c r="BH8" i="46"/>
  <c r="BG8" i="46"/>
  <c r="BF8" i="46"/>
  <c r="BE8" i="46"/>
  <c r="BD8" i="46"/>
  <c r="BC8" i="46"/>
  <c r="BB8" i="46"/>
  <c r="BA8" i="46"/>
  <c r="AZ8" i="46"/>
  <c r="AY8" i="46"/>
  <c r="AX8" i="46"/>
  <c r="AW8" i="46"/>
  <c r="AV8" i="46"/>
  <c r="AU8" i="46"/>
  <c r="AT8" i="46"/>
  <c r="AS8" i="46"/>
  <c r="AR8" i="46"/>
  <c r="AQ8" i="46"/>
  <c r="AP8" i="46"/>
  <c r="AO8" i="46"/>
  <c r="AN8" i="46"/>
  <c r="AM8" i="46"/>
  <c r="AL8" i="46"/>
  <c r="AK8" i="46"/>
  <c r="BO7" i="46"/>
  <c r="BN7" i="46"/>
  <c r="BM7" i="46"/>
  <c r="BL7" i="46"/>
  <c r="BK7" i="46"/>
  <c r="BJ7" i="46"/>
  <c r="BI7" i="46"/>
  <c r="BH7" i="46"/>
  <c r="BG7" i="46"/>
  <c r="BF7" i="46"/>
  <c r="BE7" i="46"/>
  <c r="BD7" i="46"/>
  <c r="BC7" i="46"/>
  <c r="BB7" i="46"/>
  <c r="BA7" i="46"/>
  <c r="AZ7" i="46"/>
  <c r="AY7" i="46"/>
  <c r="AX7" i="46"/>
  <c r="AW7" i="46"/>
  <c r="AV7" i="46"/>
  <c r="AU7" i="46"/>
  <c r="AT7" i="46"/>
  <c r="AS7" i="46"/>
  <c r="AR7" i="46"/>
  <c r="AQ7" i="46"/>
  <c r="AP7" i="46"/>
  <c r="AO7" i="46"/>
  <c r="AN7" i="46"/>
  <c r="AM7" i="46"/>
  <c r="AL7" i="46"/>
  <c r="AK7" i="46"/>
  <c r="BO6" i="46"/>
  <c r="BN6" i="46"/>
  <c r="BM6" i="46"/>
  <c r="BL6" i="46"/>
  <c r="BK6" i="46"/>
  <c r="BJ6" i="46"/>
  <c r="BI6" i="46"/>
  <c r="BH6" i="46"/>
  <c r="BG6" i="46"/>
  <c r="BF6" i="46"/>
  <c r="BE6" i="46"/>
  <c r="BD6" i="46"/>
  <c r="BC6" i="46"/>
  <c r="BB6" i="46"/>
  <c r="BA6" i="46"/>
  <c r="AZ6" i="46"/>
  <c r="AY6" i="46"/>
  <c r="AX6" i="46"/>
  <c r="AW6" i="46"/>
  <c r="AV6" i="46"/>
  <c r="AU6" i="46"/>
  <c r="AT6" i="46"/>
  <c r="AS6" i="46"/>
  <c r="AR6" i="46"/>
  <c r="AQ6" i="46"/>
  <c r="AP6" i="46"/>
  <c r="AO6" i="46"/>
  <c r="AN6" i="46"/>
  <c r="AM6" i="46"/>
  <c r="AL6" i="46"/>
  <c r="AK6" i="46"/>
  <c r="BO5" i="46"/>
  <c r="BN5" i="46"/>
  <c r="BM5" i="46"/>
  <c r="BL5" i="46"/>
  <c r="BK5" i="46"/>
  <c r="BJ5" i="46"/>
  <c r="BI5" i="46"/>
  <c r="BH5" i="46"/>
  <c r="BG5" i="46"/>
  <c r="BF5" i="46"/>
  <c r="BE5" i="46"/>
  <c r="BD5" i="46"/>
  <c r="BC5" i="46"/>
  <c r="BB5" i="46"/>
  <c r="BA5" i="46"/>
  <c r="AZ5" i="46"/>
  <c r="AY5" i="46"/>
  <c r="AX5" i="46"/>
  <c r="AW5" i="46"/>
  <c r="AV5" i="46"/>
  <c r="AU5" i="46"/>
  <c r="AT5" i="46"/>
  <c r="AS5" i="46"/>
  <c r="AR5" i="46"/>
  <c r="AQ5" i="46"/>
  <c r="AP5" i="46"/>
  <c r="AO5" i="46"/>
  <c r="AN5" i="46"/>
  <c r="AM5" i="46"/>
  <c r="AL5" i="46"/>
  <c r="AK5" i="46"/>
  <c r="AI1" i="46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U24" i="43"/>
  <c r="H422" i="14"/>
  <c r="H421" i="14"/>
  <c r="BP13" i="46" l="1"/>
  <c r="BP7" i="46"/>
  <c r="BP11" i="46"/>
  <c r="BP24" i="46"/>
  <c r="BP15" i="46"/>
  <c r="BP18" i="46"/>
  <c r="BP14" i="46"/>
  <c r="BP21" i="46"/>
  <c r="BP31" i="46"/>
  <c r="BP19" i="46"/>
  <c r="BP26" i="46"/>
  <c r="BP23" i="46"/>
  <c r="BP30" i="46"/>
  <c r="BP10" i="46"/>
  <c r="E59" i="7"/>
  <c r="T40" i="39"/>
  <c r="H41" i="39"/>
  <c r="T39" i="39"/>
  <c r="S39" i="39"/>
  <c r="S41" i="39" s="1"/>
  <c r="AI33" i="46"/>
  <c r="AI37" i="46" s="1"/>
  <c r="AV24" i="46"/>
  <c r="BP5" i="46"/>
  <c r="F82" i="17"/>
  <c r="F80" i="17"/>
  <c r="F78" i="17"/>
  <c r="F66" i="17"/>
  <c r="F51" i="17"/>
  <c r="F39" i="17"/>
  <c r="F35" i="17"/>
  <c r="F31" i="17"/>
  <c r="F27" i="17"/>
  <c r="F20" i="17"/>
  <c r="F12" i="17"/>
  <c r="F3" i="17"/>
  <c r="V3" i="17"/>
  <c r="V6" i="17"/>
  <c r="V9" i="17"/>
  <c r="V12" i="17"/>
  <c r="V15" i="17"/>
  <c r="V18" i="17"/>
  <c r="V21" i="17"/>
  <c r="V24" i="17"/>
  <c r="V27" i="17"/>
  <c r="V30" i="17"/>
  <c r="V33" i="17"/>
  <c r="V36" i="17"/>
  <c r="V39" i="17"/>
  <c r="V42" i="17"/>
  <c r="V45" i="17"/>
  <c r="V48" i="17"/>
  <c r="V51" i="17"/>
  <c r="V54" i="17"/>
  <c r="V57" i="17"/>
  <c r="V60" i="17"/>
  <c r="V63" i="17"/>
  <c r="V66" i="17"/>
  <c r="V69" i="17"/>
  <c r="V72" i="17"/>
  <c r="V75" i="17"/>
  <c r="V81" i="17"/>
  <c r="V78" i="17"/>
  <c r="L39" i="7" l="1"/>
  <c r="T41" i="39"/>
  <c r="AI35" i="46"/>
  <c r="AI36" i="46"/>
  <c r="AI34" i="46"/>
  <c r="E82" i="44"/>
  <c r="E80" i="44"/>
  <c r="E78" i="44"/>
  <c r="E66" i="44"/>
  <c r="E54" i="44"/>
  <c r="E39" i="44"/>
  <c r="T87" i="44"/>
  <c r="S87" i="44"/>
  <c r="R87" i="44"/>
  <c r="Q87" i="44"/>
  <c r="P87" i="44"/>
  <c r="O87" i="44"/>
  <c r="N87" i="44"/>
  <c r="M87" i="44"/>
  <c r="L87" i="44"/>
  <c r="G86" i="44"/>
  <c r="K82" i="44"/>
  <c r="J82" i="44"/>
  <c r="I82" i="44"/>
  <c r="T81" i="44"/>
  <c r="S81" i="44"/>
  <c r="S83" i="44" s="1"/>
  <c r="R81" i="44"/>
  <c r="R83" i="44" s="1"/>
  <c r="Q81" i="44"/>
  <c r="P81" i="44"/>
  <c r="P83" i="44" s="1"/>
  <c r="O81" i="44"/>
  <c r="O83" i="44" s="1"/>
  <c r="N81" i="44"/>
  <c r="N83" i="44" s="1"/>
  <c r="M81" i="44"/>
  <c r="L81" i="44"/>
  <c r="K81" i="44"/>
  <c r="J81" i="44"/>
  <c r="I81" i="44"/>
  <c r="K79" i="44"/>
  <c r="J79" i="44"/>
  <c r="I79" i="44"/>
  <c r="T78" i="44"/>
  <c r="T80" i="44" s="1"/>
  <c r="S78" i="44"/>
  <c r="S80" i="44" s="1"/>
  <c r="R78" i="44"/>
  <c r="Q78" i="44"/>
  <c r="Q80" i="44" s="1"/>
  <c r="P78" i="44"/>
  <c r="P80" i="44" s="1"/>
  <c r="O78" i="44"/>
  <c r="O80" i="44" s="1"/>
  <c r="N78" i="44"/>
  <c r="M78" i="44"/>
  <c r="M80" i="44" s="1"/>
  <c r="L78" i="44"/>
  <c r="L80" i="44" s="1"/>
  <c r="K78" i="44"/>
  <c r="J78" i="44"/>
  <c r="I78" i="44"/>
  <c r="K76" i="44"/>
  <c r="J76" i="44"/>
  <c r="I76" i="44"/>
  <c r="T75" i="44"/>
  <c r="T77" i="44" s="1"/>
  <c r="S75" i="44"/>
  <c r="S77" i="44" s="1"/>
  <c r="R75" i="44"/>
  <c r="R77" i="44" s="1"/>
  <c r="Q75" i="44"/>
  <c r="Q77" i="44" s="1"/>
  <c r="P75" i="44"/>
  <c r="P77" i="44" s="1"/>
  <c r="O75" i="44"/>
  <c r="O77" i="44" s="1"/>
  <c r="N75" i="44"/>
  <c r="N77" i="44" s="1"/>
  <c r="M75" i="44"/>
  <c r="M77" i="44" s="1"/>
  <c r="L75" i="44"/>
  <c r="L77" i="44" s="1"/>
  <c r="K75" i="44"/>
  <c r="J75" i="44"/>
  <c r="I75" i="44"/>
  <c r="V75" i="44" s="1"/>
  <c r="K73" i="44"/>
  <c r="J73" i="44"/>
  <c r="I73" i="44"/>
  <c r="T72" i="44"/>
  <c r="T74" i="44" s="1"/>
  <c r="S72" i="44"/>
  <c r="S74" i="44" s="1"/>
  <c r="R72" i="44"/>
  <c r="R74" i="44" s="1"/>
  <c r="Q72" i="44"/>
  <c r="Q74" i="44" s="1"/>
  <c r="P72" i="44"/>
  <c r="P74" i="44" s="1"/>
  <c r="O72" i="44"/>
  <c r="O74" i="44" s="1"/>
  <c r="N72" i="44"/>
  <c r="N74" i="44" s="1"/>
  <c r="M72" i="44"/>
  <c r="M74" i="44" s="1"/>
  <c r="L72" i="44"/>
  <c r="L74" i="44" s="1"/>
  <c r="K72" i="44"/>
  <c r="J72" i="44"/>
  <c r="I72" i="44"/>
  <c r="K70" i="44"/>
  <c r="J70" i="44"/>
  <c r="I70" i="44"/>
  <c r="T69" i="44"/>
  <c r="T71" i="44" s="1"/>
  <c r="S69" i="44"/>
  <c r="S71" i="44" s="1"/>
  <c r="R69" i="44"/>
  <c r="R71" i="44" s="1"/>
  <c r="Q69" i="44"/>
  <c r="Q71" i="44" s="1"/>
  <c r="P69" i="44"/>
  <c r="P71" i="44" s="1"/>
  <c r="O69" i="44"/>
  <c r="O71" i="44" s="1"/>
  <c r="N69" i="44"/>
  <c r="N71" i="44" s="1"/>
  <c r="M69" i="44"/>
  <c r="M71" i="44" s="1"/>
  <c r="L69" i="44"/>
  <c r="L71" i="44" s="1"/>
  <c r="K69" i="44"/>
  <c r="J69" i="44"/>
  <c r="I69" i="44"/>
  <c r="K67" i="44"/>
  <c r="J67" i="44"/>
  <c r="I67" i="44"/>
  <c r="T66" i="44"/>
  <c r="T68" i="44" s="1"/>
  <c r="S66" i="44"/>
  <c r="S68" i="44" s="1"/>
  <c r="R66" i="44"/>
  <c r="R68" i="44" s="1"/>
  <c r="Q66" i="44"/>
  <c r="Q68" i="44" s="1"/>
  <c r="P66" i="44"/>
  <c r="P68" i="44" s="1"/>
  <c r="O66" i="44"/>
  <c r="O68" i="44" s="1"/>
  <c r="N66" i="44"/>
  <c r="N68" i="44" s="1"/>
  <c r="M66" i="44"/>
  <c r="M68" i="44" s="1"/>
  <c r="L66" i="44"/>
  <c r="L68" i="44" s="1"/>
  <c r="K66" i="44"/>
  <c r="J66" i="44"/>
  <c r="I66" i="44"/>
  <c r="K64" i="44"/>
  <c r="J64" i="44"/>
  <c r="I64" i="44"/>
  <c r="T63" i="44"/>
  <c r="T65" i="44" s="1"/>
  <c r="S63" i="44"/>
  <c r="S65" i="44" s="1"/>
  <c r="R63" i="44"/>
  <c r="R65" i="44" s="1"/>
  <c r="Q63" i="44"/>
  <c r="Q65" i="44" s="1"/>
  <c r="P63" i="44"/>
  <c r="P65" i="44" s="1"/>
  <c r="O63" i="44"/>
  <c r="O65" i="44" s="1"/>
  <c r="N63" i="44"/>
  <c r="N65" i="44" s="1"/>
  <c r="M63" i="44"/>
  <c r="M65" i="44" s="1"/>
  <c r="L63" i="44"/>
  <c r="L65" i="44" s="1"/>
  <c r="K63" i="44"/>
  <c r="J63" i="44"/>
  <c r="I63" i="44"/>
  <c r="K61" i="44"/>
  <c r="J61" i="44"/>
  <c r="I61" i="44"/>
  <c r="T60" i="44"/>
  <c r="T62" i="44" s="1"/>
  <c r="S60" i="44"/>
  <c r="S62" i="44" s="1"/>
  <c r="R60" i="44"/>
  <c r="R62" i="44" s="1"/>
  <c r="Q60" i="44"/>
  <c r="Q62" i="44" s="1"/>
  <c r="P60" i="44"/>
  <c r="P62" i="44" s="1"/>
  <c r="O60" i="44"/>
  <c r="O62" i="44" s="1"/>
  <c r="N60" i="44"/>
  <c r="N62" i="44" s="1"/>
  <c r="M60" i="44"/>
  <c r="M62" i="44" s="1"/>
  <c r="L60" i="44"/>
  <c r="L62" i="44" s="1"/>
  <c r="K60" i="44"/>
  <c r="J60" i="44"/>
  <c r="I60" i="44"/>
  <c r="K58" i="44"/>
  <c r="J58" i="44"/>
  <c r="I58" i="44"/>
  <c r="T57" i="44"/>
  <c r="T59" i="44" s="1"/>
  <c r="S57" i="44"/>
  <c r="S59" i="44" s="1"/>
  <c r="R57" i="44"/>
  <c r="R59" i="44" s="1"/>
  <c r="Q57" i="44"/>
  <c r="Q59" i="44" s="1"/>
  <c r="P57" i="44"/>
  <c r="P59" i="44" s="1"/>
  <c r="O57" i="44"/>
  <c r="O59" i="44" s="1"/>
  <c r="N57" i="44"/>
  <c r="M57" i="44"/>
  <c r="M59" i="44" s="1"/>
  <c r="L57" i="44"/>
  <c r="L59" i="44" s="1"/>
  <c r="K57" i="44"/>
  <c r="J57" i="44"/>
  <c r="I57" i="44"/>
  <c r="K55" i="44"/>
  <c r="J55" i="44"/>
  <c r="I55" i="44"/>
  <c r="T54" i="44"/>
  <c r="T56" i="44" s="1"/>
  <c r="S54" i="44"/>
  <c r="S56" i="44" s="1"/>
  <c r="R54" i="44"/>
  <c r="R56" i="44" s="1"/>
  <c r="Q54" i="44"/>
  <c r="Q56" i="44" s="1"/>
  <c r="P54" i="44"/>
  <c r="P56" i="44" s="1"/>
  <c r="O54" i="44"/>
  <c r="O56" i="44" s="1"/>
  <c r="N54" i="44"/>
  <c r="N56" i="44" s="1"/>
  <c r="M54" i="44"/>
  <c r="M56" i="44" s="1"/>
  <c r="L54" i="44"/>
  <c r="L56" i="44" s="1"/>
  <c r="K54" i="44"/>
  <c r="J54" i="44"/>
  <c r="I54" i="44"/>
  <c r="K52" i="44"/>
  <c r="J52" i="44"/>
  <c r="I52" i="44"/>
  <c r="T51" i="44"/>
  <c r="T53" i="44" s="1"/>
  <c r="S51" i="44"/>
  <c r="S53" i="44" s="1"/>
  <c r="R51" i="44"/>
  <c r="R53" i="44" s="1"/>
  <c r="Q51" i="44"/>
  <c r="Q53" i="44" s="1"/>
  <c r="P51" i="44"/>
  <c r="P53" i="44" s="1"/>
  <c r="O51" i="44"/>
  <c r="O53" i="44" s="1"/>
  <c r="N51" i="44"/>
  <c r="N53" i="44" s="1"/>
  <c r="M51" i="44"/>
  <c r="M53" i="44" s="1"/>
  <c r="L51" i="44"/>
  <c r="L53" i="44" s="1"/>
  <c r="K51" i="44"/>
  <c r="J51" i="44"/>
  <c r="I51" i="44"/>
  <c r="V51" i="44" s="1"/>
  <c r="K49" i="44"/>
  <c r="J49" i="44"/>
  <c r="I49" i="44"/>
  <c r="T48" i="44"/>
  <c r="T50" i="44" s="1"/>
  <c r="S48" i="44"/>
  <c r="S50" i="44" s="1"/>
  <c r="R48" i="44"/>
  <c r="R50" i="44" s="1"/>
  <c r="Q48" i="44"/>
  <c r="Q50" i="44" s="1"/>
  <c r="P48" i="44"/>
  <c r="P50" i="44" s="1"/>
  <c r="O48" i="44"/>
  <c r="O50" i="44" s="1"/>
  <c r="N48" i="44"/>
  <c r="N50" i="44" s="1"/>
  <c r="M48" i="44"/>
  <c r="M50" i="44" s="1"/>
  <c r="L48" i="44"/>
  <c r="L50" i="44" s="1"/>
  <c r="K48" i="44"/>
  <c r="J48" i="44"/>
  <c r="I48" i="44"/>
  <c r="K46" i="44"/>
  <c r="J46" i="44"/>
  <c r="I46" i="44"/>
  <c r="T45" i="44"/>
  <c r="T47" i="44" s="1"/>
  <c r="S45" i="44"/>
  <c r="S47" i="44" s="1"/>
  <c r="R45" i="44"/>
  <c r="R47" i="44" s="1"/>
  <c r="Q45" i="44"/>
  <c r="Q47" i="44" s="1"/>
  <c r="P45" i="44"/>
  <c r="P47" i="44" s="1"/>
  <c r="O45" i="44"/>
  <c r="O47" i="44" s="1"/>
  <c r="N45" i="44"/>
  <c r="N47" i="44" s="1"/>
  <c r="M45" i="44"/>
  <c r="M47" i="44" s="1"/>
  <c r="L45" i="44"/>
  <c r="L47" i="44" s="1"/>
  <c r="K45" i="44"/>
  <c r="J45" i="44"/>
  <c r="I45" i="44"/>
  <c r="K43" i="44"/>
  <c r="J43" i="44"/>
  <c r="I43" i="44"/>
  <c r="T42" i="44"/>
  <c r="T44" i="44" s="1"/>
  <c r="S42" i="44"/>
  <c r="S44" i="44" s="1"/>
  <c r="R42" i="44"/>
  <c r="R44" i="44" s="1"/>
  <c r="Q42" i="44"/>
  <c r="Q44" i="44" s="1"/>
  <c r="P42" i="44"/>
  <c r="P44" i="44" s="1"/>
  <c r="O42" i="44"/>
  <c r="O44" i="44" s="1"/>
  <c r="N42" i="44"/>
  <c r="N44" i="44" s="1"/>
  <c r="M42" i="44"/>
  <c r="M44" i="44" s="1"/>
  <c r="L42" i="44"/>
  <c r="L44" i="44" s="1"/>
  <c r="K42" i="44"/>
  <c r="J42" i="44"/>
  <c r="I42" i="44"/>
  <c r="K40" i="44"/>
  <c r="J40" i="44"/>
  <c r="I40" i="44"/>
  <c r="T39" i="44"/>
  <c r="S39" i="44"/>
  <c r="R39" i="44"/>
  <c r="R41" i="44" s="1"/>
  <c r="Q39" i="44"/>
  <c r="Q41" i="44" s="1"/>
  <c r="P39" i="44"/>
  <c r="P41" i="44" s="1"/>
  <c r="O39" i="44"/>
  <c r="N39" i="44"/>
  <c r="N41" i="44" s="1"/>
  <c r="M39" i="44"/>
  <c r="M41" i="44" s="1"/>
  <c r="L39" i="44"/>
  <c r="K39" i="44"/>
  <c r="J39" i="44"/>
  <c r="I39" i="44"/>
  <c r="K37" i="44"/>
  <c r="J37" i="44"/>
  <c r="I37" i="44"/>
  <c r="T36" i="44"/>
  <c r="T38" i="44" s="1"/>
  <c r="S36" i="44"/>
  <c r="S38" i="44" s="1"/>
  <c r="R36" i="44"/>
  <c r="R38" i="44" s="1"/>
  <c r="Q36" i="44"/>
  <c r="Q38" i="44" s="1"/>
  <c r="P36" i="44"/>
  <c r="P38" i="44" s="1"/>
  <c r="O36" i="44"/>
  <c r="O38" i="44" s="1"/>
  <c r="N36" i="44"/>
  <c r="N38" i="44" s="1"/>
  <c r="M36" i="44"/>
  <c r="M38" i="44" s="1"/>
  <c r="L36" i="44"/>
  <c r="L38" i="44" s="1"/>
  <c r="K36" i="44"/>
  <c r="J36" i="44"/>
  <c r="I36" i="44"/>
  <c r="K34" i="44"/>
  <c r="J34" i="44"/>
  <c r="I34" i="44"/>
  <c r="T33" i="44"/>
  <c r="T35" i="44" s="1"/>
  <c r="S33" i="44"/>
  <c r="S35" i="44" s="1"/>
  <c r="R33" i="44"/>
  <c r="R35" i="44" s="1"/>
  <c r="Q33" i="44"/>
  <c r="Q35" i="44" s="1"/>
  <c r="P33" i="44"/>
  <c r="P35" i="44" s="1"/>
  <c r="O33" i="44"/>
  <c r="O35" i="44" s="1"/>
  <c r="N33" i="44"/>
  <c r="N35" i="44" s="1"/>
  <c r="M33" i="44"/>
  <c r="M35" i="44" s="1"/>
  <c r="L33" i="44"/>
  <c r="L35" i="44" s="1"/>
  <c r="K33" i="44"/>
  <c r="J33" i="44"/>
  <c r="I33" i="44"/>
  <c r="K31" i="44"/>
  <c r="J31" i="44"/>
  <c r="I31" i="44"/>
  <c r="T30" i="44"/>
  <c r="T32" i="44" s="1"/>
  <c r="S30" i="44"/>
  <c r="S32" i="44" s="1"/>
  <c r="R30" i="44"/>
  <c r="R32" i="44" s="1"/>
  <c r="Q30" i="44"/>
  <c r="Q32" i="44" s="1"/>
  <c r="P30" i="44"/>
  <c r="P32" i="44" s="1"/>
  <c r="O30" i="44"/>
  <c r="O32" i="44" s="1"/>
  <c r="N30" i="44"/>
  <c r="N32" i="44" s="1"/>
  <c r="M30" i="44"/>
  <c r="M32" i="44" s="1"/>
  <c r="L30" i="44"/>
  <c r="L32" i="44" s="1"/>
  <c r="K30" i="44"/>
  <c r="J30" i="44"/>
  <c r="I30" i="44"/>
  <c r="K28" i="44"/>
  <c r="J28" i="44"/>
  <c r="I28" i="44"/>
  <c r="T27" i="44"/>
  <c r="T29" i="44" s="1"/>
  <c r="S27" i="44"/>
  <c r="S29" i="44" s="1"/>
  <c r="R27" i="44"/>
  <c r="R29" i="44" s="1"/>
  <c r="Q27" i="44"/>
  <c r="Q29" i="44" s="1"/>
  <c r="P27" i="44"/>
  <c r="P29" i="44" s="1"/>
  <c r="O27" i="44"/>
  <c r="O29" i="44" s="1"/>
  <c r="N27" i="44"/>
  <c r="N29" i="44" s="1"/>
  <c r="M27" i="44"/>
  <c r="M29" i="44" s="1"/>
  <c r="L27" i="44"/>
  <c r="L29" i="44" s="1"/>
  <c r="K27" i="44"/>
  <c r="J27" i="44"/>
  <c r="I27" i="44"/>
  <c r="V27" i="44" s="1"/>
  <c r="K25" i="44"/>
  <c r="J25" i="44"/>
  <c r="I25" i="44"/>
  <c r="T24" i="44"/>
  <c r="T26" i="44" s="1"/>
  <c r="S24" i="44"/>
  <c r="S26" i="44" s="1"/>
  <c r="R24" i="44"/>
  <c r="R26" i="44" s="1"/>
  <c r="Q24" i="44"/>
  <c r="Q26" i="44" s="1"/>
  <c r="P24" i="44"/>
  <c r="P26" i="44" s="1"/>
  <c r="O24" i="44"/>
  <c r="O26" i="44" s="1"/>
  <c r="N24" i="44"/>
  <c r="N26" i="44" s="1"/>
  <c r="M24" i="44"/>
  <c r="M26" i="44" s="1"/>
  <c r="L24" i="44"/>
  <c r="L26" i="44" s="1"/>
  <c r="K24" i="44"/>
  <c r="J24" i="44"/>
  <c r="I24" i="44"/>
  <c r="K22" i="44"/>
  <c r="J22" i="44"/>
  <c r="I22" i="44"/>
  <c r="T21" i="44"/>
  <c r="T23" i="44" s="1"/>
  <c r="S21" i="44"/>
  <c r="S23" i="44" s="1"/>
  <c r="R21" i="44"/>
  <c r="R23" i="44" s="1"/>
  <c r="Q21" i="44"/>
  <c r="Q23" i="44" s="1"/>
  <c r="P21" i="44"/>
  <c r="P23" i="44" s="1"/>
  <c r="O21" i="44"/>
  <c r="O23" i="44" s="1"/>
  <c r="N21" i="44"/>
  <c r="N23" i="44" s="1"/>
  <c r="M21" i="44"/>
  <c r="M23" i="44" s="1"/>
  <c r="L21" i="44"/>
  <c r="L23" i="44" s="1"/>
  <c r="K21" i="44"/>
  <c r="J21" i="44"/>
  <c r="I21" i="44"/>
  <c r="K19" i="44"/>
  <c r="J19" i="44"/>
  <c r="I19" i="44"/>
  <c r="T18" i="44"/>
  <c r="T20" i="44" s="1"/>
  <c r="S18" i="44"/>
  <c r="S20" i="44" s="1"/>
  <c r="R18" i="44"/>
  <c r="R20" i="44" s="1"/>
  <c r="Q18" i="44"/>
  <c r="Q20" i="44" s="1"/>
  <c r="P18" i="44"/>
  <c r="P20" i="44" s="1"/>
  <c r="O18" i="44"/>
  <c r="O20" i="44" s="1"/>
  <c r="N18" i="44"/>
  <c r="N20" i="44" s="1"/>
  <c r="M18" i="44"/>
  <c r="M20" i="44" s="1"/>
  <c r="L18" i="44"/>
  <c r="L20" i="44" s="1"/>
  <c r="K18" i="44"/>
  <c r="J18" i="44"/>
  <c r="I18" i="44"/>
  <c r="K16" i="44"/>
  <c r="J16" i="44"/>
  <c r="I16" i="44"/>
  <c r="V16" i="44" s="1"/>
  <c r="T15" i="44"/>
  <c r="T17" i="44" s="1"/>
  <c r="S15" i="44"/>
  <c r="S17" i="44" s="1"/>
  <c r="R15" i="44"/>
  <c r="R17" i="44" s="1"/>
  <c r="Q15" i="44"/>
  <c r="Q17" i="44" s="1"/>
  <c r="P15" i="44"/>
  <c r="P17" i="44" s="1"/>
  <c r="O15" i="44"/>
  <c r="O17" i="44" s="1"/>
  <c r="N15" i="44"/>
  <c r="N17" i="44" s="1"/>
  <c r="M15" i="44"/>
  <c r="M17" i="44" s="1"/>
  <c r="L15" i="44"/>
  <c r="L17" i="44" s="1"/>
  <c r="K15" i="44"/>
  <c r="J15" i="44"/>
  <c r="I15" i="44"/>
  <c r="K13" i="44"/>
  <c r="J13" i="44"/>
  <c r="I13" i="44"/>
  <c r="T12" i="44"/>
  <c r="T14" i="44" s="1"/>
  <c r="S12" i="44"/>
  <c r="S14" i="44" s="1"/>
  <c r="R12" i="44"/>
  <c r="R14" i="44" s="1"/>
  <c r="Q12" i="44"/>
  <c r="Q14" i="44" s="1"/>
  <c r="P12" i="44"/>
  <c r="P14" i="44" s="1"/>
  <c r="O12" i="44"/>
  <c r="O14" i="44" s="1"/>
  <c r="N12" i="44"/>
  <c r="N14" i="44" s="1"/>
  <c r="M12" i="44"/>
  <c r="M14" i="44" s="1"/>
  <c r="L12" i="44"/>
  <c r="L14" i="44" s="1"/>
  <c r="K12" i="44"/>
  <c r="J12" i="44"/>
  <c r="I12" i="44"/>
  <c r="K10" i="44"/>
  <c r="J10" i="44"/>
  <c r="I10" i="44"/>
  <c r="T9" i="44"/>
  <c r="T11" i="44" s="1"/>
  <c r="S9" i="44"/>
  <c r="S11" i="44" s="1"/>
  <c r="R9" i="44"/>
  <c r="R11" i="44" s="1"/>
  <c r="Q9" i="44"/>
  <c r="Q11" i="44" s="1"/>
  <c r="P9" i="44"/>
  <c r="P11" i="44" s="1"/>
  <c r="O9" i="44"/>
  <c r="O11" i="44" s="1"/>
  <c r="N9" i="44"/>
  <c r="N11" i="44" s="1"/>
  <c r="M9" i="44"/>
  <c r="M11" i="44" s="1"/>
  <c r="L9" i="44"/>
  <c r="L11" i="44" s="1"/>
  <c r="K9" i="44"/>
  <c r="J9" i="44"/>
  <c r="I9" i="44"/>
  <c r="K7" i="44"/>
  <c r="J7" i="44"/>
  <c r="I7" i="44"/>
  <c r="T6" i="44"/>
  <c r="T8" i="44" s="1"/>
  <c r="S6" i="44"/>
  <c r="S8" i="44" s="1"/>
  <c r="R6" i="44"/>
  <c r="R8" i="44" s="1"/>
  <c r="Q6" i="44"/>
  <c r="Q8" i="44" s="1"/>
  <c r="P6" i="44"/>
  <c r="O6" i="44"/>
  <c r="O8" i="44" s="1"/>
  <c r="N6" i="44"/>
  <c r="N8" i="44" s="1"/>
  <c r="M6" i="44"/>
  <c r="M8" i="44" s="1"/>
  <c r="L6" i="44"/>
  <c r="L8" i="44" s="1"/>
  <c r="K6" i="44"/>
  <c r="J6" i="44"/>
  <c r="I6" i="44"/>
  <c r="K4" i="44"/>
  <c r="J4" i="44"/>
  <c r="I4" i="44"/>
  <c r="T3" i="44"/>
  <c r="T5" i="44" s="1"/>
  <c r="S3" i="44"/>
  <c r="S5" i="44" s="1"/>
  <c r="R3" i="44"/>
  <c r="Q3" i="44"/>
  <c r="P3" i="44"/>
  <c r="P5" i="44" s="1"/>
  <c r="O3" i="44"/>
  <c r="O5" i="44" s="1"/>
  <c r="N3" i="44"/>
  <c r="M3" i="44"/>
  <c r="L3" i="44"/>
  <c r="L5" i="44" s="1"/>
  <c r="K3" i="44"/>
  <c r="J3" i="44"/>
  <c r="I3" i="44"/>
  <c r="I85" i="39"/>
  <c r="I82" i="39"/>
  <c r="I79" i="39"/>
  <c r="I76" i="39"/>
  <c r="I73" i="39"/>
  <c r="I70" i="39"/>
  <c r="I67" i="39"/>
  <c r="I64" i="39"/>
  <c r="I61" i="39"/>
  <c r="I58" i="39"/>
  <c r="I55" i="39"/>
  <c r="I52" i="39"/>
  <c r="I49" i="39"/>
  <c r="I46" i="39"/>
  <c r="I43" i="39"/>
  <c r="I37" i="39"/>
  <c r="I34" i="39"/>
  <c r="I31" i="39"/>
  <c r="I28" i="39"/>
  <c r="I25" i="39"/>
  <c r="I22" i="39"/>
  <c r="I19" i="39"/>
  <c r="I16" i="39"/>
  <c r="I13" i="39"/>
  <c r="I10" i="39"/>
  <c r="I7" i="39"/>
  <c r="I4" i="39"/>
  <c r="H85" i="39"/>
  <c r="H82" i="39"/>
  <c r="H79" i="39"/>
  <c r="H76" i="39"/>
  <c r="H73" i="39"/>
  <c r="H70" i="39"/>
  <c r="H67" i="39"/>
  <c r="H64" i="39"/>
  <c r="H61" i="39"/>
  <c r="H58" i="39"/>
  <c r="H55" i="39"/>
  <c r="H52" i="39"/>
  <c r="H49" i="39"/>
  <c r="H46" i="39"/>
  <c r="H43" i="39"/>
  <c r="H37" i="39"/>
  <c r="H34" i="39"/>
  <c r="H31" i="39"/>
  <c r="H28" i="39"/>
  <c r="H25" i="39"/>
  <c r="H22" i="39"/>
  <c r="H19" i="39"/>
  <c r="H16" i="39"/>
  <c r="H13" i="39"/>
  <c r="H10" i="39"/>
  <c r="H7" i="39"/>
  <c r="H4" i="39"/>
  <c r="H420" i="14"/>
  <c r="H419" i="14"/>
  <c r="E27" i="44" l="1"/>
  <c r="V15" i="44"/>
  <c r="V76" i="44"/>
  <c r="V6" i="44"/>
  <c r="V9" i="44"/>
  <c r="V30" i="44"/>
  <c r="J35" i="44"/>
  <c r="V43" i="44"/>
  <c r="V54" i="44"/>
  <c r="V56" i="44" s="1"/>
  <c r="V13" i="44"/>
  <c r="V24" i="44"/>
  <c r="V48" i="44"/>
  <c r="V72" i="44"/>
  <c r="V10" i="44"/>
  <c r="V21" i="44"/>
  <c r="V34" i="44"/>
  <c r="V45" i="44"/>
  <c r="V58" i="44"/>
  <c r="V69" i="44"/>
  <c r="V37" i="44"/>
  <c r="V40" i="44"/>
  <c r="V61" i="44"/>
  <c r="V64" i="44"/>
  <c r="V7" i="44"/>
  <c r="V8" i="44" s="1"/>
  <c r="V18" i="44"/>
  <c r="V31" i="44"/>
  <c r="V42" i="44"/>
  <c r="V55" i="44"/>
  <c r="V66" i="44"/>
  <c r="V79" i="44"/>
  <c r="V4" i="44"/>
  <c r="U28" i="44"/>
  <c r="V39" i="44"/>
  <c r="V52" i="44"/>
  <c r="V63" i="44"/>
  <c r="K83" i="44"/>
  <c r="V12" i="44"/>
  <c r="V25" i="44"/>
  <c r="V36" i="44"/>
  <c r="V60" i="44"/>
  <c r="V22" i="44"/>
  <c r="V33" i="44"/>
  <c r="V46" i="44"/>
  <c r="V49" i="44"/>
  <c r="V57" i="44"/>
  <c r="V59" i="44" s="1"/>
  <c r="V70" i="44"/>
  <c r="V73" i="44"/>
  <c r="V81" i="44"/>
  <c r="V67" i="44"/>
  <c r="V78" i="44"/>
  <c r="V80" i="44" s="1"/>
  <c r="V28" i="44"/>
  <c r="J44" i="44"/>
  <c r="K71" i="44"/>
  <c r="K38" i="44"/>
  <c r="I56" i="44"/>
  <c r="K62" i="44"/>
  <c r="J71" i="44"/>
  <c r="U46" i="44"/>
  <c r="I59" i="44"/>
  <c r="K5" i="44"/>
  <c r="J14" i="44"/>
  <c r="K26" i="44"/>
  <c r="I44" i="44"/>
  <c r="J47" i="44"/>
  <c r="J83" i="44"/>
  <c r="U16" i="44"/>
  <c r="U37" i="44"/>
  <c r="I68" i="44"/>
  <c r="J23" i="44"/>
  <c r="J26" i="44"/>
  <c r="U10" i="44"/>
  <c r="K14" i="44"/>
  <c r="K32" i="44"/>
  <c r="V82" i="44"/>
  <c r="J5" i="44"/>
  <c r="I20" i="44"/>
  <c r="K35" i="44"/>
  <c r="U45" i="44"/>
  <c r="I65" i="44"/>
  <c r="K68" i="44"/>
  <c r="J11" i="44"/>
  <c r="I26" i="44"/>
  <c r="U61" i="44"/>
  <c r="K8" i="44"/>
  <c r="I77" i="44"/>
  <c r="I14" i="44"/>
  <c r="U31" i="44"/>
  <c r="U27" i="44"/>
  <c r="U29" i="44" s="1"/>
  <c r="J38" i="44"/>
  <c r="J59" i="44"/>
  <c r="K74" i="44"/>
  <c r="U18" i="44"/>
  <c r="U43" i="44"/>
  <c r="U4" i="44"/>
  <c r="U13" i="44"/>
  <c r="I17" i="44"/>
  <c r="K17" i="44"/>
  <c r="K50" i="44"/>
  <c r="J65" i="44"/>
  <c r="J77" i="44"/>
  <c r="J20" i="44"/>
  <c r="K44" i="44"/>
  <c r="I32" i="44"/>
  <c r="U15" i="44"/>
  <c r="K20" i="44"/>
  <c r="K41" i="44"/>
  <c r="J53" i="44"/>
  <c r="J56" i="44"/>
  <c r="K11" i="44"/>
  <c r="U22" i="44"/>
  <c r="K29" i="44"/>
  <c r="K47" i="44"/>
  <c r="K56" i="44"/>
  <c r="U70" i="44"/>
  <c r="I80" i="44"/>
  <c r="J86" i="44"/>
  <c r="R86" i="44"/>
  <c r="R88" i="44" s="1"/>
  <c r="U7" i="44"/>
  <c r="U24" i="44"/>
  <c r="U30" i="44"/>
  <c r="U49" i="44"/>
  <c r="U52" i="44"/>
  <c r="K59" i="44"/>
  <c r="J62" i="44"/>
  <c r="U67" i="44"/>
  <c r="U72" i="44"/>
  <c r="P86" i="44"/>
  <c r="P88" i="44" s="1"/>
  <c r="P8" i="44"/>
  <c r="J87" i="44"/>
  <c r="U9" i="44"/>
  <c r="V19" i="44"/>
  <c r="U40" i="44"/>
  <c r="U57" i="44"/>
  <c r="N59" i="44"/>
  <c r="U66" i="44"/>
  <c r="U73" i="44"/>
  <c r="U76" i="44"/>
  <c r="K86" i="44"/>
  <c r="J41" i="44"/>
  <c r="N80" i="44"/>
  <c r="M83" i="44"/>
  <c r="U81" i="44"/>
  <c r="L86" i="44"/>
  <c r="L88" i="44" s="1"/>
  <c r="M86" i="44"/>
  <c r="M88" i="44" s="1"/>
  <c r="M5" i="44"/>
  <c r="I8" i="44"/>
  <c r="J29" i="44"/>
  <c r="U33" i="44"/>
  <c r="O41" i="44"/>
  <c r="T41" i="44"/>
  <c r="I50" i="44"/>
  <c r="U60" i="44"/>
  <c r="O86" i="44"/>
  <c r="O88" i="44" s="1"/>
  <c r="U3" i="44"/>
  <c r="U5" i="44" s="1"/>
  <c r="N86" i="44"/>
  <c r="N88" i="44" s="1"/>
  <c r="V3" i="44"/>
  <c r="N5" i="44"/>
  <c r="J8" i="44"/>
  <c r="J17" i="44"/>
  <c r="U19" i="44"/>
  <c r="K23" i="44"/>
  <c r="U34" i="44"/>
  <c r="I35" i="44"/>
  <c r="I38" i="44"/>
  <c r="J50" i="44"/>
  <c r="I53" i="44"/>
  <c r="U54" i="44"/>
  <c r="U55" i="44"/>
  <c r="U64" i="44"/>
  <c r="V74" i="44"/>
  <c r="I74" i="44"/>
  <c r="S86" i="44"/>
  <c r="S88" i="44" s="1"/>
  <c r="I5" i="44"/>
  <c r="U69" i="44"/>
  <c r="J74" i="44"/>
  <c r="U79" i="44"/>
  <c r="T86" i="44"/>
  <c r="T88" i="44" s="1"/>
  <c r="R5" i="44"/>
  <c r="U6" i="44"/>
  <c r="I11" i="44"/>
  <c r="V17" i="44"/>
  <c r="U21" i="44"/>
  <c r="I23" i="44"/>
  <c r="J32" i="44"/>
  <c r="L41" i="44"/>
  <c r="I47" i="44"/>
  <c r="U51" i="44"/>
  <c r="K53" i="44"/>
  <c r="U58" i="44"/>
  <c r="K65" i="44"/>
  <c r="J68" i="44"/>
  <c r="J80" i="44"/>
  <c r="R80" i="44"/>
  <c r="I83" i="44"/>
  <c r="Q83" i="44"/>
  <c r="I87" i="44"/>
  <c r="U39" i="44"/>
  <c r="I41" i="44"/>
  <c r="I86" i="44"/>
  <c r="Q86" i="44"/>
  <c r="Q88" i="44" s="1"/>
  <c r="Q5" i="44"/>
  <c r="K87" i="44"/>
  <c r="U12" i="44"/>
  <c r="U25" i="44"/>
  <c r="I29" i="44"/>
  <c r="V29" i="44"/>
  <c r="U36" i="44"/>
  <c r="S41" i="44"/>
  <c r="U42" i="44"/>
  <c r="U48" i="44"/>
  <c r="I62" i="44"/>
  <c r="I71" i="44"/>
  <c r="U75" i="44"/>
  <c r="K77" i="44"/>
  <c r="K80" i="44"/>
  <c r="U82" i="44"/>
  <c r="U78" i="44"/>
  <c r="U63" i="44"/>
  <c r="V71" i="44"/>
  <c r="L83" i="44"/>
  <c r="T83" i="44"/>
  <c r="H418" i="14"/>
  <c r="H417" i="14"/>
  <c r="H416" i="14"/>
  <c r="N24" i="43"/>
  <c r="H415" i="14"/>
  <c r="H414" i="14"/>
  <c r="H413" i="14"/>
  <c r="H412" i="14"/>
  <c r="E12" i="44" l="1"/>
  <c r="E19" i="44" s="1"/>
  <c r="E3" i="44"/>
  <c r="U44" i="44"/>
  <c r="E31" i="44"/>
  <c r="E35" i="44" s="1"/>
  <c r="V65" i="44"/>
  <c r="V83" i="44"/>
  <c r="V32" i="44"/>
  <c r="U38" i="44"/>
  <c r="U62" i="44"/>
  <c r="U11" i="44"/>
  <c r="U47" i="44"/>
  <c r="J88" i="44"/>
  <c r="U23" i="44"/>
  <c r="U17" i="44"/>
  <c r="V47" i="44"/>
  <c r="V53" i="44"/>
  <c r="V14" i="44"/>
  <c r="U32" i="44"/>
  <c r="V41" i="44"/>
  <c r="V44" i="44"/>
  <c r="U71" i="44"/>
  <c r="V35" i="44"/>
  <c r="U83" i="44"/>
  <c r="V5" i="44"/>
  <c r="U41" i="44"/>
  <c r="U14" i="44"/>
  <c r="U20" i="44"/>
  <c r="U74" i="44"/>
  <c r="U68" i="44"/>
  <c r="U26" i="44"/>
  <c r="U77" i="44"/>
  <c r="V23" i="44"/>
  <c r="V26" i="44"/>
  <c r="V11" i="44"/>
  <c r="V86" i="44"/>
  <c r="U59" i="44"/>
  <c r="U65" i="44"/>
  <c r="V68" i="44"/>
  <c r="V20" i="44"/>
  <c r="U53" i="44"/>
  <c r="K88" i="44"/>
  <c r="V62" i="44"/>
  <c r="U50" i="44"/>
  <c r="U80" i="44"/>
  <c r="U56" i="44"/>
  <c r="U35" i="44"/>
  <c r="U8" i="44"/>
  <c r="U87" i="44"/>
  <c r="I88" i="44"/>
  <c r="V87" i="44"/>
  <c r="V77" i="44"/>
  <c r="U86" i="44"/>
  <c r="V50" i="44"/>
  <c r="V38" i="44"/>
  <c r="H411" i="14"/>
  <c r="H410" i="14"/>
  <c r="H409" i="14"/>
  <c r="H408" i="14"/>
  <c r="H407" i="14"/>
  <c r="H406" i="14"/>
  <c r="I67" i="43"/>
  <c r="J67" i="43" s="1"/>
  <c r="K67" i="43" s="1"/>
  <c r="L67" i="43" s="1"/>
  <c r="M67" i="43" s="1"/>
  <c r="N67" i="43" s="1"/>
  <c r="O67" i="43" s="1"/>
  <c r="P67" i="43" s="1"/>
  <c r="Q67" i="43" s="1"/>
  <c r="R67" i="43" s="1"/>
  <c r="S67" i="43" s="1"/>
  <c r="T67" i="43" s="1"/>
  <c r="U67" i="43" s="1"/>
  <c r="V67" i="43" s="1"/>
  <c r="D67" i="43"/>
  <c r="E67" i="43" s="1"/>
  <c r="F67" i="43" s="1"/>
  <c r="I66" i="43"/>
  <c r="J66" i="43" s="1"/>
  <c r="K66" i="43" s="1"/>
  <c r="L66" i="43" s="1"/>
  <c r="M66" i="43" s="1"/>
  <c r="N66" i="43" s="1"/>
  <c r="O66" i="43" s="1"/>
  <c r="P66" i="43" s="1"/>
  <c r="Q66" i="43" s="1"/>
  <c r="R66" i="43" s="1"/>
  <c r="S66" i="43" s="1"/>
  <c r="T66" i="43" s="1"/>
  <c r="U66" i="43" s="1"/>
  <c r="V66" i="43" s="1"/>
  <c r="D66" i="43"/>
  <c r="E66" i="43" s="1"/>
  <c r="F66" i="43" s="1"/>
  <c r="I65" i="43"/>
  <c r="J65" i="43" s="1"/>
  <c r="K65" i="43" s="1"/>
  <c r="L65" i="43" s="1"/>
  <c r="M65" i="43" s="1"/>
  <c r="N65" i="43" s="1"/>
  <c r="O65" i="43" s="1"/>
  <c r="P65" i="43" s="1"/>
  <c r="Q65" i="43" s="1"/>
  <c r="R65" i="43" s="1"/>
  <c r="S65" i="43" s="1"/>
  <c r="T65" i="43" s="1"/>
  <c r="U65" i="43" s="1"/>
  <c r="V65" i="43" s="1"/>
  <c r="D65" i="43"/>
  <c r="E65" i="43" s="1"/>
  <c r="F65" i="43" s="1"/>
  <c r="I64" i="43"/>
  <c r="J64" i="43" s="1"/>
  <c r="K64" i="43" s="1"/>
  <c r="L64" i="43" s="1"/>
  <c r="M64" i="43" s="1"/>
  <c r="N64" i="43" s="1"/>
  <c r="O64" i="43" s="1"/>
  <c r="P64" i="43" s="1"/>
  <c r="Q64" i="43" s="1"/>
  <c r="R64" i="43" s="1"/>
  <c r="S64" i="43" s="1"/>
  <c r="T64" i="43" s="1"/>
  <c r="U64" i="43" s="1"/>
  <c r="V64" i="43" s="1"/>
  <c r="D64" i="43"/>
  <c r="E64" i="43" s="1"/>
  <c r="F64" i="43" s="1"/>
  <c r="I63" i="43"/>
  <c r="J63" i="43" s="1"/>
  <c r="K63" i="43" s="1"/>
  <c r="L63" i="43" s="1"/>
  <c r="M63" i="43" s="1"/>
  <c r="N63" i="43" s="1"/>
  <c r="O63" i="43" s="1"/>
  <c r="P63" i="43" s="1"/>
  <c r="Q63" i="43" s="1"/>
  <c r="R63" i="43" s="1"/>
  <c r="S63" i="43" s="1"/>
  <c r="T63" i="43" s="1"/>
  <c r="U63" i="43" s="1"/>
  <c r="V63" i="43" s="1"/>
  <c r="D63" i="43"/>
  <c r="E63" i="43" s="1"/>
  <c r="F63" i="43" s="1"/>
  <c r="I62" i="43"/>
  <c r="J62" i="43" s="1"/>
  <c r="K62" i="43" s="1"/>
  <c r="L62" i="43" s="1"/>
  <c r="M62" i="43" s="1"/>
  <c r="N62" i="43" s="1"/>
  <c r="O62" i="43" s="1"/>
  <c r="P62" i="43" s="1"/>
  <c r="Q62" i="43" s="1"/>
  <c r="R62" i="43" s="1"/>
  <c r="S62" i="43" s="1"/>
  <c r="T62" i="43" s="1"/>
  <c r="U62" i="43" s="1"/>
  <c r="V62" i="43" s="1"/>
  <c r="D62" i="43"/>
  <c r="E62" i="43" s="1"/>
  <c r="F62" i="43" s="1"/>
  <c r="I61" i="43"/>
  <c r="J61" i="43" s="1"/>
  <c r="K61" i="43" s="1"/>
  <c r="L61" i="43" s="1"/>
  <c r="M61" i="43" s="1"/>
  <c r="N61" i="43" s="1"/>
  <c r="O61" i="43" s="1"/>
  <c r="P61" i="43" s="1"/>
  <c r="Q61" i="43" s="1"/>
  <c r="R61" i="43" s="1"/>
  <c r="S61" i="43" s="1"/>
  <c r="T61" i="43" s="1"/>
  <c r="U61" i="43" s="1"/>
  <c r="V61" i="43" s="1"/>
  <c r="D61" i="43"/>
  <c r="E61" i="43" s="1"/>
  <c r="F61" i="43" s="1"/>
  <c r="I60" i="43"/>
  <c r="J60" i="43" s="1"/>
  <c r="K60" i="43" s="1"/>
  <c r="L60" i="43" s="1"/>
  <c r="M60" i="43" s="1"/>
  <c r="N60" i="43" s="1"/>
  <c r="O60" i="43" s="1"/>
  <c r="P60" i="43" s="1"/>
  <c r="Q60" i="43" s="1"/>
  <c r="R60" i="43" s="1"/>
  <c r="S60" i="43" s="1"/>
  <c r="T60" i="43" s="1"/>
  <c r="U60" i="43" s="1"/>
  <c r="V60" i="43" s="1"/>
  <c r="D60" i="43"/>
  <c r="E60" i="43" s="1"/>
  <c r="F60" i="43" s="1"/>
  <c r="I59" i="43"/>
  <c r="J59" i="43" s="1"/>
  <c r="K59" i="43" s="1"/>
  <c r="L59" i="43" s="1"/>
  <c r="M59" i="43" s="1"/>
  <c r="N59" i="43" s="1"/>
  <c r="O59" i="43" s="1"/>
  <c r="P59" i="43" s="1"/>
  <c r="Q59" i="43" s="1"/>
  <c r="R59" i="43" s="1"/>
  <c r="S59" i="43" s="1"/>
  <c r="T59" i="43" s="1"/>
  <c r="U59" i="43" s="1"/>
  <c r="V59" i="43" s="1"/>
  <c r="D59" i="43"/>
  <c r="E59" i="43" s="1"/>
  <c r="F59" i="43" s="1"/>
  <c r="I58" i="43"/>
  <c r="J58" i="43" s="1"/>
  <c r="K58" i="43" s="1"/>
  <c r="L58" i="43" s="1"/>
  <c r="M58" i="43" s="1"/>
  <c r="N58" i="43" s="1"/>
  <c r="O58" i="43" s="1"/>
  <c r="P58" i="43" s="1"/>
  <c r="Q58" i="43" s="1"/>
  <c r="R58" i="43" s="1"/>
  <c r="S58" i="43" s="1"/>
  <c r="T58" i="43" s="1"/>
  <c r="U58" i="43" s="1"/>
  <c r="V58" i="43" s="1"/>
  <c r="D58" i="43"/>
  <c r="E58" i="43" s="1"/>
  <c r="F58" i="43" s="1"/>
  <c r="I57" i="43"/>
  <c r="J57" i="43" s="1"/>
  <c r="K57" i="43" s="1"/>
  <c r="L57" i="43" s="1"/>
  <c r="M57" i="43" s="1"/>
  <c r="N57" i="43" s="1"/>
  <c r="O57" i="43" s="1"/>
  <c r="P57" i="43" s="1"/>
  <c r="Q57" i="43" s="1"/>
  <c r="R57" i="43" s="1"/>
  <c r="S57" i="43" s="1"/>
  <c r="T57" i="43" s="1"/>
  <c r="U57" i="43" s="1"/>
  <c r="V57" i="43" s="1"/>
  <c r="D57" i="43"/>
  <c r="E57" i="43" s="1"/>
  <c r="F57" i="43" s="1"/>
  <c r="I56" i="43"/>
  <c r="J56" i="43" s="1"/>
  <c r="K56" i="43" s="1"/>
  <c r="L56" i="43" s="1"/>
  <c r="M56" i="43" s="1"/>
  <c r="N56" i="43" s="1"/>
  <c r="O56" i="43" s="1"/>
  <c r="P56" i="43" s="1"/>
  <c r="Q56" i="43" s="1"/>
  <c r="R56" i="43" s="1"/>
  <c r="S56" i="43" s="1"/>
  <c r="T56" i="43" s="1"/>
  <c r="U56" i="43" s="1"/>
  <c r="V56" i="43" s="1"/>
  <c r="D56" i="43"/>
  <c r="E56" i="43" s="1"/>
  <c r="F56" i="43" s="1"/>
  <c r="I55" i="43"/>
  <c r="J55" i="43" s="1"/>
  <c r="K55" i="43" s="1"/>
  <c r="L55" i="43" s="1"/>
  <c r="M55" i="43" s="1"/>
  <c r="N55" i="43" s="1"/>
  <c r="O55" i="43" s="1"/>
  <c r="P55" i="43" s="1"/>
  <c r="Q55" i="43" s="1"/>
  <c r="R55" i="43" s="1"/>
  <c r="S55" i="43" s="1"/>
  <c r="T55" i="43" s="1"/>
  <c r="U55" i="43" s="1"/>
  <c r="V55" i="43" s="1"/>
  <c r="D55" i="43"/>
  <c r="E55" i="43" s="1"/>
  <c r="F55" i="43" s="1"/>
  <c r="I54" i="43"/>
  <c r="J54" i="43" s="1"/>
  <c r="K54" i="43" s="1"/>
  <c r="L54" i="43" s="1"/>
  <c r="M54" i="43" s="1"/>
  <c r="N54" i="43" s="1"/>
  <c r="O54" i="43" s="1"/>
  <c r="P54" i="43" s="1"/>
  <c r="Q54" i="43" s="1"/>
  <c r="R54" i="43" s="1"/>
  <c r="S54" i="43" s="1"/>
  <c r="T54" i="43" s="1"/>
  <c r="U54" i="43" s="1"/>
  <c r="V54" i="43" s="1"/>
  <c r="D54" i="43"/>
  <c r="E54" i="43" s="1"/>
  <c r="F54" i="43" s="1"/>
  <c r="I53" i="43"/>
  <c r="J53" i="43" s="1"/>
  <c r="K53" i="43" s="1"/>
  <c r="L53" i="43" s="1"/>
  <c r="M53" i="43" s="1"/>
  <c r="N53" i="43" s="1"/>
  <c r="O53" i="43" s="1"/>
  <c r="P53" i="43" s="1"/>
  <c r="Q53" i="43" s="1"/>
  <c r="R53" i="43" s="1"/>
  <c r="S53" i="43" s="1"/>
  <c r="T53" i="43" s="1"/>
  <c r="U53" i="43" s="1"/>
  <c r="V53" i="43" s="1"/>
  <c r="D53" i="43"/>
  <c r="E53" i="43" s="1"/>
  <c r="F53" i="43" s="1"/>
  <c r="I52" i="43"/>
  <c r="J52" i="43" s="1"/>
  <c r="K52" i="43" s="1"/>
  <c r="L52" i="43" s="1"/>
  <c r="M52" i="43" s="1"/>
  <c r="N52" i="43" s="1"/>
  <c r="O52" i="43" s="1"/>
  <c r="P52" i="43" s="1"/>
  <c r="Q52" i="43" s="1"/>
  <c r="R52" i="43" s="1"/>
  <c r="S52" i="43" s="1"/>
  <c r="T52" i="43" s="1"/>
  <c r="U52" i="43" s="1"/>
  <c r="V52" i="43" s="1"/>
  <c r="D52" i="43"/>
  <c r="E52" i="43" s="1"/>
  <c r="F52" i="43" s="1"/>
  <c r="I51" i="43"/>
  <c r="J51" i="43" s="1"/>
  <c r="K51" i="43" s="1"/>
  <c r="L51" i="43" s="1"/>
  <c r="M51" i="43" s="1"/>
  <c r="N51" i="43" s="1"/>
  <c r="O51" i="43" s="1"/>
  <c r="P51" i="43" s="1"/>
  <c r="Q51" i="43" s="1"/>
  <c r="R51" i="43" s="1"/>
  <c r="S51" i="43" s="1"/>
  <c r="T51" i="43" s="1"/>
  <c r="U51" i="43" s="1"/>
  <c r="V51" i="43" s="1"/>
  <c r="D51" i="43"/>
  <c r="E51" i="43" s="1"/>
  <c r="F51" i="43" s="1"/>
  <c r="I50" i="43"/>
  <c r="J50" i="43" s="1"/>
  <c r="K50" i="43" s="1"/>
  <c r="L50" i="43" s="1"/>
  <c r="M50" i="43" s="1"/>
  <c r="N50" i="43" s="1"/>
  <c r="O50" i="43" s="1"/>
  <c r="P50" i="43" s="1"/>
  <c r="Q50" i="43" s="1"/>
  <c r="R50" i="43" s="1"/>
  <c r="S50" i="43" s="1"/>
  <c r="T50" i="43" s="1"/>
  <c r="U50" i="43" s="1"/>
  <c r="V50" i="43" s="1"/>
  <c r="D50" i="43"/>
  <c r="E50" i="43" s="1"/>
  <c r="F50" i="43" s="1"/>
  <c r="I49" i="43"/>
  <c r="J49" i="43" s="1"/>
  <c r="K49" i="43" s="1"/>
  <c r="L49" i="43" s="1"/>
  <c r="M49" i="43" s="1"/>
  <c r="N49" i="43" s="1"/>
  <c r="O49" i="43" s="1"/>
  <c r="P49" i="43" s="1"/>
  <c r="Q49" i="43" s="1"/>
  <c r="R49" i="43" s="1"/>
  <c r="S49" i="43" s="1"/>
  <c r="T49" i="43" s="1"/>
  <c r="U49" i="43" s="1"/>
  <c r="V49" i="43" s="1"/>
  <c r="D49" i="43"/>
  <c r="E49" i="43" s="1"/>
  <c r="F49" i="43" s="1"/>
  <c r="I48" i="43"/>
  <c r="J48" i="43" s="1"/>
  <c r="K48" i="43" s="1"/>
  <c r="L48" i="43" s="1"/>
  <c r="M48" i="43" s="1"/>
  <c r="N48" i="43" s="1"/>
  <c r="O48" i="43" s="1"/>
  <c r="P48" i="43" s="1"/>
  <c r="Q48" i="43" s="1"/>
  <c r="R48" i="43" s="1"/>
  <c r="S48" i="43" s="1"/>
  <c r="T48" i="43" s="1"/>
  <c r="U48" i="43" s="1"/>
  <c r="V48" i="43" s="1"/>
  <c r="D48" i="43"/>
  <c r="E48" i="43" s="1"/>
  <c r="F48" i="43" s="1"/>
  <c r="I47" i="43"/>
  <c r="J47" i="43" s="1"/>
  <c r="K47" i="43" s="1"/>
  <c r="L47" i="43" s="1"/>
  <c r="M47" i="43" s="1"/>
  <c r="N47" i="43" s="1"/>
  <c r="O47" i="43" s="1"/>
  <c r="P47" i="43" s="1"/>
  <c r="Q47" i="43" s="1"/>
  <c r="R47" i="43" s="1"/>
  <c r="S47" i="43" s="1"/>
  <c r="T47" i="43" s="1"/>
  <c r="U47" i="43" s="1"/>
  <c r="V47" i="43" s="1"/>
  <c r="D47" i="43"/>
  <c r="E47" i="43" s="1"/>
  <c r="F47" i="43" s="1"/>
  <c r="I46" i="43"/>
  <c r="J46" i="43" s="1"/>
  <c r="K46" i="43" s="1"/>
  <c r="L46" i="43" s="1"/>
  <c r="M46" i="43" s="1"/>
  <c r="N46" i="43" s="1"/>
  <c r="O46" i="43" s="1"/>
  <c r="P46" i="43" s="1"/>
  <c r="Q46" i="43" s="1"/>
  <c r="R46" i="43" s="1"/>
  <c r="S46" i="43" s="1"/>
  <c r="T46" i="43" s="1"/>
  <c r="U46" i="43" s="1"/>
  <c r="V46" i="43" s="1"/>
  <c r="D46" i="43"/>
  <c r="E46" i="43" s="1"/>
  <c r="F46" i="43" s="1"/>
  <c r="H45" i="43"/>
  <c r="I45" i="43" s="1"/>
  <c r="J45" i="43" s="1"/>
  <c r="K45" i="43" s="1"/>
  <c r="L45" i="43" s="1"/>
  <c r="M45" i="43" s="1"/>
  <c r="N45" i="43" s="1"/>
  <c r="O45" i="43" s="1"/>
  <c r="P45" i="43" s="1"/>
  <c r="Q45" i="43" s="1"/>
  <c r="R45" i="43" s="1"/>
  <c r="S45" i="43" s="1"/>
  <c r="T45" i="43" s="1"/>
  <c r="U45" i="43" s="1"/>
  <c r="V45" i="43" s="1"/>
  <c r="G45" i="43"/>
  <c r="D45" i="43"/>
  <c r="E45" i="43" s="1"/>
  <c r="F45" i="43" s="1"/>
  <c r="AL44" i="43"/>
  <c r="I44" i="43"/>
  <c r="J44" i="43" s="1"/>
  <c r="K44" i="43" s="1"/>
  <c r="L44" i="43" s="1"/>
  <c r="M44" i="43" s="1"/>
  <c r="N44" i="43" s="1"/>
  <c r="O44" i="43" s="1"/>
  <c r="P44" i="43" s="1"/>
  <c r="Q44" i="43" s="1"/>
  <c r="R44" i="43" s="1"/>
  <c r="S44" i="43" s="1"/>
  <c r="T44" i="43" s="1"/>
  <c r="U44" i="43" s="1"/>
  <c r="V44" i="43" s="1"/>
  <c r="D44" i="43"/>
  <c r="E44" i="43" s="1"/>
  <c r="F44" i="43" s="1"/>
  <c r="AG42" i="43"/>
  <c r="AA42" i="43"/>
  <c r="Z42" i="43"/>
  <c r="T42" i="43"/>
  <c r="S42" i="43"/>
  <c r="M42" i="43"/>
  <c r="L42" i="43"/>
  <c r="F42" i="43"/>
  <c r="E42" i="43"/>
  <c r="AF40" i="43"/>
  <c r="AF41" i="43" s="1"/>
  <c r="O40" i="43"/>
  <c r="AE39" i="43"/>
  <c r="AC39" i="43"/>
  <c r="I38" i="43"/>
  <c r="T37" i="43"/>
  <c r="N36" i="43"/>
  <c r="L36" i="43"/>
  <c r="AI32" i="43"/>
  <c r="AG32" i="43"/>
  <c r="AF32" i="43"/>
  <c r="AE32" i="43"/>
  <c r="AD32" i="43"/>
  <c r="AB32" i="43"/>
  <c r="AA32" i="43"/>
  <c r="Z32" i="43"/>
  <c r="Y32" i="43"/>
  <c r="X32" i="43"/>
  <c r="W32" i="43"/>
  <c r="V32" i="43"/>
  <c r="U32" i="43"/>
  <c r="T32" i="43"/>
  <c r="S32" i="43"/>
  <c r="R32" i="43"/>
  <c r="Q32" i="43"/>
  <c r="P32" i="43"/>
  <c r="O32" i="43"/>
  <c r="N32" i="43"/>
  <c r="M32" i="43"/>
  <c r="L32" i="43"/>
  <c r="K32" i="43"/>
  <c r="I32" i="43"/>
  <c r="H32" i="43"/>
  <c r="G32" i="43"/>
  <c r="F32" i="43"/>
  <c r="E32" i="43"/>
  <c r="D32" i="43"/>
  <c r="BN31" i="43"/>
  <c r="BM31" i="43"/>
  <c r="BL31" i="43"/>
  <c r="BK31" i="43"/>
  <c r="BJ31" i="43"/>
  <c r="BI31" i="43"/>
  <c r="BH31" i="43"/>
  <c r="BG31" i="43"/>
  <c r="BF31" i="43"/>
  <c r="BE31" i="43"/>
  <c r="BD31" i="43"/>
  <c r="BC31" i="43"/>
  <c r="BB31" i="43"/>
  <c r="BA31" i="43"/>
  <c r="AZ31" i="43"/>
  <c r="AY31" i="43"/>
  <c r="AX31" i="43"/>
  <c r="AW31" i="43"/>
  <c r="AV31" i="43"/>
  <c r="AU31" i="43"/>
  <c r="AT31" i="43"/>
  <c r="AS31" i="43"/>
  <c r="AR31" i="43"/>
  <c r="AQ31" i="43"/>
  <c r="AP31" i="43"/>
  <c r="AO31" i="43"/>
  <c r="AN31" i="43"/>
  <c r="AM31" i="43"/>
  <c r="AL31" i="43"/>
  <c r="AK31" i="43"/>
  <c r="AH31" i="43"/>
  <c r="BO31" i="43" s="1"/>
  <c r="BN30" i="43"/>
  <c r="BM30" i="43"/>
  <c r="BL30" i="43"/>
  <c r="BK30" i="43"/>
  <c r="BJ30" i="43"/>
  <c r="BI30" i="43"/>
  <c r="BH30" i="43"/>
  <c r="BG30" i="43"/>
  <c r="BF30" i="43"/>
  <c r="BE30" i="43"/>
  <c r="BD30" i="43"/>
  <c r="BC30" i="43"/>
  <c r="BB30" i="43"/>
  <c r="BA30" i="43"/>
  <c r="AZ30" i="43"/>
  <c r="AY30" i="43"/>
  <c r="AX30" i="43"/>
  <c r="AW30" i="43"/>
  <c r="AV30" i="43"/>
  <c r="AU30" i="43"/>
  <c r="AT30" i="43"/>
  <c r="AS30" i="43"/>
  <c r="AR30" i="43"/>
  <c r="AQ30" i="43"/>
  <c r="AP30" i="43"/>
  <c r="AO30" i="43"/>
  <c r="AN30" i="43"/>
  <c r="AM30" i="43"/>
  <c r="AL30" i="43"/>
  <c r="AK30" i="43"/>
  <c r="AJ30" i="43"/>
  <c r="AH30" i="43"/>
  <c r="BO30" i="43" s="1"/>
  <c r="BN29" i="43"/>
  <c r="BM29" i="43"/>
  <c r="BL29" i="43"/>
  <c r="BK29" i="43"/>
  <c r="BJ29" i="43"/>
  <c r="BI29" i="43"/>
  <c r="BH29" i="43"/>
  <c r="BG29" i="43"/>
  <c r="BF29" i="43"/>
  <c r="BE29" i="43"/>
  <c r="BD29" i="43"/>
  <c r="BC29" i="43"/>
  <c r="BB29" i="43"/>
  <c r="BA29" i="43"/>
  <c r="AZ29" i="43"/>
  <c r="AY29" i="43"/>
  <c r="AX29" i="43"/>
  <c r="AW29" i="43"/>
  <c r="AV29" i="43"/>
  <c r="AU29" i="43"/>
  <c r="AT29" i="43"/>
  <c r="AS29" i="43"/>
  <c r="AR29" i="43"/>
  <c r="AQ29" i="43"/>
  <c r="AP29" i="43"/>
  <c r="AO29" i="43"/>
  <c r="AN29" i="43"/>
  <c r="AM29" i="43"/>
  <c r="AL29" i="43"/>
  <c r="AK29" i="43"/>
  <c r="AJ29" i="43"/>
  <c r="AH29" i="43"/>
  <c r="BO29" i="43" s="1"/>
  <c r="BN28" i="43"/>
  <c r="BM28" i="43"/>
  <c r="BL28" i="43"/>
  <c r="BK28" i="43"/>
  <c r="BJ28" i="43"/>
  <c r="BI28" i="43"/>
  <c r="BH28" i="43"/>
  <c r="BG28" i="43"/>
  <c r="BF28" i="43"/>
  <c r="BE28" i="43"/>
  <c r="BD28" i="43"/>
  <c r="BC28" i="43"/>
  <c r="BB28" i="43"/>
  <c r="BA28" i="43"/>
  <c r="AZ28" i="43"/>
  <c r="AY28" i="43"/>
  <c r="AX28" i="43"/>
  <c r="AW28" i="43"/>
  <c r="AV28" i="43"/>
  <c r="AU28" i="43"/>
  <c r="AT28" i="43"/>
  <c r="AS28" i="43"/>
  <c r="AR28" i="43"/>
  <c r="AQ28" i="43"/>
  <c r="AP28" i="43"/>
  <c r="AO28" i="43"/>
  <c r="AN28" i="43"/>
  <c r="AM28" i="43"/>
  <c r="AL28" i="43"/>
  <c r="AK28" i="43"/>
  <c r="AJ28" i="43"/>
  <c r="AH28" i="43"/>
  <c r="BO28" i="43" s="1"/>
  <c r="BN27" i="43"/>
  <c r="BM27" i="43"/>
  <c r="BL27" i="43"/>
  <c r="BK27" i="43"/>
  <c r="BJ27" i="43"/>
  <c r="BI27" i="43"/>
  <c r="BH27" i="43"/>
  <c r="BG27" i="43"/>
  <c r="BF27" i="43"/>
  <c r="BE27" i="43"/>
  <c r="BD27" i="43"/>
  <c r="BC27" i="43"/>
  <c r="BB27" i="43"/>
  <c r="BA27" i="43"/>
  <c r="AZ27" i="43"/>
  <c r="AY27" i="43"/>
  <c r="AX27" i="43"/>
  <c r="AW27" i="43"/>
  <c r="AV27" i="43"/>
  <c r="AU27" i="43"/>
  <c r="AT27" i="43"/>
  <c r="AS27" i="43"/>
  <c r="AR27" i="43"/>
  <c r="AQ27" i="43"/>
  <c r="AP27" i="43"/>
  <c r="AO27" i="43"/>
  <c r="AN27" i="43"/>
  <c r="AM27" i="43"/>
  <c r="AL27" i="43"/>
  <c r="AK27" i="43"/>
  <c r="AJ27" i="43"/>
  <c r="AH27" i="43"/>
  <c r="BO27" i="43" s="1"/>
  <c r="BN26" i="43"/>
  <c r="BM26" i="43"/>
  <c r="BL26" i="43"/>
  <c r="BK26" i="43"/>
  <c r="BJ26" i="43"/>
  <c r="BI26" i="43"/>
  <c r="BH26" i="43"/>
  <c r="BG26" i="43"/>
  <c r="BF26" i="43"/>
  <c r="BE26" i="43"/>
  <c r="BD26" i="43"/>
  <c r="BC26" i="43"/>
  <c r="BB26" i="43"/>
  <c r="BA26" i="43"/>
  <c r="AZ26" i="43"/>
  <c r="AY26" i="43"/>
  <c r="AX26" i="43"/>
  <c r="AW26" i="43"/>
  <c r="AV26" i="43"/>
  <c r="AU26" i="43"/>
  <c r="AT26" i="43"/>
  <c r="AS26" i="43"/>
  <c r="AR26" i="43"/>
  <c r="AQ26" i="43"/>
  <c r="AP26" i="43"/>
  <c r="AO26" i="43"/>
  <c r="AN26" i="43"/>
  <c r="AM26" i="43"/>
  <c r="AL26" i="43"/>
  <c r="AK26" i="43"/>
  <c r="AJ26" i="43"/>
  <c r="AH26" i="43"/>
  <c r="BO26" i="43" s="1"/>
  <c r="BN25" i="43"/>
  <c r="BM25" i="43"/>
  <c r="BL25" i="43"/>
  <c r="BK25" i="43"/>
  <c r="BJ25" i="43"/>
  <c r="BI25" i="43"/>
  <c r="BH25" i="43"/>
  <c r="BG25" i="43"/>
  <c r="BF25" i="43"/>
  <c r="BE25" i="43"/>
  <c r="BD25" i="43"/>
  <c r="BC25" i="43"/>
  <c r="BB25" i="43"/>
  <c r="BA25" i="43"/>
  <c r="AZ25" i="43"/>
  <c r="AY25" i="43"/>
  <c r="AX25" i="43"/>
  <c r="AW25" i="43"/>
  <c r="AV25" i="43"/>
  <c r="AU25" i="43"/>
  <c r="AT25" i="43"/>
  <c r="AS25" i="43"/>
  <c r="AR25" i="43"/>
  <c r="AQ25" i="43"/>
  <c r="AP25" i="43"/>
  <c r="AO25" i="43"/>
  <c r="AN25" i="43"/>
  <c r="AM25" i="43"/>
  <c r="AL25" i="43"/>
  <c r="AK25" i="43"/>
  <c r="AJ25" i="43"/>
  <c r="AH25" i="43"/>
  <c r="BO25" i="43" s="1"/>
  <c r="BN24" i="43"/>
  <c r="BM24" i="43"/>
  <c r="BL24" i="43"/>
  <c r="BK24" i="43"/>
  <c r="BI24" i="43"/>
  <c r="BH24" i="43"/>
  <c r="BG24" i="43"/>
  <c r="BF24" i="43"/>
  <c r="BE24" i="43"/>
  <c r="BD24" i="43"/>
  <c r="BC24" i="43"/>
  <c r="BB24" i="43"/>
  <c r="BA24" i="43"/>
  <c r="AZ24" i="43"/>
  <c r="AY24" i="43"/>
  <c r="AX24" i="43"/>
  <c r="AW24" i="43"/>
  <c r="AV24" i="43"/>
  <c r="AU24" i="43"/>
  <c r="AT24" i="43"/>
  <c r="AS24" i="43"/>
  <c r="AR24" i="43"/>
  <c r="AQ24" i="43"/>
  <c r="AP24" i="43"/>
  <c r="AO24" i="43"/>
  <c r="AN24" i="43"/>
  <c r="AM24" i="43"/>
  <c r="AL24" i="43"/>
  <c r="AK24" i="43"/>
  <c r="AJ24" i="43"/>
  <c r="AH24" i="43"/>
  <c r="BO24" i="43" s="1"/>
  <c r="AC32" i="43"/>
  <c r="J32" i="43"/>
  <c r="BN23" i="43"/>
  <c r="BM23" i="43"/>
  <c r="BL23" i="43"/>
  <c r="BK23" i="43"/>
  <c r="BJ23" i="43"/>
  <c r="BI23" i="43"/>
  <c r="BH23" i="43"/>
  <c r="BG23" i="43"/>
  <c r="BF23" i="43"/>
  <c r="BE23" i="43"/>
  <c r="BD23" i="43"/>
  <c r="BC23" i="43"/>
  <c r="BB23" i="43"/>
  <c r="BA23" i="43"/>
  <c r="AZ23" i="43"/>
  <c r="AY23" i="43"/>
  <c r="AX23" i="43"/>
  <c r="AW23" i="43"/>
  <c r="AV23" i="43"/>
  <c r="AU23" i="43"/>
  <c r="AT23" i="43"/>
  <c r="AS23" i="43"/>
  <c r="AR23" i="43"/>
  <c r="AQ23" i="43"/>
  <c r="AP23" i="43"/>
  <c r="AO23" i="43"/>
  <c r="AN23" i="43"/>
  <c r="AM23" i="43"/>
  <c r="AL23" i="43"/>
  <c r="AK23" i="43"/>
  <c r="AJ23" i="43"/>
  <c r="AH23" i="43"/>
  <c r="BO23" i="43" s="1"/>
  <c r="BN22" i="43"/>
  <c r="BM22" i="43"/>
  <c r="BL22" i="43"/>
  <c r="BK22" i="43"/>
  <c r="BJ22" i="43"/>
  <c r="BI22" i="43"/>
  <c r="BH22" i="43"/>
  <c r="BG22" i="43"/>
  <c r="BF22" i="43"/>
  <c r="BE22" i="43"/>
  <c r="BD22" i="43"/>
  <c r="BC22" i="43"/>
  <c r="BB22" i="43"/>
  <c r="BA22" i="43"/>
  <c r="AZ22" i="43"/>
  <c r="AY22" i="43"/>
  <c r="AX22" i="43"/>
  <c r="AW22" i="43"/>
  <c r="AV22" i="43"/>
  <c r="AU22" i="43"/>
  <c r="AT22" i="43"/>
  <c r="AS22" i="43"/>
  <c r="AR22" i="43"/>
  <c r="AQ22" i="43"/>
  <c r="AP22" i="43"/>
  <c r="AO22" i="43"/>
  <c r="AN22" i="43"/>
  <c r="AM22" i="43"/>
  <c r="AL22" i="43"/>
  <c r="AK22" i="43"/>
  <c r="AJ22" i="43"/>
  <c r="AH22" i="43"/>
  <c r="BO22" i="43" s="1"/>
  <c r="BN21" i="43"/>
  <c r="BM21" i="43"/>
  <c r="BL21" i="43"/>
  <c r="BK21" i="43"/>
  <c r="BJ21" i="43"/>
  <c r="BI21" i="43"/>
  <c r="BH21" i="43"/>
  <c r="BG21" i="43"/>
  <c r="BF21" i="43"/>
  <c r="BE21" i="43"/>
  <c r="BD21" i="43"/>
  <c r="BC21" i="43"/>
  <c r="BB21" i="43"/>
  <c r="BA21" i="43"/>
  <c r="AZ21" i="43"/>
  <c r="AY21" i="43"/>
  <c r="AX21" i="43"/>
  <c r="AW21" i="43"/>
  <c r="AV21" i="43"/>
  <c r="AU21" i="43"/>
  <c r="AT21" i="43"/>
  <c r="AS21" i="43"/>
  <c r="AR21" i="43"/>
  <c r="AQ21" i="43"/>
  <c r="AP21" i="43"/>
  <c r="AO21" i="43"/>
  <c r="AN21" i="43"/>
  <c r="AM21" i="43"/>
  <c r="AL21" i="43"/>
  <c r="AK21" i="43"/>
  <c r="AJ21" i="43"/>
  <c r="AH21" i="43"/>
  <c r="BO21" i="43" s="1"/>
  <c r="BN20" i="43"/>
  <c r="BM20" i="43"/>
  <c r="BL20" i="43"/>
  <c r="BK20" i="43"/>
  <c r="BJ20" i="43"/>
  <c r="BI20" i="43"/>
  <c r="BH20" i="43"/>
  <c r="BG20" i="43"/>
  <c r="BF20" i="43"/>
  <c r="BE20" i="43"/>
  <c r="BD20" i="43"/>
  <c r="BC20" i="43"/>
  <c r="BB20" i="43"/>
  <c r="BA20" i="43"/>
  <c r="AZ20" i="43"/>
  <c r="AY20" i="43"/>
  <c r="AX20" i="43"/>
  <c r="AW20" i="43"/>
  <c r="AV20" i="43"/>
  <c r="AU20" i="43"/>
  <c r="AT20" i="43"/>
  <c r="AS20" i="43"/>
  <c r="AR20" i="43"/>
  <c r="AQ20" i="43"/>
  <c r="AP20" i="43"/>
  <c r="AO20" i="43"/>
  <c r="AN20" i="43"/>
  <c r="AM20" i="43"/>
  <c r="AL20" i="43"/>
  <c r="AK20" i="43"/>
  <c r="AJ20" i="43"/>
  <c r="AH20" i="43"/>
  <c r="BO20" i="43" s="1"/>
  <c r="BN19" i="43"/>
  <c r="BM19" i="43"/>
  <c r="BL19" i="43"/>
  <c r="BK19" i="43"/>
  <c r="BJ19" i="43"/>
  <c r="BI19" i="43"/>
  <c r="BH19" i="43"/>
  <c r="BG19" i="43"/>
  <c r="BF19" i="43"/>
  <c r="BE19" i="43"/>
  <c r="BD19" i="43"/>
  <c r="BC19" i="43"/>
  <c r="BB19" i="43"/>
  <c r="BA19" i="43"/>
  <c r="AZ19" i="43"/>
  <c r="AY19" i="43"/>
  <c r="AX19" i="43"/>
  <c r="AW19" i="43"/>
  <c r="AV19" i="43"/>
  <c r="AU19" i="43"/>
  <c r="AT19" i="43"/>
  <c r="AS19" i="43"/>
  <c r="AR19" i="43"/>
  <c r="AQ19" i="43"/>
  <c r="AP19" i="43"/>
  <c r="AO19" i="43"/>
  <c r="AN19" i="43"/>
  <c r="AM19" i="43"/>
  <c r="AL19" i="43"/>
  <c r="AK19" i="43"/>
  <c r="AJ19" i="43"/>
  <c r="AH19" i="43"/>
  <c r="BO19" i="43" s="1"/>
  <c r="BN18" i="43"/>
  <c r="BM18" i="43"/>
  <c r="BL18" i="43"/>
  <c r="BK18" i="43"/>
  <c r="BJ18" i="43"/>
  <c r="BI18" i="43"/>
  <c r="BH18" i="43"/>
  <c r="BG18" i="43"/>
  <c r="BF18" i="43"/>
  <c r="BE18" i="43"/>
  <c r="BD18" i="43"/>
  <c r="BC18" i="43"/>
  <c r="BB18" i="43"/>
  <c r="BA18" i="43"/>
  <c r="AZ18" i="43"/>
  <c r="AY18" i="43"/>
  <c r="AX18" i="43"/>
  <c r="AW18" i="43"/>
  <c r="AV18" i="43"/>
  <c r="AU18" i="43"/>
  <c r="AT18" i="43"/>
  <c r="AS18" i="43"/>
  <c r="AR18" i="43"/>
  <c r="AQ18" i="43"/>
  <c r="AP18" i="43"/>
  <c r="AO18" i="43"/>
  <c r="AN18" i="43"/>
  <c r="AM18" i="43"/>
  <c r="AL18" i="43"/>
  <c r="AK18" i="43"/>
  <c r="AJ18" i="43"/>
  <c r="AH18" i="43"/>
  <c r="BO18" i="43" s="1"/>
  <c r="BN17" i="43"/>
  <c r="BM17" i="43"/>
  <c r="BL17" i="43"/>
  <c r="BK17" i="43"/>
  <c r="BJ17" i="43"/>
  <c r="BI17" i="43"/>
  <c r="BH17" i="43"/>
  <c r="BG17" i="43"/>
  <c r="BF17" i="43"/>
  <c r="BE17" i="43"/>
  <c r="BD17" i="43"/>
  <c r="BC17" i="43"/>
  <c r="BB17" i="43"/>
  <c r="BA17" i="43"/>
  <c r="AZ17" i="43"/>
  <c r="AY17" i="43"/>
  <c r="AX17" i="43"/>
  <c r="AW17" i="43"/>
  <c r="AV17" i="43"/>
  <c r="AU17" i="43"/>
  <c r="AT17" i="43"/>
  <c r="AS17" i="43"/>
  <c r="AR17" i="43"/>
  <c r="AQ17" i="43"/>
  <c r="AP17" i="43"/>
  <c r="AO17" i="43"/>
  <c r="AN17" i="43"/>
  <c r="AM17" i="43"/>
  <c r="AL17" i="43"/>
  <c r="AK17" i="43"/>
  <c r="AJ17" i="43"/>
  <c r="AH17" i="43"/>
  <c r="BO17" i="43" s="1"/>
  <c r="BN16" i="43"/>
  <c r="BM16" i="43"/>
  <c r="BL16" i="43"/>
  <c r="BK16" i="43"/>
  <c r="BJ16" i="43"/>
  <c r="BI16" i="43"/>
  <c r="BH16" i="43"/>
  <c r="BG16" i="43"/>
  <c r="BF16" i="43"/>
  <c r="BE16" i="43"/>
  <c r="BD16" i="43"/>
  <c r="BC16" i="43"/>
  <c r="BB16" i="43"/>
  <c r="BA16" i="43"/>
  <c r="AZ16" i="43"/>
  <c r="AY16" i="43"/>
  <c r="AX16" i="43"/>
  <c r="AW16" i="43"/>
  <c r="AV16" i="43"/>
  <c r="AU16" i="43"/>
  <c r="AT16" i="43"/>
  <c r="AS16" i="43"/>
  <c r="AR16" i="43"/>
  <c r="AQ16" i="43"/>
  <c r="AP16" i="43"/>
  <c r="AO16" i="43"/>
  <c r="AN16" i="43"/>
  <c r="AM16" i="43"/>
  <c r="AL16" i="43"/>
  <c r="AK16" i="43"/>
  <c r="AJ16" i="43"/>
  <c r="AH16" i="43"/>
  <c r="BO16" i="43" s="1"/>
  <c r="BN15" i="43"/>
  <c r="BM15" i="43"/>
  <c r="BL15" i="43"/>
  <c r="BK15" i="43"/>
  <c r="BJ15" i="43"/>
  <c r="BI15" i="43"/>
  <c r="BH15" i="43"/>
  <c r="BG15" i="43"/>
  <c r="BF15" i="43"/>
  <c r="BE15" i="43"/>
  <c r="BD15" i="43"/>
  <c r="BC15" i="43"/>
  <c r="BB15" i="43"/>
  <c r="BA15" i="43"/>
  <c r="AZ15" i="43"/>
  <c r="AY15" i="43"/>
  <c r="AX15" i="43"/>
  <c r="AW15" i="43"/>
  <c r="AV15" i="43"/>
  <c r="AU15" i="43"/>
  <c r="AT15" i="43"/>
  <c r="AS15" i="43"/>
  <c r="AR15" i="43"/>
  <c r="AQ15" i="43"/>
  <c r="AP15" i="43"/>
  <c r="AO15" i="43"/>
  <c r="AN15" i="43"/>
  <c r="AM15" i="43"/>
  <c r="AL15" i="43"/>
  <c r="AK15" i="43"/>
  <c r="AJ15" i="43"/>
  <c r="AH15" i="43"/>
  <c r="BO15" i="43" s="1"/>
  <c r="BN14" i="43"/>
  <c r="BM14" i="43"/>
  <c r="BL14" i="43"/>
  <c r="BK14" i="43"/>
  <c r="BJ14" i="43"/>
  <c r="BI14" i="43"/>
  <c r="BH14" i="43"/>
  <c r="BG14" i="43"/>
  <c r="BF14" i="43"/>
  <c r="BE14" i="43"/>
  <c r="BD14" i="43"/>
  <c r="BC14" i="43"/>
  <c r="BB14" i="43"/>
  <c r="BA14" i="43"/>
  <c r="AZ14" i="43"/>
  <c r="AY14" i="43"/>
  <c r="AX14" i="43"/>
  <c r="AW14" i="43"/>
  <c r="AV14" i="43"/>
  <c r="AU14" i="43"/>
  <c r="AT14" i="43"/>
  <c r="AS14" i="43"/>
  <c r="AR14" i="43"/>
  <c r="AQ14" i="43"/>
  <c r="AP14" i="43"/>
  <c r="AO14" i="43"/>
  <c r="AN14" i="43"/>
  <c r="AM14" i="43"/>
  <c r="AL14" i="43"/>
  <c r="AK14" i="43"/>
  <c r="AJ14" i="43"/>
  <c r="AH14" i="43"/>
  <c r="BO14" i="43" s="1"/>
  <c r="BN13" i="43"/>
  <c r="BM13" i="43"/>
  <c r="BL13" i="43"/>
  <c r="BK13" i="43"/>
  <c r="BJ13" i="43"/>
  <c r="BI13" i="43"/>
  <c r="BH13" i="43"/>
  <c r="BG13" i="43"/>
  <c r="BF13" i="43"/>
  <c r="BE13" i="43"/>
  <c r="BD13" i="43"/>
  <c r="BC13" i="43"/>
  <c r="BB13" i="43"/>
  <c r="BA13" i="43"/>
  <c r="AZ13" i="43"/>
  <c r="AY13" i="43"/>
  <c r="AX13" i="43"/>
  <c r="AW13" i="43"/>
  <c r="AV13" i="43"/>
  <c r="AU13" i="43"/>
  <c r="AT13" i="43"/>
  <c r="AS13" i="43"/>
  <c r="AR13" i="43"/>
  <c r="AQ13" i="43"/>
  <c r="AP13" i="43"/>
  <c r="AO13" i="43"/>
  <c r="AN13" i="43"/>
  <c r="AM13" i="43"/>
  <c r="AL13" i="43"/>
  <c r="AK13" i="43"/>
  <c r="AJ13" i="43"/>
  <c r="AH13" i="43"/>
  <c r="BO13" i="43" s="1"/>
  <c r="BN12" i="43"/>
  <c r="BM12" i="43"/>
  <c r="BL12" i="43"/>
  <c r="BK12" i="43"/>
  <c r="BJ12" i="43"/>
  <c r="BI12" i="43"/>
  <c r="BH12" i="43"/>
  <c r="BG12" i="43"/>
  <c r="BF12" i="43"/>
  <c r="BE12" i="43"/>
  <c r="BD12" i="43"/>
  <c r="BC12" i="43"/>
  <c r="BB12" i="43"/>
  <c r="BA12" i="43"/>
  <c r="AZ12" i="43"/>
  <c r="AY12" i="43"/>
  <c r="AX12" i="43"/>
  <c r="AW12" i="43"/>
  <c r="AV12" i="43"/>
  <c r="AU12" i="43"/>
  <c r="AT12" i="43"/>
  <c r="AS12" i="43"/>
  <c r="AR12" i="43"/>
  <c r="AQ12" i="43"/>
  <c r="AP12" i="43"/>
  <c r="AO12" i="43"/>
  <c r="AN12" i="43"/>
  <c r="AM12" i="43"/>
  <c r="AL12" i="43"/>
  <c r="AK12" i="43"/>
  <c r="AH12" i="43"/>
  <c r="BO12" i="43" s="1"/>
  <c r="BN11" i="43"/>
  <c r="BM11" i="43"/>
  <c r="BL11" i="43"/>
  <c r="BK11" i="43"/>
  <c r="BJ11" i="43"/>
  <c r="BI11" i="43"/>
  <c r="BH11" i="43"/>
  <c r="BG11" i="43"/>
  <c r="BF11" i="43"/>
  <c r="BE11" i="43"/>
  <c r="BD11" i="43"/>
  <c r="BC11" i="43"/>
  <c r="BB11" i="43"/>
  <c r="BA11" i="43"/>
  <c r="AZ11" i="43"/>
  <c r="AY11" i="43"/>
  <c r="AX11" i="43"/>
  <c r="AW11" i="43"/>
  <c r="AV11" i="43"/>
  <c r="AU11" i="43"/>
  <c r="AT11" i="43"/>
  <c r="AS11" i="43"/>
  <c r="AR11" i="43"/>
  <c r="AQ11" i="43"/>
  <c r="AP11" i="43"/>
  <c r="AO11" i="43"/>
  <c r="AN11" i="43"/>
  <c r="AM11" i="43"/>
  <c r="AL11" i="43"/>
  <c r="AK11" i="43"/>
  <c r="AJ11" i="43"/>
  <c r="AH11" i="43"/>
  <c r="BO11" i="43" s="1"/>
  <c r="BN10" i="43"/>
  <c r="BM10" i="43"/>
  <c r="BL10" i="43"/>
  <c r="BK10" i="43"/>
  <c r="BJ10" i="43"/>
  <c r="BI10" i="43"/>
  <c r="BH10" i="43"/>
  <c r="BG10" i="43"/>
  <c r="BF10" i="43"/>
  <c r="BE10" i="43"/>
  <c r="BD10" i="43"/>
  <c r="BC10" i="43"/>
  <c r="BB10" i="43"/>
  <c r="BA10" i="43"/>
  <c r="AZ10" i="43"/>
  <c r="AY10" i="43"/>
  <c r="AX10" i="43"/>
  <c r="AW10" i="43"/>
  <c r="AV10" i="43"/>
  <c r="AU10" i="43"/>
  <c r="AT10" i="43"/>
  <c r="AS10" i="43"/>
  <c r="AR10" i="43"/>
  <c r="AQ10" i="43"/>
  <c r="AP10" i="43"/>
  <c r="AO10" i="43"/>
  <c r="AN10" i="43"/>
  <c r="AM10" i="43"/>
  <c r="AL10" i="43"/>
  <c r="AK10" i="43"/>
  <c r="AJ10" i="43"/>
  <c r="AH10" i="43"/>
  <c r="BO10" i="43" s="1"/>
  <c r="BN9" i="43"/>
  <c r="BM9" i="43"/>
  <c r="BL9" i="43"/>
  <c r="BK9" i="43"/>
  <c r="BJ9" i="43"/>
  <c r="BI9" i="43"/>
  <c r="BH9" i="43"/>
  <c r="BG9" i="43"/>
  <c r="BF9" i="43"/>
  <c r="BE9" i="43"/>
  <c r="BD9" i="43"/>
  <c r="BC9" i="43"/>
  <c r="BB9" i="43"/>
  <c r="BA9" i="43"/>
  <c r="AZ9" i="43"/>
  <c r="AY9" i="43"/>
  <c r="AX9" i="43"/>
  <c r="AW9" i="43"/>
  <c r="AV9" i="43"/>
  <c r="AU9" i="43"/>
  <c r="AT9" i="43"/>
  <c r="AS9" i="43"/>
  <c r="AR9" i="43"/>
  <c r="AQ9" i="43"/>
  <c r="AP9" i="43"/>
  <c r="AO9" i="43"/>
  <c r="AN9" i="43"/>
  <c r="AM9" i="43"/>
  <c r="AL9" i="43"/>
  <c r="AK9" i="43"/>
  <c r="AJ9" i="43"/>
  <c r="AH9" i="43"/>
  <c r="BO9" i="43" s="1"/>
  <c r="BN8" i="43"/>
  <c r="BM8" i="43"/>
  <c r="BL8" i="43"/>
  <c r="BK8" i="43"/>
  <c r="BJ8" i="43"/>
  <c r="BI8" i="43"/>
  <c r="BH8" i="43"/>
  <c r="BG8" i="43"/>
  <c r="BF8" i="43"/>
  <c r="BE8" i="43"/>
  <c r="BD8" i="43"/>
  <c r="BC8" i="43"/>
  <c r="BB8" i="43"/>
  <c r="BA8" i="43"/>
  <c r="AZ8" i="43"/>
  <c r="AY8" i="43"/>
  <c r="AX8" i="43"/>
  <c r="AW8" i="43"/>
  <c r="AV8" i="43"/>
  <c r="AU8" i="43"/>
  <c r="AT8" i="43"/>
  <c r="AS8" i="43"/>
  <c r="AR8" i="43"/>
  <c r="AQ8" i="43"/>
  <c r="AP8" i="43"/>
  <c r="AO8" i="43"/>
  <c r="AN8" i="43"/>
  <c r="AM8" i="43"/>
  <c r="AL8" i="43"/>
  <c r="AK8" i="43"/>
  <c r="AJ8" i="43"/>
  <c r="AH8" i="43"/>
  <c r="BO8" i="43" s="1"/>
  <c r="BN7" i="43"/>
  <c r="BM7" i="43"/>
  <c r="BL7" i="43"/>
  <c r="BK7" i="43"/>
  <c r="BJ7" i="43"/>
  <c r="BI7" i="43"/>
  <c r="BH7" i="43"/>
  <c r="BG7" i="43"/>
  <c r="BF7" i="43"/>
  <c r="BE7" i="43"/>
  <c r="BD7" i="43"/>
  <c r="BC7" i="43"/>
  <c r="BB7" i="43"/>
  <c r="BA7" i="43"/>
  <c r="AZ7" i="43"/>
  <c r="AY7" i="43"/>
  <c r="AX7" i="43"/>
  <c r="AW7" i="43"/>
  <c r="AV7" i="43"/>
  <c r="AU7" i="43"/>
  <c r="AT7" i="43"/>
  <c r="AS7" i="43"/>
  <c r="AR7" i="43"/>
  <c r="AQ7" i="43"/>
  <c r="AP7" i="43"/>
  <c r="AO7" i="43"/>
  <c r="AN7" i="43"/>
  <c r="AM7" i="43"/>
  <c r="AL7" i="43"/>
  <c r="AK7" i="43"/>
  <c r="AJ7" i="43"/>
  <c r="AH7" i="43"/>
  <c r="BO7" i="43" s="1"/>
  <c r="BN6" i="43"/>
  <c r="BM6" i="43"/>
  <c r="BL6" i="43"/>
  <c r="BK6" i="43"/>
  <c r="BJ6" i="43"/>
  <c r="BI6" i="43"/>
  <c r="BH6" i="43"/>
  <c r="BG6" i="43"/>
  <c r="BF6" i="43"/>
  <c r="BE6" i="43"/>
  <c r="BD6" i="43"/>
  <c r="BC6" i="43"/>
  <c r="BB6" i="43"/>
  <c r="BA6" i="43"/>
  <c r="AZ6" i="43"/>
  <c r="AY6" i="43"/>
  <c r="AX6" i="43"/>
  <c r="AW6" i="43"/>
  <c r="AV6" i="43"/>
  <c r="AU6" i="43"/>
  <c r="AT6" i="43"/>
  <c r="AS6" i="43"/>
  <c r="AR6" i="43"/>
  <c r="AQ6" i="43"/>
  <c r="AP6" i="43"/>
  <c r="AO6" i="43"/>
  <c r="AN6" i="43"/>
  <c r="AM6" i="43"/>
  <c r="AL6" i="43"/>
  <c r="AK6" i="43"/>
  <c r="AJ6" i="43"/>
  <c r="AH6" i="43"/>
  <c r="BO6" i="43" s="1"/>
  <c r="BN5" i="43"/>
  <c r="BM5" i="43"/>
  <c r="BL5" i="43"/>
  <c r="BK5" i="43"/>
  <c r="BJ5" i="43"/>
  <c r="BI5" i="43"/>
  <c r="BH5" i="43"/>
  <c r="BG5" i="43"/>
  <c r="BF5" i="43"/>
  <c r="BE5" i="43"/>
  <c r="BD5" i="43"/>
  <c r="BC5" i="43"/>
  <c r="BB5" i="43"/>
  <c r="BA5" i="43"/>
  <c r="AZ5" i="43"/>
  <c r="AY5" i="43"/>
  <c r="AX5" i="43"/>
  <c r="AW5" i="43"/>
  <c r="AV5" i="43"/>
  <c r="AU5" i="43"/>
  <c r="AT5" i="43"/>
  <c r="AS5" i="43"/>
  <c r="AR5" i="43"/>
  <c r="AQ5" i="43"/>
  <c r="AP5" i="43"/>
  <c r="AO5" i="43"/>
  <c r="AN5" i="43"/>
  <c r="AM5" i="43"/>
  <c r="AL5" i="43"/>
  <c r="AK5" i="43"/>
  <c r="AJ5" i="43"/>
  <c r="AH5" i="43"/>
  <c r="AH1" i="43"/>
  <c r="H405" i="14"/>
  <c r="H404" i="14"/>
  <c r="H403" i="14"/>
  <c r="H59" i="14"/>
  <c r="H402" i="14"/>
  <c r="H401" i="14"/>
  <c r="H400" i="14"/>
  <c r="AC24" i="42"/>
  <c r="H399" i="14"/>
  <c r="H398" i="14"/>
  <c r="H397" i="14"/>
  <c r="V88" i="44" l="1"/>
  <c r="U88" i="44"/>
  <c r="AH2" i="43"/>
  <c r="AH32" i="43"/>
  <c r="AH35" i="43" s="1"/>
  <c r="BO5" i="43"/>
  <c r="BJ24" i="43"/>
  <c r="F396" i="14"/>
  <c r="H395" i="14"/>
  <c r="H396" i="14"/>
  <c r="H394" i="14"/>
  <c r="H393" i="14"/>
  <c r="H392" i="14"/>
  <c r="H391" i="14"/>
  <c r="H390" i="14"/>
  <c r="H389" i="14"/>
  <c r="H388" i="14"/>
  <c r="H387" i="14"/>
  <c r="H385" i="14"/>
  <c r="H386" i="14"/>
  <c r="H383" i="14"/>
  <c r="H384" i="14"/>
  <c r="AH33" i="43" l="1"/>
  <c r="AH34" i="43"/>
  <c r="AH36" i="43"/>
  <c r="H381" i="14"/>
  <c r="H382" i="14"/>
  <c r="J24" i="42"/>
  <c r="H380" i="14"/>
  <c r="H379" i="14" l="1"/>
  <c r="H378" i="14"/>
  <c r="H377" i="14"/>
  <c r="I38" i="42"/>
  <c r="H376" i="14"/>
  <c r="K30" i="7"/>
  <c r="J67" i="42"/>
  <c r="K67" i="42" s="1"/>
  <c r="L67" i="42" s="1"/>
  <c r="M67" i="42" s="1"/>
  <c r="N67" i="42" s="1"/>
  <c r="O67" i="42" s="1"/>
  <c r="P67" i="42" s="1"/>
  <c r="Q67" i="42" s="1"/>
  <c r="R67" i="42" s="1"/>
  <c r="S67" i="42" s="1"/>
  <c r="T67" i="42" s="1"/>
  <c r="U67" i="42" s="1"/>
  <c r="V67" i="42" s="1"/>
  <c r="I67" i="42"/>
  <c r="D67" i="42"/>
  <c r="E67" i="42" s="1"/>
  <c r="F67" i="42" s="1"/>
  <c r="I66" i="42"/>
  <c r="J66" i="42" s="1"/>
  <c r="K66" i="42" s="1"/>
  <c r="L66" i="42" s="1"/>
  <c r="M66" i="42" s="1"/>
  <c r="N66" i="42" s="1"/>
  <c r="O66" i="42" s="1"/>
  <c r="P66" i="42" s="1"/>
  <c r="Q66" i="42" s="1"/>
  <c r="R66" i="42" s="1"/>
  <c r="S66" i="42" s="1"/>
  <c r="T66" i="42" s="1"/>
  <c r="U66" i="42" s="1"/>
  <c r="V66" i="42" s="1"/>
  <c r="E66" i="42"/>
  <c r="F66" i="42" s="1"/>
  <c r="D66" i="42"/>
  <c r="I65" i="42"/>
  <c r="J65" i="42" s="1"/>
  <c r="K65" i="42" s="1"/>
  <c r="L65" i="42" s="1"/>
  <c r="M65" i="42" s="1"/>
  <c r="N65" i="42" s="1"/>
  <c r="O65" i="42" s="1"/>
  <c r="P65" i="42" s="1"/>
  <c r="Q65" i="42" s="1"/>
  <c r="R65" i="42" s="1"/>
  <c r="S65" i="42" s="1"/>
  <c r="T65" i="42" s="1"/>
  <c r="U65" i="42" s="1"/>
  <c r="V65" i="42" s="1"/>
  <c r="D65" i="42"/>
  <c r="E65" i="42" s="1"/>
  <c r="F65" i="42" s="1"/>
  <c r="I64" i="42"/>
  <c r="J64" i="42" s="1"/>
  <c r="K64" i="42" s="1"/>
  <c r="L64" i="42" s="1"/>
  <c r="M64" i="42" s="1"/>
  <c r="N64" i="42" s="1"/>
  <c r="O64" i="42" s="1"/>
  <c r="P64" i="42" s="1"/>
  <c r="Q64" i="42" s="1"/>
  <c r="R64" i="42" s="1"/>
  <c r="S64" i="42" s="1"/>
  <c r="T64" i="42" s="1"/>
  <c r="U64" i="42" s="1"/>
  <c r="V64" i="42" s="1"/>
  <c r="D64" i="42"/>
  <c r="E64" i="42" s="1"/>
  <c r="F64" i="42" s="1"/>
  <c r="I63" i="42"/>
  <c r="J63" i="42" s="1"/>
  <c r="K63" i="42" s="1"/>
  <c r="L63" i="42" s="1"/>
  <c r="M63" i="42" s="1"/>
  <c r="N63" i="42" s="1"/>
  <c r="O63" i="42" s="1"/>
  <c r="P63" i="42" s="1"/>
  <c r="Q63" i="42" s="1"/>
  <c r="R63" i="42" s="1"/>
  <c r="S63" i="42" s="1"/>
  <c r="T63" i="42" s="1"/>
  <c r="U63" i="42" s="1"/>
  <c r="V63" i="42" s="1"/>
  <c r="I62" i="42"/>
  <c r="J62" i="42" s="1"/>
  <c r="K62" i="42" s="1"/>
  <c r="L62" i="42" s="1"/>
  <c r="M62" i="42" s="1"/>
  <c r="N62" i="42" s="1"/>
  <c r="O62" i="42" s="1"/>
  <c r="P62" i="42" s="1"/>
  <c r="Q62" i="42" s="1"/>
  <c r="R62" i="42" s="1"/>
  <c r="S62" i="42" s="1"/>
  <c r="T62" i="42" s="1"/>
  <c r="U62" i="42" s="1"/>
  <c r="V62" i="42" s="1"/>
  <c r="D62" i="42"/>
  <c r="E62" i="42" s="1"/>
  <c r="F62" i="42" s="1"/>
  <c r="I61" i="42"/>
  <c r="J61" i="42" s="1"/>
  <c r="K61" i="42" s="1"/>
  <c r="L61" i="42" s="1"/>
  <c r="M61" i="42" s="1"/>
  <c r="N61" i="42" s="1"/>
  <c r="O61" i="42" s="1"/>
  <c r="P61" i="42" s="1"/>
  <c r="Q61" i="42" s="1"/>
  <c r="R61" i="42" s="1"/>
  <c r="S61" i="42" s="1"/>
  <c r="T61" i="42" s="1"/>
  <c r="U61" i="42" s="1"/>
  <c r="V61" i="42" s="1"/>
  <c r="E61" i="42"/>
  <c r="F61" i="42" s="1"/>
  <c r="D61" i="42"/>
  <c r="I60" i="42"/>
  <c r="J60" i="42" s="1"/>
  <c r="K60" i="42" s="1"/>
  <c r="L60" i="42" s="1"/>
  <c r="M60" i="42" s="1"/>
  <c r="N60" i="42" s="1"/>
  <c r="O60" i="42" s="1"/>
  <c r="P60" i="42" s="1"/>
  <c r="Q60" i="42" s="1"/>
  <c r="R60" i="42" s="1"/>
  <c r="S60" i="42" s="1"/>
  <c r="T60" i="42" s="1"/>
  <c r="U60" i="42" s="1"/>
  <c r="V60" i="42" s="1"/>
  <c r="D60" i="42"/>
  <c r="E60" i="42" s="1"/>
  <c r="F60" i="42" s="1"/>
  <c r="I59" i="42"/>
  <c r="J59" i="42" s="1"/>
  <c r="K59" i="42" s="1"/>
  <c r="L59" i="42" s="1"/>
  <c r="M59" i="42" s="1"/>
  <c r="N59" i="42" s="1"/>
  <c r="O59" i="42" s="1"/>
  <c r="P59" i="42" s="1"/>
  <c r="Q59" i="42" s="1"/>
  <c r="R59" i="42" s="1"/>
  <c r="S59" i="42" s="1"/>
  <c r="T59" i="42" s="1"/>
  <c r="U59" i="42" s="1"/>
  <c r="V59" i="42" s="1"/>
  <c r="D59" i="42"/>
  <c r="E59" i="42" s="1"/>
  <c r="F59" i="42" s="1"/>
  <c r="I58" i="42"/>
  <c r="J58" i="42" s="1"/>
  <c r="K58" i="42" s="1"/>
  <c r="L58" i="42" s="1"/>
  <c r="M58" i="42" s="1"/>
  <c r="N58" i="42" s="1"/>
  <c r="O58" i="42" s="1"/>
  <c r="P58" i="42" s="1"/>
  <c r="Q58" i="42" s="1"/>
  <c r="R58" i="42" s="1"/>
  <c r="S58" i="42" s="1"/>
  <c r="T58" i="42" s="1"/>
  <c r="U58" i="42" s="1"/>
  <c r="V58" i="42" s="1"/>
  <c r="D58" i="42"/>
  <c r="E58" i="42" s="1"/>
  <c r="F58" i="42" s="1"/>
  <c r="I57" i="42"/>
  <c r="J57" i="42" s="1"/>
  <c r="K57" i="42" s="1"/>
  <c r="L57" i="42" s="1"/>
  <c r="M57" i="42" s="1"/>
  <c r="N57" i="42" s="1"/>
  <c r="O57" i="42" s="1"/>
  <c r="P57" i="42" s="1"/>
  <c r="Q57" i="42" s="1"/>
  <c r="R57" i="42" s="1"/>
  <c r="S57" i="42" s="1"/>
  <c r="T57" i="42" s="1"/>
  <c r="U57" i="42" s="1"/>
  <c r="V57" i="42" s="1"/>
  <c r="D57" i="42"/>
  <c r="E57" i="42" s="1"/>
  <c r="F57" i="42" s="1"/>
  <c r="I56" i="42"/>
  <c r="J56" i="42" s="1"/>
  <c r="K56" i="42" s="1"/>
  <c r="L56" i="42" s="1"/>
  <c r="M56" i="42" s="1"/>
  <c r="N56" i="42" s="1"/>
  <c r="O56" i="42" s="1"/>
  <c r="P56" i="42" s="1"/>
  <c r="Q56" i="42" s="1"/>
  <c r="R56" i="42" s="1"/>
  <c r="S56" i="42" s="1"/>
  <c r="T56" i="42" s="1"/>
  <c r="U56" i="42" s="1"/>
  <c r="V56" i="42" s="1"/>
  <c r="D56" i="42"/>
  <c r="E56" i="42" s="1"/>
  <c r="F56" i="42" s="1"/>
  <c r="I55" i="42"/>
  <c r="J55" i="42" s="1"/>
  <c r="K55" i="42" s="1"/>
  <c r="L55" i="42" s="1"/>
  <c r="M55" i="42" s="1"/>
  <c r="N55" i="42" s="1"/>
  <c r="O55" i="42" s="1"/>
  <c r="P55" i="42" s="1"/>
  <c r="Q55" i="42" s="1"/>
  <c r="R55" i="42" s="1"/>
  <c r="S55" i="42" s="1"/>
  <c r="T55" i="42" s="1"/>
  <c r="U55" i="42" s="1"/>
  <c r="V55" i="42" s="1"/>
  <c r="D55" i="42"/>
  <c r="E55" i="42" s="1"/>
  <c r="F55" i="42" s="1"/>
  <c r="I54" i="42"/>
  <c r="J54" i="42" s="1"/>
  <c r="K54" i="42" s="1"/>
  <c r="L54" i="42" s="1"/>
  <c r="M54" i="42" s="1"/>
  <c r="N54" i="42" s="1"/>
  <c r="O54" i="42" s="1"/>
  <c r="P54" i="42" s="1"/>
  <c r="Q54" i="42" s="1"/>
  <c r="R54" i="42" s="1"/>
  <c r="S54" i="42" s="1"/>
  <c r="T54" i="42" s="1"/>
  <c r="U54" i="42" s="1"/>
  <c r="V54" i="42" s="1"/>
  <c r="D54" i="42"/>
  <c r="E54" i="42" s="1"/>
  <c r="F54" i="42" s="1"/>
  <c r="I53" i="42"/>
  <c r="J53" i="42" s="1"/>
  <c r="K53" i="42" s="1"/>
  <c r="L53" i="42" s="1"/>
  <c r="M53" i="42" s="1"/>
  <c r="N53" i="42" s="1"/>
  <c r="O53" i="42" s="1"/>
  <c r="P53" i="42" s="1"/>
  <c r="Q53" i="42" s="1"/>
  <c r="R53" i="42" s="1"/>
  <c r="S53" i="42" s="1"/>
  <c r="T53" i="42" s="1"/>
  <c r="U53" i="42" s="1"/>
  <c r="V53" i="42" s="1"/>
  <c r="D53" i="42"/>
  <c r="E53" i="42" s="1"/>
  <c r="F53" i="42" s="1"/>
  <c r="I52" i="42"/>
  <c r="J52" i="42" s="1"/>
  <c r="K52" i="42" s="1"/>
  <c r="L52" i="42" s="1"/>
  <c r="M52" i="42" s="1"/>
  <c r="N52" i="42" s="1"/>
  <c r="O52" i="42" s="1"/>
  <c r="P52" i="42" s="1"/>
  <c r="Q52" i="42" s="1"/>
  <c r="R52" i="42" s="1"/>
  <c r="S52" i="42" s="1"/>
  <c r="T52" i="42" s="1"/>
  <c r="U52" i="42" s="1"/>
  <c r="V52" i="42" s="1"/>
  <c r="D52" i="42"/>
  <c r="E52" i="42" s="1"/>
  <c r="F52" i="42" s="1"/>
  <c r="I51" i="42"/>
  <c r="J51" i="42" s="1"/>
  <c r="K51" i="42" s="1"/>
  <c r="L51" i="42" s="1"/>
  <c r="M51" i="42" s="1"/>
  <c r="N51" i="42" s="1"/>
  <c r="O51" i="42" s="1"/>
  <c r="P51" i="42" s="1"/>
  <c r="Q51" i="42" s="1"/>
  <c r="R51" i="42" s="1"/>
  <c r="S51" i="42" s="1"/>
  <c r="T51" i="42" s="1"/>
  <c r="U51" i="42" s="1"/>
  <c r="V51" i="42" s="1"/>
  <c r="D51" i="42"/>
  <c r="E51" i="42" s="1"/>
  <c r="F51" i="42" s="1"/>
  <c r="I50" i="42"/>
  <c r="J50" i="42" s="1"/>
  <c r="K50" i="42" s="1"/>
  <c r="L50" i="42" s="1"/>
  <c r="M50" i="42" s="1"/>
  <c r="N50" i="42" s="1"/>
  <c r="O50" i="42" s="1"/>
  <c r="P50" i="42" s="1"/>
  <c r="Q50" i="42" s="1"/>
  <c r="R50" i="42" s="1"/>
  <c r="S50" i="42" s="1"/>
  <c r="T50" i="42" s="1"/>
  <c r="U50" i="42" s="1"/>
  <c r="V50" i="42" s="1"/>
  <c r="D50" i="42"/>
  <c r="E50" i="42" s="1"/>
  <c r="F50" i="42" s="1"/>
  <c r="I49" i="42"/>
  <c r="J49" i="42" s="1"/>
  <c r="K49" i="42" s="1"/>
  <c r="L49" i="42" s="1"/>
  <c r="M49" i="42" s="1"/>
  <c r="N49" i="42" s="1"/>
  <c r="O49" i="42" s="1"/>
  <c r="P49" i="42" s="1"/>
  <c r="Q49" i="42" s="1"/>
  <c r="R49" i="42" s="1"/>
  <c r="S49" i="42" s="1"/>
  <c r="T49" i="42" s="1"/>
  <c r="U49" i="42" s="1"/>
  <c r="V49" i="42" s="1"/>
  <c r="D49" i="42"/>
  <c r="E49" i="42" s="1"/>
  <c r="F49" i="42" s="1"/>
  <c r="I48" i="42"/>
  <c r="J48" i="42" s="1"/>
  <c r="K48" i="42" s="1"/>
  <c r="L48" i="42" s="1"/>
  <c r="M48" i="42" s="1"/>
  <c r="N48" i="42" s="1"/>
  <c r="O48" i="42" s="1"/>
  <c r="P48" i="42" s="1"/>
  <c r="Q48" i="42" s="1"/>
  <c r="R48" i="42" s="1"/>
  <c r="S48" i="42" s="1"/>
  <c r="T48" i="42" s="1"/>
  <c r="U48" i="42" s="1"/>
  <c r="V48" i="42" s="1"/>
  <c r="D48" i="42"/>
  <c r="E48" i="42" s="1"/>
  <c r="F48" i="42" s="1"/>
  <c r="I47" i="42"/>
  <c r="J47" i="42" s="1"/>
  <c r="K47" i="42" s="1"/>
  <c r="L47" i="42" s="1"/>
  <c r="M47" i="42" s="1"/>
  <c r="N47" i="42" s="1"/>
  <c r="O47" i="42" s="1"/>
  <c r="P47" i="42" s="1"/>
  <c r="Q47" i="42" s="1"/>
  <c r="R47" i="42" s="1"/>
  <c r="S47" i="42" s="1"/>
  <c r="T47" i="42" s="1"/>
  <c r="U47" i="42" s="1"/>
  <c r="V47" i="42" s="1"/>
  <c r="D47" i="42"/>
  <c r="E47" i="42" s="1"/>
  <c r="F47" i="42" s="1"/>
  <c r="I46" i="42"/>
  <c r="J46" i="42" s="1"/>
  <c r="K46" i="42" s="1"/>
  <c r="L46" i="42" s="1"/>
  <c r="M46" i="42" s="1"/>
  <c r="N46" i="42" s="1"/>
  <c r="O46" i="42" s="1"/>
  <c r="P46" i="42" s="1"/>
  <c r="Q46" i="42" s="1"/>
  <c r="R46" i="42" s="1"/>
  <c r="S46" i="42" s="1"/>
  <c r="T46" i="42" s="1"/>
  <c r="U46" i="42" s="1"/>
  <c r="V46" i="42" s="1"/>
  <c r="D46" i="42"/>
  <c r="E46" i="42" s="1"/>
  <c r="F46" i="42" s="1"/>
  <c r="H45" i="42"/>
  <c r="I45" i="42" s="1"/>
  <c r="J45" i="42" s="1"/>
  <c r="K45" i="42" s="1"/>
  <c r="L45" i="42" s="1"/>
  <c r="M45" i="42" s="1"/>
  <c r="N45" i="42" s="1"/>
  <c r="O45" i="42" s="1"/>
  <c r="P45" i="42" s="1"/>
  <c r="Q45" i="42" s="1"/>
  <c r="R45" i="42" s="1"/>
  <c r="S45" i="42" s="1"/>
  <c r="T45" i="42" s="1"/>
  <c r="U45" i="42" s="1"/>
  <c r="V45" i="42" s="1"/>
  <c r="G45" i="42"/>
  <c r="D45" i="42"/>
  <c r="E45" i="42" s="1"/>
  <c r="F45" i="42" s="1"/>
  <c r="AM44" i="42"/>
  <c r="I44" i="42"/>
  <c r="J44" i="42" s="1"/>
  <c r="K44" i="42" s="1"/>
  <c r="L44" i="42" s="1"/>
  <c r="M44" i="42" s="1"/>
  <c r="N44" i="42" s="1"/>
  <c r="O44" i="42" s="1"/>
  <c r="P44" i="42" s="1"/>
  <c r="Q44" i="42" s="1"/>
  <c r="R44" i="42" s="1"/>
  <c r="S44" i="42" s="1"/>
  <c r="T44" i="42" s="1"/>
  <c r="U44" i="42" s="1"/>
  <c r="V44" i="42" s="1"/>
  <c r="D44" i="42"/>
  <c r="E44" i="42" s="1"/>
  <c r="F44" i="42" s="1"/>
  <c r="AG42" i="42"/>
  <c r="AA42" i="42"/>
  <c r="Z42" i="42"/>
  <c r="T42" i="42"/>
  <c r="S42" i="42"/>
  <c r="M42" i="42"/>
  <c r="L42" i="42"/>
  <c r="F42" i="42"/>
  <c r="E42" i="42"/>
  <c r="AF40" i="42"/>
  <c r="AF41" i="42" s="1"/>
  <c r="O40" i="42"/>
  <c r="AE39" i="42"/>
  <c r="AC39" i="42"/>
  <c r="T37" i="42"/>
  <c r="N36" i="42"/>
  <c r="L36" i="42"/>
  <c r="AJ32" i="42"/>
  <c r="AH32" i="42"/>
  <c r="AG32" i="42"/>
  <c r="AF32" i="42"/>
  <c r="AE32" i="42"/>
  <c r="AD32" i="42"/>
  <c r="AC32" i="42"/>
  <c r="AB32" i="42"/>
  <c r="AA32" i="42"/>
  <c r="Z32" i="42"/>
  <c r="Y32" i="42"/>
  <c r="X32" i="42"/>
  <c r="W32" i="42"/>
  <c r="V32" i="42"/>
  <c r="U32" i="42"/>
  <c r="T32" i="42"/>
  <c r="S32" i="42"/>
  <c r="R32" i="42"/>
  <c r="P32" i="42"/>
  <c r="O32" i="42"/>
  <c r="N32" i="42"/>
  <c r="L32" i="42"/>
  <c r="K32" i="42"/>
  <c r="J32" i="42"/>
  <c r="I32" i="42"/>
  <c r="H32" i="42"/>
  <c r="G32" i="42"/>
  <c r="F32" i="42"/>
  <c r="E32" i="42"/>
  <c r="BO31" i="42"/>
  <c r="BN31" i="42"/>
  <c r="BM31" i="42"/>
  <c r="BL31" i="42"/>
  <c r="BK31" i="42"/>
  <c r="BJ31" i="42"/>
  <c r="BI31" i="42"/>
  <c r="BH31" i="42"/>
  <c r="BG31" i="42"/>
  <c r="BF31" i="42"/>
  <c r="BE31" i="42"/>
  <c r="BD31" i="42"/>
  <c r="BC31" i="42"/>
  <c r="BB31" i="42"/>
  <c r="BA31" i="42"/>
  <c r="AZ31" i="42"/>
  <c r="AY31" i="42"/>
  <c r="AX31" i="42"/>
  <c r="AW31" i="42"/>
  <c r="AV31" i="42"/>
  <c r="AU31" i="42"/>
  <c r="AT31" i="42"/>
  <c r="AS31" i="42"/>
  <c r="AR31" i="42"/>
  <c r="AQ31" i="42"/>
  <c r="AP31" i="42"/>
  <c r="AO31" i="42"/>
  <c r="AN31" i="42"/>
  <c r="AM31" i="42"/>
  <c r="AL31" i="42"/>
  <c r="AI31" i="42"/>
  <c r="BP31" i="42" s="1"/>
  <c r="BO30" i="42"/>
  <c r="BN30" i="42"/>
  <c r="BM30" i="42"/>
  <c r="BL30" i="42"/>
  <c r="BK30" i="42"/>
  <c r="BJ30" i="42"/>
  <c r="BI30" i="42"/>
  <c r="BH30" i="42"/>
  <c r="BG30" i="42"/>
  <c r="BF30" i="42"/>
  <c r="BE30" i="42"/>
  <c r="BD30" i="42"/>
  <c r="BC30" i="42"/>
  <c r="BB30" i="42"/>
  <c r="BA30" i="42"/>
  <c r="AZ30" i="42"/>
  <c r="AY30" i="42"/>
  <c r="AX30" i="42"/>
  <c r="AW30" i="42"/>
  <c r="AV30" i="42"/>
  <c r="AU30" i="42"/>
  <c r="AT30" i="42"/>
  <c r="AS30" i="42"/>
  <c r="AR30" i="42"/>
  <c r="AQ30" i="42"/>
  <c r="AP30" i="42"/>
  <c r="AO30" i="42"/>
  <c r="AN30" i="42"/>
  <c r="AM30" i="42"/>
  <c r="AL30" i="42"/>
  <c r="AK30" i="42"/>
  <c r="AI30" i="42"/>
  <c r="BP30" i="42" s="1"/>
  <c r="BO29" i="42"/>
  <c r="BN29" i="42"/>
  <c r="BM29" i="42"/>
  <c r="BL29" i="42"/>
  <c r="BK29" i="42"/>
  <c r="BJ29" i="42"/>
  <c r="BI29" i="42"/>
  <c r="BH29" i="42"/>
  <c r="BG29" i="42"/>
  <c r="BF29" i="42"/>
  <c r="BE29" i="42"/>
  <c r="BD29" i="42"/>
  <c r="BC29" i="42"/>
  <c r="BB29" i="42"/>
  <c r="BA29" i="42"/>
  <c r="AZ29" i="42"/>
  <c r="AY29" i="42"/>
  <c r="AX29" i="42"/>
  <c r="AW29" i="42"/>
  <c r="AV29" i="42"/>
  <c r="AU29" i="42"/>
  <c r="AT29" i="42"/>
  <c r="AS29" i="42"/>
  <c r="AR29" i="42"/>
  <c r="AQ29" i="42"/>
  <c r="AP29" i="42"/>
  <c r="AO29" i="42"/>
  <c r="AN29" i="42"/>
  <c r="AM29" i="42"/>
  <c r="AL29" i="42"/>
  <c r="AK29" i="42"/>
  <c r="AI29" i="42"/>
  <c r="BP29" i="42" s="1"/>
  <c r="BO28" i="42"/>
  <c r="BN28" i="42"/>
  <c r="BM28" i="42"/>
  <c r="BL28" i="42"/>
  <c r="BK28" i="42"/>
  <c r="BJ28" i="42"/>
  <c r="BI28" i="42"/>
  <c r="BH28" i="42"/>
  <c r="BG28" i="42"/>
  <c r="BF28" i="42"/>
  <c r="BE28" i="42"/>
  <c r="BD28" i="42"/>
  <c r="BC28" i="42"/>
  <c r="BB28" i="42"/>
  <c r="BA28" i="42"/>
  <c r="AZ28" i="42"/>
  <c r="AY28" i="42"/>
  <c r="AX28" i="42"/>
  <c r="AW28" i="42"/>
  <c r="AV28" i="42"/>
  <c r="AU28" i="42"/>
  <c r="AT28" i="42"/>
  <c r="AS28" i="42"/>
  <c r="AR28" i="42"/>
  <c r="AQ28" i="42"/>
  <c r="AP28" i="42"/>
  <c r="AO28" i="42"/>
  <c r="AN28" i="42"/>
  <c r="AM28" i="42"/>
  <c r="AL28" i="42"/>
  <c r="AK28" i="42"/>
  <c r="AI28" i="42"/>
  <c r="BP28" i="42" s="1"/>
  <c r="BO27" i="42"/>
  <c r="BN27" i="42"/>
  <c r="BM27" i="42"/>
  <c r="BL27" i="42"/>
  <c r="BK27" i="42"/>
  <c r="BJ27" i="42"/>
  <c r="BI27" i="42"/>
  <c r="BH27" i="42"/>
  <c r="BG27" i="42"/>
  <c r="BF27" i="42"/>
  <c r="BE27" i="42"/>
  <c r="BD27" i="42"/>
  <c r="BC27" i="42"/>
  <c r="BB27" i="42"/>
  <c r="BA27" i="42"/>
  <c r="AZ27" i="42"/>
  <c r="AY27" i="42"/>
  <c r="AX27" i="42"/>
  <c r="AW27" i="42"/>
  <c r="AV27" i="42"/>
  <c r="AU27" i="42"/>
  <c r="AT27" i="42"/>
  <c r="AS27" i="42"/>
  <c r="AR27" i="42"/>
  <c r="AQ27" i="42"/>
  <c r="AP27" i="42"/>
  <c r="AO27" i="42"/>
  <c r="AN27" i="42"/>
  <c r="AM27" i="42"/>
  <c r="AL27" i="42"/>
  <c r="AK27" i="42"/>
  <c r="AI27" i="42"/>
  <c r="BP27" i="42" s="1"/>
  <c r="BO26" i="42"/>
  <c r="BN26" i="42"/>
  <c r="BM26" i="42"/>
  <c r="BL26" i="42"/>
  <c r="BK26" i="42"/>
  <c r="BJ26" i="42"/>
  <c r="BI26" i="42"/>
  <c r="BH26" i="42"/>
  <c r="BG26" i="42"/>
  <c r="BF26" i="42"/>
  <c r="BE26" i="42"/>
  <c r="BD26" i="42"/>
  <c r="BC26" i="42"/>
  <c r="BB26" i="42"/>
  <c r="BA26" i="42"/>
  <c r="AZ26" i="42"/>
  <c r="AY26" i="42"/>
  <c r="AX26" i="42"/>
  <c r="AW26" i="42"/>
  <c r="AV26" i="42"/>
  <c r="AU26" i="42"/>
  <c r="AT26" i="42"/>
  <c r="AS26" i="42"/>
  <c r="AR26" i="42"/>
  <c r="AQ26" i="42"/>
  <c r="AP26" i="42"/>
  <c r="AO26" i="42"/>
  <c r="AN26" i="42"/>
  <c r="AM26" i="42"/>
  <c r="AL26" i="42"/>
  <c r="AK26" i="42"/>
  <c r="AI26" i="42"/>
  <c r="BP26" i="42" s="1"/>
  <c r="BO25" i="42"/>
  <c r="BN25" i="42"/>
  <c r="BM25" i="42"/>
  <c r="BL25" i="42"/>
  <c r="BK25" i="42"/>
  <c r="BJ25" i="42"/>
  <c r="BI25" i="42"/>
  <c r="BH25" i="42"/>
  <c r="BG25" i="42"/>
  <c r="BF25" i="42"/>
  <c r="BE25" i="42"/>
  <c r="BD25" i="42"/>
  <c r="BC25" i="42"/>
  <c r="BB25" i="42"/>
  <c r="BA25" i="42"/>
  <c r="AZ25" i="42"/>
  <c r="AY25" i="42"/>
  <c r="AX25" i="42"/>
  <c r="AW25" i="42"/>
  <c r="AV25" i="42"/>
  <c r="AU25" i="42"/>
  <c r="AT25" i="42"/>
  <c r="AS25" i="42"/>
  <c r="AR25" i="42"/>
  <c r="AQ25" i="42"/>
  <c r="AP25" i="42"/>
  <c r="AO25" i="42"/>
  <c r="AN25" i="42"/>
  <c r="AM25" i="42"/>
  <c r="AL25" i="42"/>
  <c r="AK25" i="42"/>
  <c r="AI25" i="42"/>
  <c r="BP25" i="42" s="1"/>
  <c r="BO24" i="42"/>
  <c r="BN24" i="42"/>
  <c r="BM24" i="42"/>
  <c r="BL24" i="42"/>
  <c r="BK24" i="42"/>
  <c r="BJ24" i="42"/>
  <c r="BI24" i="42"/>
  <c r="BH24" i="42"/>
  <c r="BG24" i="42"/>
  <c r="BF24" i="42"/>
  <c r="BE24" i="42"/>
  <c r="BD24" i="42"/>
  <c r="BC24" i="42"/>
  <c r="BB24" i="42"/>
  <c r="BA24" i="42"/>
  <c r="AZ24" i="42"/>
  <c r="AX24" i="42"/>
  <c r="AW24" i="42"/>
  <c r="AV24" i="42"/>
  <c r="AU24" i="42"/>
  <c r="AT24" i="42"/>
  <c r="AS24" i="42"/>
  <c r="AR24" i="42"/>
  <c r="AQ24" i="42"/>
  <c r="AP24" i="42"/>
  <c r="AO24" i="42"/>
  <c r="AN24" i="42"/>
  <c r="AM24" i="42"/>
  <c r="AL24" i="42"/>
  <c r="AK24" i="42"/>
  <c r="Q32" i="42"/>
  <c r="M32" i="42"/>
  <c r="D32" i="42"/>
  <c r="BO23" i="42"/>
  <c r="BN23" i="42"/>
  <c r="BM23" i="42"/>
  <c r="BL23" i="42"/>
  <c r="BK23" i="42"/>
  <c r="BJ23" i="42"/>
  <c r="BI23" i="42"/>
  <c r="BH23" i="42"/>
  <c r="BG23" i="42"/>
  <c r="BF23" i="42"/>
  <c r="BE23" i="42"/>
  <c r="BD23" i="42"/>
  <c r="BC23" i="42"/>
  <c r="BB23" i="42"/>
  <c r="BA23" i="42"/>
  <c r="AZ23" i="42"/>
  <c r="AY23" i="42"/>
  <c r="AX23" i="42"/>
  <c r="AW23" i="42"/>
  <c r="AV23" i="42"/>
  <c r="AU23" i="42"/>
  <c r="AT23" i="42"/>
  <c r="AS23" i="42"/>
  <c r="AR23" i="42"/>
  <c r="AQ23" i="42"/>
  <c r="AP23" i="42"/>
  <c r="AO23" i="42"/>
  <c r="AN23" i="42"/>
  <c r="AM23" i="42"/>
  <c r="AL23" i="42"/>
  <c r="AK23" i="42"/>
  <c r="AI23" i="42"/>
  <c r="BP23" i="42" s="1"/>
  <c r="BO22" i="42"/>
  <c r="BN22" i="42"/>
  <c r="BM22" i="42"/>
  <c r="BL22" i="42"/>
  <c r="BK22" i="42"/>
  <c r="BJ22" i="42"/>
  <c r="BI22" i="42"/>
  <c r="BH22" i="42"/>
  <c r="BG22" i="42"/>
  <c r="BF22" i="42"/>
  <c r="BE22" i="42"/>
  <c r="BD22" i="42"/>
  <c r="BC22" i="42"/>
  <c r="BB22" i="42"/>
  <c r="BA22" i="42"/>
  <c r="AZ22" i="42"/>
  <c r="AY22" i="42"/>
  <c r="AX22" i="42"/>
  <c r="AW22" i="42"/>
  <c r="AV22" i="42"/>
  <c r="AU22" i="42"/>
  <c r="AT22" i="42"/>
  <c r="AS22" i="42"/>
  <c r="AR22" i="42"/>
  <c r="AQ22" i="42"/>
  <c r="AP22" i="42"/>
  <c r="AO22" i="42"/>
  <c r="AN22" i="42"/>
  <c r="AM22" i="42"/>
  <c r="AL22" i="42"/>
  <c r="AK22" i="42"/>
  <c r="AI22" i="42"/>
  <c r="BP22" i="42" s="1"/>
  <c r="BO21" i="42"/>
  <c r="BN21" i="42"/>
  <c r="BM21" i="42"/>
  <c r="BL21" i="42"/>
  <c r="BK21" i="42"/>
  <c r="BJ21" i="42"/>
  <c r="BI21" i="42"/>
  <c r="BH21" i="42"/>
  <c r="BG21" i="42"/>
  <c r="BF21" i="42"/>
  <c r="BE21" i="42"/>
  <c r="BD21" i="42"/>
  <c r="BC21" i="42"/>
  <c r="BB21" i="42"/>
  <c r="BA21" i="42"/>
  <c r="AZ21" i="42"/>
  <c r="AY21" i="42"/>
  <c r="AX21" i="42"/>
  <c r="AW21" i="42"/>
  <c r="AV21" i="42"/>
  <c r="AU21" i="42"/>
  <c r="AT21" i="42"/>
  <c r="AS21" i="42"/>
  <c r="AR21" i="42"/>
  <c r="AQ21" i="42"/>
  <c r="AP21" i="42"/>
  <c r="AO21" i="42"/>
  <c r="AN21" i="42"/>
  <c r="AM21" i="42"/>
  <c r="AL21" i="42"/>
  <c r="AK21" i="42"/>
  <c r="AI21" i="42"/>
  <c r="BP21" i="42" s="1"/>
  <c r="BO20" i="42"/>
  <c r="BN20" i="42"/>
  <c r="BM20" i="42"/>
  <c r="BL20" i="42"/>
  <c r="BK20" i="42"/>
  <c r="BJ20" i="42"/>
  <c r="BI20" i="42"/>
  <c r="BH20" i="42"/>
  <c r="BG20" i="42"/>
  <c r="BF20" i="42"/>
  <c r="BE20" i="42"/>
  <c r="BD20" i="42"/>
  <c r="BC20" i="42"/>
  <c r="BB20" i="42"/>
  <c r="BA20" i="42"/>
  <c r="AZ20" i="42"/>
  <c r="AY20" i="42"/>
  <c r="AX20" i="42"/>
  <c r="AW20" i="42"/>
  <c r="AV20" i="42"/>
  <c r="AU20" i="42"/>
  <c r="AT20" i="42"/>
  <c r="AS20" i="42"/>
  <c r="AR20" i="42"/>
  <c r="AQ20" i="42"/>
  <c r="AP20" i="42"/>
  <c r="AO20" i="42"/>
  <c r="AN20" i="42"/>
  <c r="AM20" i="42"/>
  <c r="AL20" i="42"/>
  <c r="AK20" i="42"/>
  <c r="AI20" i="42"/>
  <c r="BP20" i="42" s="1"/>
  <c r="BO19" i="42"/>
  <c r="BN19" i="42"/>
  <c r="BM19" i="42"/>
  <c r="BL19" i="42"/>
  <c r="BK19" i="42"/>
  <c r="BJ19" i="42"/>
  <c r="BI19" i="42"/>
  <c r="BH19" i="42"/>
  <c r="BG19" i="42"/>
  <c r="BF19" i="42"/>
  <c r="BE19" i="42"/>
  <c r="BD19" i="42"/>
  <c r="BC19" i="42"/>
  <c r="BB19" i="42"/>
  <c r="BA19" i="42"/>
  <c r="AZ19" i="42"/>
  <c r="AY19" i="42"/>
  <c r="AX19" i="42"/>
  <c r="AW19" i="42"/>
  <c r="AV19" i="42"/>
  <c r="AU19" i="42"/>
  <c r="AT19" i="42"/>
  <c r="AS19" i="42"/>
  <c r="AR19" i="42"/>
  <c r="AQ19" i="42"/>
  <c r="AP19" i="42"/>
  <c r="AO19" i="42"/>
  <c r="AN19" i="42"/>
  <c r="AM19" i="42"/>
  <c r="AL19" i="42"/>
  <c r="AK19" i="42"/>
  <c r="AI19" i="42"/>
  <c r="BP19" i="42" s="1"/>
  <c r="BO18" i="42"/>
  <c r="BN18" i="42"/>
  <c r="BM18" i="42"/>
  <c r="BL18" i="42"/>
  <c r="BK18" i="42"/>
  <c r="BJ18" i="42"/>
  <c r="BI18" i="42"/>
  <c r="BH18" i="42"/>
  <c r="BG18" i="42"/>
  <c r="BF18" i="42"/>
  <c r="BE18" i="42"/>
  <c r="BD18" i="42"/>
  <c r="BC18" i="42"/>
  <c r="BB18" i="42"/>
  <c r="BA18" i="42"/>
  <c r="AZ18" i="42"/>
  <c r="AY18" i="42"/>
  <c r="AX18" i="42"/>
  <c r="AW18" i="42"/>
  <c r="AV18" i="42"/>
  <c r="AU18" i="42"/>
  <c r="AT18" i="42"/>
  <c r="AS18" i="42"/>
  <c r="AR18" i="42"/>
  <c r="AQ18" i="42"/>
  <c r="AP18" i="42"/>
  <c r="AO18" i="42"/>
  <c r="AN18" i="42"/>
  <c r="AM18" i="42"/>
  <c r="AL18" i="42"/>
  <c r="AK18" i="42"/>
  <c r="AI18" i="42"/>
  <c r="BP18" i="42" s="1"/>
  <c r="BO17" i="42"/>
  <c r="BN17" i="42"/>
  <c r="BM17" i="42"/>
  <c r="BL17" i="42"/>
  <c r="BK17" i="42"/>
  <c r="BJ17" i="42"/>
  <c r="BI17" i="42"/>
  <c r="BH17" i="42"/>
  <c r="BG17" i="42"/>
  <c r="BF17" i="42"/>
  <c r="BE17" i="42"/>
  <c r="BD17" i="42"/>
  <c r="BC17" i="42"/>
  <c r="BB17" i="42"/>
  <c r="BA17" i="42"/>
  <c r="AZ17" i="42"/>
  <c r="AY17" i="42"/>
  <c r="AX17" i="42"/>
  <c r="AW17" i="42"/>
  <c r="AV17" i="42"/>
  <c r="AU17" i="42"/>
  <c r="AT17" i="42"/>
  <c r="AS17" i="42"/>
  <c r="AR17" i="42"/>
  <c r="AQ17" i="42"/>
  <c r="AP17" i="42"/>
  <c r="AO17" i="42"/>
  <c r="AN17" i="42"/>
  <c r="AM17" i="42"/>
  <c r="AL17" i="42"/>
  <c r="AK17" i="42"/>
  <c r="AI17" i="42"/>
  <c r="BP17" i="42" s="1"/>
  <c r="BO16" i="42"/>
  <c r="BN16" i="42"/>
  <c r="BM16" i="42"/>
  <c r="BL16" i="42"/>
  <c r="BK16" i="42"/>
  <c r="BJ16" i="42"/>
  <c r="BI16" i="42"/>
  <c r="BH16" i="42"/>
  <c r="BG16" i="42"/>
  <c r="BF16" i="42"/>
  <c r="BE16" i="42"/>
  <c r="BD16" i="42"/>
  <c r="BC16" i="42"/>
  <c r="BB16" i="42"/>
  <c r="BA16" i="42"/>
  <c r="AZ16" i="42"/>
  <c r="AY16" i="42"/>
  <c r="AX16" i="42"/>
  <c r="AW16" i="42"/>
  <c r="AV16" i="42"/>
  <c r="AU16" i="42"/>
  <c r="AT16" i="42"/>
  <c r="AS16" i="42"/>
  <c r="AR16" i="42"/>
  <c r="AQ16" i="42"/>
  <c r="AP16" i="42"/>
  <c r="AO16" i="42"/>
  <c r="AN16" i="42"/>
  <c r="AM16" i="42"/>
  <c r="AL16" i="42"/>
  <c r="AK16" i="42"/>
  <c r="AI16" i="42"/>
  <c r="BP16" i="42" s="1"/>
  <c r="BO15" i="42"/>
  <c r="BN15" i="42"/>
  <c r="BM15" i="42"/>
  <c r="BL15" i="42"/>
  <c r="BK15" i="42"/>
  <c r="BJ15" i="42"/>
  <c r="BI15" i="42"/>
  <c r="BH15" i="42"/>
  <c r="BG15" i="42"/>
  <c r="BF15" i="42"/>
  <c r="BE15" i="42"/>
  <c r="BD15" i="42"/>
  <c r="BC15" i="42"/>
  <c r="BB15" i="42"/>
  <c r="BA15" i="42"/>
  <c r="AZ15" i="42"/>
  <c r="AY15" i="42"/>
  <c r="AX15" i="42"/>
  <c r="AW15" i="42"/>
  <c r="AV15" i="42"/>
  <c r="AU15" i="42"/>
  <c r="AT15" i="42"/>
  <c r="AS15" i="42"/>
  <c r="AR15" i="42"/>
  <c r="AQ15" i="42"/>
  <c r="AP15" i="42"/>
  <c r="AO15" i="42"/>
  <c r="AN15" i="42"/>
  <c r="AM15" i="42"/>
  <c r="AL15" i="42"/>
  <c r="AK15" i="42"/>
  <c r="AI15" i="42"/>
  <c r="BP15" i="42" s="1"/>
  <c r="BO14" i="42"/>
  <c r="BN14" i="42"/>
  <c r="BM14" i="42"/>
  <c r="BL14" i="42"/>
  <c r="BK14" i="42"/>
  <c r="BJ14" i="42"/>
  <c r="BI14" i="42"/>
  <c r="BH14" i="42"/>
  <c r="BG14" i="42"/>
  <c r="BF14" i="42"/>
  <c r="BE14" i="42"/>
  <c r="BD14" i="42"/>
  <c r="BC14" i="42"/>
  <c r="BB14" i="42"/>
  <c r="BA14" i="42"/>
  <c r="AZ14" i="42"/>
  <c r="AY14" i="42"/>
  <c r="AX14" i="42"/>
  <c r="AW14" i="42"/>
  <c r="AV14" i="42"/>
  <c r="AU14" i="42"/>
  <c r="AT14" i="42"/>
  <c r="AS14" i="42"/>
  <c r="AR14" i="42"/>
  <c r="AQ14" i="42"/>
  <c r="AP14" i="42"/>
  <c r="AO14" i="42"/>
  <c r="AN14" i="42"/>
  <c r="AM14" i="42"/>
  <c r="AL14" i="42"/>
  <c r="AK14" i="42"/>
  <c r="AI14" i="42"/>
  <c r="AI2" i="42" s="1"/>
  <c r="BO13" i="42"/>
  <c r="BN13" i="42"/>
  <c r="BM13" i="42"/>
  <c r="BL13" i="42"/>
  <c r="BK13" i="42"/>
  <c r="BJ13" i="42"/>
  <c r="BI13" i="42"/>
  <c r="BH13" i="42"/>
  <c r="BG13" i="42"/>
  <c r="BF13" i="42"/>
  <c r="BE13" i="42"/>
  <c r="BD13" i="42"/>
  <c r="BC13" i="42"/>
  <c r="BB13" i="42"/>
  <c r="BA13" i="42"/>
  <c r="AZ13" i="42"/>
  <c r="AY13" i="42"/>
  <c r="AX13" i="42"/>
  <c r="AW13" i="42"/>
  <c r="AV13" i="42"/>
  <c r="AU13" i="42"/>
  <c r="AT13" i="42"/>
  <c r="AS13" i="42"/>
  <c r="AR13" i="42"/>
  <c r="AQ13" i="42"/>
  <c r="AP13" i="42"/>
  <c r="AO13" i="42"/>
  <c r="AN13" i="42"/>
  <c r="AM13" i="42"/>
  <c r="AL13" i="42"/>
  <c r="AK13" i="42"/>
  <c r="AI13" i="42"/>
  <c r="BP13" i="42" s="1"/>
  <c r="BO12" i="42"/>
  <c r="BN12" i="42"/>
  <c r="BM12" i="42"/>
  <c r="BL12" i="42"/>
  <c r="BK12" i="42"/>
  <c r="BJ12" i="42"/>
  <c r="BI12" i="42"/>
  <c r="BH12" i="42"/>
  <c r="BG12" i="42"/>
  <c r="BF12" i="42"/>
  <c r="BE12" i="42"/>
  <c r="BD12" i="42"/>
  <c r="BC12" i="42"/>
  <c r="BB12" i="42"/>
  <c r="BA12" i="42"/>
  <c r="AZ12" i="42"/>
  <c r="AY12" i="42"/>
  <c r="AX12" i="42"/>
  <c r="AW12" i="42"/>
  <c r="AV12" i="42"/>
  <c r="AU12" i="42"/>
  <c r="AT12" i="42"/>
  <c r="AS12" i="42"/>
  <c r="AR12" i="42"/>
  <c r="AQ12" i="42"/>
  <c r="AP12" i="42"/>
  <c r="AO12" i="42"/>
  <c r="AN12" i="42"/>
  <c r="AM12" i="42"/>
  <c r="AL12" i="42"/>
  <c r="AI12" i="42"/>
  <c r="BP12" i="42" s="1"/>
  <c r="BO11" i="42"/>
  <c r="BN11" i="42"/>
  <c r="BM11" i="42"/>
  <c r="BL11" i="42"/>
  <c r="BK11" i="42"/>
  <c r="BJ11" i="42"/>
  <c r="BI11" i="42"/>
  <c r="BH11" i="42"/>
  <c r="BG11" i="42"/>
  <c r="BF11" i="42"/>
  <c r="BE11" i="42"/>
  <c r="BD11" i="42"/>
  <c r="BC11" i="42"/>
  <c r="BB11" i="42"/>
  <c r="BA11" i="42"/>
  <c r="AZ11" i="42"/>
  <c r="AY11" i="42"/>
  <c r="AX11" i="42"/>
  <c r="AW11" i="42"/>
  <c r="AV11" i="42"/>
  <c r="AU11" i="42"/>
  <c r="AT11" i="42"/>
  <c r="AS11" i="42"/>
  <c r="AR11" i="42"/>
  <c r="AQ11" i="42"/>
  <c r="AP11" i="42"/>
  <c r="AO11" i="42"/>
  <c r="AN11" i="42"/>
  <c r="AM11" i="42"/>
  <c r="AL11" i="42"/>
  <c r="AK11" i="42"/>
  <c r="AI11" i="42"/>
  <c r="BP11" i="42" s="1"/>
  <c r="BO10" i="42"/>
  <c r="BN10" i="42"/>
  <c r="BM10" i="42"/>
  <c r="BL10" i="42"/>
  <c r="BK10" i="42"/>
  <c r="BJ10" i="42"/>
  <c r="BI10" i="42"/>
  <c r="BH10" i="42"/>
  <c r="BG10" i="42"/>
  <c r="BF10" i="42"/>
  <c r="BE10" i="42"/>
  <c r="BD10" i="42"/>
  <c r="BC10" i="42"/>
  <c r="BB10" i="42"/>
  <c r="BA10" i="42"/>
  <c r="AZ10" i="42"/>
  <c r="AY10" i="42"/>
  <c r="AX10" i="42"/>
  <c r="AW10" i="42"/>
  <c r="AV10" i="42"/>
  <c r="AU10" i="42"/>
  <c r="AT10" i="42"/>
  <c r="AS10" i="42"/>
  <c r="AR10" i="42"/>
  <c r="AQ10" i="42"/>
  <c r="AP10" i="42"/>
  <c r="AO10" i="42"/>
  <c r="AN10" i="42"/>
  <c r="AM10" i="42"/>
  <c r="AL10" i="42"/>
  <c r="AK10" i="42"/>
  <c r="AI10" i="42"/>
  <c r="BP10" i="42" s="1"/>
  <c r="BO9" i="42"/>
  <c r="BN9" i="42"/>
  <c r="BM9" i="42"/>
  <c r="BL9" i="42"/>
  <c r="BK9" i="42"/>
  <c r="BJ9" i="42"/>
  <c r="BI9" i="42"/>
  <c r="BH9" i="42"/>
  <c r="BG9" i="42"/>
  <c r="BF9" i="42"/>
  <c r="BE9" i="42"/>
  <c r="BD9" i="42"/>
  <c r="BC9" i="42"/>
  <c r="BB9" i="42"/>
  <c r="BA9" i="42"/>
  <c r="AZ9" i="42"/>
  <c r="AY9" i="42"/>
  <c r="AX9" i="42"/>
  <c r="AW9" i="42"/>
  <c r="AV9" i="42"/>
  <c r="AU9" i="42"/>
  <c r="AT9" i="42"/>
  <c r="AS9" i="42"/>
  <c r="AR9" i="42"/>
  <c r="AQ9" i="42"/>
  <c r="AP9" i="42"/>
  <c r="AO9" i="42"/>
  <c r="AN9" i="42"/>
  <c r="AM9" i="42"/>
  <c r="AL9" i="42"/>
  <c r="AK9" i="42"/>
  <c r="AI9" i="42"/>
  <c r="BP9" i="42" s="1"/>
  <c r="BO8" i="42"/>
  <c r="BN8" i="42"/>
  <c r="BM8" i="42"/>
  <c r="BL8" i="42"/>
  <c r="BK8" i="42"/>
  <c r="BJ8" i="42"/>
  <c r="BI8" i="42"/>
  <c r="BH8" i="42"/>
  <c r="BG8" i="42"/>
  <c r="BF8" i="42"/>
  <c r="BE8" i="42"/>
  <c r="BD8" i="42"/>
  <c r="BC8" i="42"/>
  <c r="BB8" i="42"/>
  <c r="BA8" i="42"/>
  <c r="AZ8" i="42"/>
  <c r="AY8" i="42"/>
  <c r="AX8" i="42"/>
  <c r="AW8" i="42"/>
  <c r="AV8" i="42"/>
  <c r="AU8" i="42"/>
  <c r="AT8" i="42"/>
  <c r="AS8" i="42"/>
  <c r="AR8" i="42"/>
  <c r="AQ8" i="42"/>
  <c r="AP8" i="42"/>
  <c r="AO8" i="42"/>
  <c r="AN8" i="42"/>
  <c r="AM8" i="42"/>
  <c r="AL8" i="42"/>
  <c r="AK8" i="42"/>
  <c r="AI8" i="42"/>
  <c r="BP8" i="42" s="1"/>
  <c r="BO7" i="42"/>
  <c r="BN7" i="42"/>
  <c r="BM7" i="42"/>
  <c r="BL7" i="42"/>
  <c r="BK7" i="42"/>
  <c r="BJ7" i="42"/>
  <c r="BI7" i="42"/>
  <c r="BH7" i="42"/>
  <c r="BG7" i="42"/>
  <c r="BF7" i="42"/>
  <c r="BE7" i="42"/>
  <c r="BD7" i="42"/>
  <c r="BC7" i="42"/>
  <c r="BB7" i="42"/>
  <c r="BA7" i="42"/>
  <c r="AZ7" i="42"/>
  <c r="AY7" i="42"/>
  <c r="AX7" i="42"/>
  <c r="AW7" i="42"/>
  <c r="AV7" i="42"/>
  <c r="AU7" i="42"/>
  <c r="AT7" i="42"/>
  <c r="AS7" i="42"/>
  <c r="AR7" i="42"/>
  <c r="AQ7" i="42"/>
  <c r="AP7" i="42"/>
  <c r="AO7" i="42"/>
  <c r="AN7" i="42"/>
  <c r="AM7" i="42"/>
  <c r="AL7" i="42"/>
  <c r="AK7" i="42"/>
  <c r="AI7" i="42"/>
  <c r="BP7" i="42" s="1"/>
  <c r="BO6" i="42"/>
  <c r="BN6" i="42"/>
  <c r="BM6" i="42"/>
  <c r="BL6" i="42"/>
  <c r="BK6" i="42"/>
  <c r="BJ6" i="42"/>
  <c r="BI6" i="42"/>
  <c r="BH6" i="42"/>
  <c r="BG6" i="42"/>
  <c r="BF6" i="42"/>
  <c r="BE6" i="42"/>
  <c r="BD6" i="42"/>
  <c r="BC6" i="42"/>
  <c r="BB6" i="42"/>
  <c r="BA6" i="42"/>
  <c r="AZ6" i="42"/>
  <c r="AY6" i="42"/>
  <c r="AX6" i="42"/>
  <c r="AW6" i="42"/>
  <c r="AV6" i="42"/>
  <c r="AU6" i="42"/>
  <c r="AT6" i="42"/>
  <c r="AS6" i="42"/>
  <c r="AR6" i="42"/>
  <c r="AQ6" i="42"/>
  <c r="AP6" i="42"/>
  <c r="AO6" i="42"/>
  <c r="AN6" i="42"/>
  <c r="AM6" i="42"/>
  <c r="AL6" i="42"/>
  <c r="AK6" i="42"/>
  <c r="AI6" i="42"/>
  <c r="BP6" i="42" s="1"/>
  <c r="BO5" i="42"/>
  <c r="BN5" i="42"/>
  <c r="BM5" i="42"/>
  <c r="BL5" i="42"/>
  <c r="BK5" i="42"/>
  <c r="BJ5" i="42"/>
  <c r="BI5" i="42"/>
  <c r="BH5" i="42"/>
  <c r="BG5" i="42"/>
  <c r="BF5" i="42"/>
  <c r="BE5" i="42"/>
  <c r="BD5" i="42"/>
  <c r="BC5" i="42"/>
  <c r="BB5" i="42"/>
  <c r="BA5" i="42"/>
  <c r="AZ5" i="42"/>
  <c r="AY5" i="42"/>
  <c r="AX5" i="42"/>
  <c r="AW5" i="42"/>
  <c r="AV5" i="42"/>
  <c r="AU5" i="42"/>
  <c r="AT5" i="42"/>
  <c r="AS5" i="42"/>
  <c r="AR5" i="42"/>
  <c r="AQ5" i="42"/>
  <c r="AP5" i="42"/>
  <c r="AO5" i="42"/>
  <c r="AN5" i="42"/>
  <c r="AM5" i="42"/>
  <c r="AL5" i="42"/>
  <c r="AK5" i="42"/>
  <c r="AI5" i="42"/>
  <c r="AI1" i="42"/>
  <c r="H375" i="14"/>
  <c r="H374" i="14"/>
  <c r="AE24" i="40"/>
  <c r="H373" i="14"/>
  <c r="Q164" i="39"/>
  <c r="BP14" i="42" l="1"/>
  <c r="BP5" i="42"/>
  <c r="AY24" i="42"/>
  <c r="D63" i="42"/>
  <c r="E63" i="42" s="1"/>
  <c r="F63" i="42" s="1"/>
  <c r="AI24" i="42"/>
  <c r="H372" i="14"/>
  <c r="H371" i="14"/>
  <c r="H370" i="14"/>
  <c r="H369" i="14"/>
  <c r="Z24" i="40"/>
  <c r="H368" i="14"/>
  <c r="H367" i="14"/>
  <c r="BP24" i="42" l="1"/>
  <c r="AI32" i="42"/>
  <c r="H366" i="14"/>
  <c r="H365" i="14"/>
  <c r="H364" i="14"/>
  <c r="H363" i="14"/>
  <c r="H362" i="14"/>
  <c r="S6" i="40"/>
  <c r="H361" i="14"/>
  <c r="R6" i="40"/>
  <c r="H360" i="14"/>
  <c r="Q6" i="40"/>
  <c r="H359" i="14"/>
  <c r="H358" i="14"/>
  <c r="H357" i="14"/>
  <c r="AI36" i="42" l="1"/>
  <c r="AI35" i="42"/>
  <c r="AI34" i="42"/>
  <c r="AI33" i="42"/>
  <c r="H356" i="14"/>
  <c r="H355" i="14" l="1"/>
  <c r="H354" i="14"/>
  <c r="H353" i="14"/>
  <c r="K352" i="14"/>
  <c r="I352" i="14"/>
  <c r="H352" i="14"/>
  <c r="H351" i="14"/>
  <c r="H24" i="40"/>
  <c r="H350" i="14"/>
  <c r="H349" i="14"/>
  <c r="E7" i="14" l="1"/>
  <c r="H348" i="14"/>
  <c r="H347" i="14" l="1"/>
  <c r="I67" i="40"/>
  <c r="J67" i="40" s="1"/>
  <c r="K67" i="40" s="1"/>
  <c r="L67" i="40" s="1"/>
  <c r="M67" i="40" s="1"/>
  <c r="N67" i="40" s="1"/>
  <c r="O67" i="40" s="1"/>
  <c r="P67" i="40" s="1"/>
  <c r="Q67" i="40" s="1"/>
  <c r="R67" i="40" s="1"/>
  <c r="S67" i="40" s="1"/>
  <c r="T67" i="40" s="1"/>
  <c r="U67" i="40" s="1"/>
  <c r="V67" i="40" s="1"/>
  <c r="D67" i="40"/>
  <c r="E67" i="40" s="1"/>
  <c r="F67" i="40" s="1"/>
  <c r="I66" i="40"/>
  <c r="J66" i="40" s="1"/>
  <c r="K66" i="40" s="1"/>
  <c r="L66" i="40" s="1"/>
  <c r="M66" i="40" s="1"/>
  <c r="N66" i="40" s="1"/>
  <c r="O66" i="40" s="1"/>
  <c r="P66" i="40" s="1"/>
  <c r="Q66" i="40" s="1"/>
  <c r="R66" i="40" s="1"/>
  <c r="S66" i="40" s="1"/>
  <c r="T66" i="40" s="1"/>
  <c r="U66" i="40" s="1"/>
  <c r="V66" i="40" s="1"/>
  <c r="D66" i="40"/>
  <c r="E66" i="40" s="1"/>
  <c r="F66" i="40" s="1"/>
  <c r="I65" i="40"/>
  <c r="J65" i="40" s="1"/>
  <c r="K65" i="40" s="1"/>
  <c r="L65" i="40" s="1"/>
  <c r="M65" i="40" s="1"/>
  <c r="N65" i="40" s="1"/>
  <c r="O65" i="40" s="1"/>
  <c r="P65" i="40" s="1"/>
  <c r="Q65" i="40" s="1"/>
  <c r="R65" i="40" s="1"/>
  <c r="S65" i="40" s="1"/>
  <c r="T65" i="40" s="1"/>
  <c r="U65" i="40" s="1"/>
  <c r="V65" i="40" s="1"/>
  <c r="D65" i="40"/>
  <c r="E65" i="40" s="1"/>
  <c r="F65" i="40" s="1"/>
  <c r="I64" i="40"/>
  <c r="J64" i="40" s="1"/>
  <c r="K64" i="40" s="1"/>
  <c r="L64" i="40" s="1"/>
  <c r="M64" i="40" s="1"/>
  <c r="N64" i="40" s="1"/>
  <c r="O64" i="40" s="1"/>
  <c r="P64" i="40" s="1"/>
  <c r="Q64" i="40" s="1"/>
  <c r="R64" i="40" s="1"/>
  <c r="S64" i="40" s="1"/>
  <c r="T64" i="40" s="1"/>
  <c r="U64" i="40" s="1"/>
  <c r="V64" i="40" s="1"/>
  <c r="D64" i="40"/>
  <c r="E64" i="40" s="1"/>
  <c r="F64" i="40" s="1"/>
  <c r="I63" i="40"/>
  <c r="J63" i="40" s="1"/>
  <c r="K63" i="40" s="1"/>
  <c r="L63" i="40" s="1"/>
  <c r="M63" i="40" s="1"/>
  <c r="N63" i="40" s="1"/>
  <c r="O63" i="40" s="1"/>
  <c r="P63" i="40" s="1"/>
  <c r="Q63" i="40" s="1"/>
  <c r="R63" i="40" s="1"/>
  <c r="S63" i="40" s="1"/>
  <c r="T63" i="40" s="1"/>
  <c r="U63" i="40" s="1"/>
  <c r="V63" i="40" s="1"/>
  <c r="I62" i="40"/>
  <c r="J62" i="40" s="1"/>
  <c r="K62" i="40" s="1"/>
  <c r="L62" i="40" s="1"/>
  <c r="M62" i="40" s="1"/>
  <c r="N62" i="40" s="1"/>
  <c r="O62" i="40" s="1"/>
  <c r="P62" i="40" s="1"/>
  <c r="Q62" i="40" s="1"/>
  <c r="R62" i="40" s="1"/>
  <c r="S62" i="40" s="1"/>
  <c r="T62" i="40" s="1"/>
  <c r="U62" i="40" s="1"/>
  <c r="V62" i="40" s="1"/>
  <c r="D62" i="40"/>
  <c r="E62" i="40" s="1"/>
  <c r="F62" i="40" s="1"/>
  <c r="I61" i="40"/>
  <c r="J61" i="40" s="1"/>
  <c r="K61" i="40" s="1"/>
  <c r="L61" i="40" s="1"/>
  <c r="M61" i="40" s="1"/>
  <c r="N61" i="40" s="1"/>
  <c r="O61" i="40" s="1"/>
  <c r="P61" i="40" s="1"/>
  <c r="Q61" i="40" s="1"/>
  <c r="R61" i="40" s="1"/>
  <c r="S61" i="40" s="1"/>
  <c r="T61" i="40" s="1"/>
  <c r="U61" i="40" s="1"/>
  <c r="V61" i="40" s="1"/>
  <c r="D61" i="40"/>
  <c r="E61" i="40" s="1"/>
  <c r="F61" i="40" s="1"/>
  <c r="I60" i="40"/>
  <c r="J60" i="40" s="1"/>
  <c r="K60" i="40" s="1"/>
  <c r="L60" i="40" s="1"/>
  <c r="M60" i="40" s="1"/>
  <c r="N60" i="40" s="1"/>
  <c r="O60" i="40" s="1"/>
  <c r="P60" i="40" s="1"/>
  <c r="Q60" i="40" s="1"/>
  <c r="R60" i="40" s="1"/>
  <c r="S60" i="40" s="1"/>
  <c r="T60" i="40" s="1"/>
  <c r="U60" i="40" s="1"/>
  <c r="V60" i="40" s="1"/>
  <c r="D60" i="40"/>
  <c r="E60" i="40" s="1"/>
  <c r="F60" i="40" s="1"/>
  <c r="I59" i="40"/>
  <c r="J59" i="40" s="1"/>
  <c r="K59" i="40" s="1"/>
  <c r="L59" i="40" s="1"/>
  <c r="M59" i="40" s="1"/>
  <c r="N59" i="40" s="1"/>
  <c r="O59" i="40" s="1"/>
  <c r="P59" i="40" s="1"/>
  <c r="Q59" i="40" s="1"/>
  <c r="R59" i="40" s="1"/>
  <c r="S59" i="40" s="1"/>
  <c r="T59" i="40" s="1"/>
  <c r="U59" i="40" s="1"/>
  <c r="V59" i="40" s="1"/>
  <c r="D59" i="40"/>
  <c r="E59" i="40" s="1"/>
  <c r="F59" i="40" s="1"/>
  <c r="I58" i="40"/>
  <c r="J58" i="40" s="1"/>
  <c r="K58" i="40" s="1"/>
  <c r="L58" i="40" s="1"/>
  <c r="M58" i="40" s="1"/>
  <c r="N58" i="40" s="1"/>
  <c r="O58" i="40" s="1"/>
  <c r="P58" i="40" s="1"/>
  <c r="Q58" i="40" s="1"/>
  <c r="R58" i="40" s="1"/>
  <c r="S58" i="40" s="1"/>
  <c r="T58" i="40" s="1"/>
  <c r="U58" i="40" s="1"/>
  <c r="V58" i="40" s="1"/>
  <c r="D58" i="40"/>
  <c r="E58" i="40" s="1"/>
  <c r="F58" i="40" s="1"/>
  <c r="I57" i="40"/>
  <c r="J57" i="40" s="1"/>
  <c r="K57" i="40" s="1"/>
  <c r="L57" i="40" s="1"/>
  <c r="M57" i="40" s="1"/>
  <c r="N57" i="40" s="1"/>
  <c r="O57" i="40" s="1"/>
  <c r="P57" i="40" s="1"/>
  <c r="Q57" i="40" s="1"/>
  <c r="R57" i="40" s="1"/>
  <c r="S57" i="40" s="1"/>
  <c r="T57" i="40" s="1"/>
  <c r="U57" i="40" s="1"/>
  <c r="V57" i="40" s="1"/>
  <c r="D57" i="40"/>
  <c r="E57" i="40" s="1"/>
  <c r="F57" i="40" s="1"/>
  <c r="I56" i="40"/>
  <c r="J56" i="40" s="1"/>
  <c r="K56" i="40" s="1"/>
  <c r="L56" i="40" s="1"/>
  <c r="M56" i="40" s="1"/>
  <c r="N56" i="40" s="1"/>
  <c r="O56" i="40" s="1"/>
  <c r="P56" i="40" s="1"/>
  <c r="Q56" i="40" s="1"/>
  <c r="R56" i="40" s="1"/>
  <c r="S56" i="40" s="1"/>
  <c r="T56" i="40" s="1"/>
  <c r="U56" i="40" s="1"/>
  <c r="V56" i="40" s="1"/>
  <c r="D56" i="40"/>
  <c r="E56" i="40" s="1"/>
  <c r="F56" i="40" s="1"/>
  <c r="I55" i="40"/>
  <c r="J55" i="40" s="1"/>
  <c r="K55" i="40" s="1"/>
  <c r="L55" i="40" s="1"/>
  <c r="M55" i="40" s="1"/>
  <c r="N55" i="40" s="1"/>
  <c r="O55" i="40" s="1"/>
  <c r="P55" i="40" s="1"/>
  <c r="Q55" i="40" s="1"/>
  <c r="R55" i="40" s="1"/>
  <c r="S55" i="40" s="1"/>
  <c r="T55" i="40" s="1"/>
  <c r="U55" i="40" s="1"/>
  <c r="V55" i="40" s="1"/>
  <c r="D55" i="40"/>
  <c r="E55" i="40" s="1"/>
  <c r="F55" i="40" s="1"/>
  <c r="I54" i="40"/>
  <c r="J54" i="40" s="1"/>
  <c r="K54" i="40" s="1"/>
  <c r="L54" i="40" s="1"/>
  <c r="M54" i="40" s="1"/>
  <c r="N54" i="40" s="1"/>
  <c r="O54" i="40" s="1"/>
  <c r="P54" i="40" s="1"/>
  <c r="Q54" i="40" s="1"/>
  <c r="R54" i="40" s="1"/>
  <c r="S54" i="40" s="1"/>
  <c r="T54" i="40" s="1"/>
  <c r="U54" i="40" s="1"/>
  <c r="V54" i="40" s="1"/>
  <c r="D54" i="40"/>
  <c r="E54" i="40" s="1"/>
  <c r="F54" i="40" s="1"/>
  <c r="I53" i="40"/>
  <c r="J53" i="40" s="1"/>
  <c r="K53" i="40" s="1"/>
  <c r="L53" i="40" s="1"/>
  <c r="M53" i="40" s="1"/>
  <c r="N53" i="40" s="1"/>
  <c r="O53" i="40" s="1"/>
  <c r="P53" i="40" s="1"/>
  <c r="Q53" i="40" s="1"/>
  <c r="R53" i="40" s="1"/>
  <c r="S53" i="40" s="1"/>
  <c r="T53" i="40" s="1"/>
  <c r="U53" i="40" s="1"/>
  <c r="V53" i="40" s="1"/>
  <c r="D53" i="40"/>
  <c r="E53" i="40" s="1"/>
  <c r="F53" i="40" s="1"/>
  <c r="I52" i="40"/>
  <c r="J52" i="40" s="1"/>
  <c r="K52" i="40" s="1"/>
  <c r="L52" i="40" s="1"/>
  <c r="M52" i="40" s="1"/>
  <c r="N52" i="40" s="1"/>
  <c r="O52" i="40" s="1"/>
  <c r="P52" i="40" s="1"/>
  <c r="Q52" i="40" s="1"/>
  <c r="R52" i="40" s="1"/>
  <c r="S52" i="40" s="1"/>
  <c r="T52" i="40" s="1"/>
  <c r="U52" i="40" s="1"/>
  <c r="V52" i="40" s="1"/>
  <c r="D52" i="40"/>
  <c r="E52" i="40" s="1"/>
  <c r="F52" i="40" s="1"/>
  <c r="I51" i="40"/>
  <c r="J51" i="40" s="1"/>
  <c r="K51" i="40" s="1"/>
  <c r="L51" i="40" s="1"/>
  <c r="M51" i="40" s="1"/>
  <c r="N51" i="40" s="1"/>
  <c r="O51" i="40" s="1"/>
  <c r="P51" i="40" s="1"/>
  <c r="Q51" i="40" s="1"/>
  <c r="R51" i="40" s="1"/>
  <c r="S51" i="40" s="1"/>
  <c r="T51" i="40" s="1"/>
  <c r="U51" i="40" s="1"/>
  <c r="V51" i="40" s="1"/>
  <c r="D51" i="40"/>
  <c r="E51" i="40" s="1"/>
  <c r="F51" i="40" s="1"/>
  <c r="I50" i="40"/>
  <c r="J50" i="40" s="1"/>
  <c r="K50" i="40" s="1"/>
  <c r="L50" i="40" s="1"/>
  <c r="M50" i="40" s="1"/>
  <c r="N50" i="40" s="1"/>
  <c r="O50" i="40" s="1"/>
  <c r="P50" i="40" s="1"/>
  <c r="Q50" i="40" s="1"/>
  <c r="R50" i="40" s="1"/>
  <c r="S50" i="40" s="1"/>
  <c r="T50" i="40" s="1"/>
  <c r="U50" i="40" s="1"/>
  <c r="V50" i="40" s="1"/>
  <c r="D50" i="40"/>
  <c r="E50" i="40" s="1"/>
  <c r="F50" i="40" s="1"/>
  <c r="I49" i="40"/>
  <c r="J49" i="40" s="1"/>
  <c r="K49" i="40" s="1"/>
  <c r="L49" i="40" s="1"/>
  <c r="M49" i="40" s="1"/>
  <c r="N49" i="40" s="1"/>
  <c r="O49" i="40" s="1"/>
  <c r="P49" i="40" s="1"/>
  <c r="Q49" i="40" s="1"/>
  <c r="R49" i="40" s="1"/>
  <c r="S49" i="40" s="1"/>
  <c r="T49" i="40" s="1"/>
  <c r="U49" i="40" s="1"/>
  <c r="V49" i="40" s="1"/>
  <c r="D49" i="40"/>
  <c r="E49" i="40" s="1"/>
  <c r="F49" i="40" s="1"/>
  <c r="I48" i="40"/>
  <c r="J48" i="40" s="1"/>
  <c r="K48" i="40" s="1"/>
  <c r="L48" i="40" s="1"/>
  <c r="M48" i="40" s="1"/>
  <c r="N48" i="40" s="1"/>
  <c r="O48" i="40" s="1"/>
  <c r="P48" i="40" s="1"/>
  <c r="Q48" i="40" s="1"/>
  <c r="R48" i="40" s="1"/>
  <c r="S48" i="40" s="1"/>
  <c r="T48" i="40" s="1"/>
  <c r="U48" i="40" s="1"/>
  <c r="V48" i="40" s="1"/>
  <c r="D48" i="40"/>
  <c r="E48" i="40" s="1"/>
  <c r="F48" i="40" s="1"/>
  <c r="I47" i="40"/>
  <c r="J47" i="40" s="1"/>
  <c r="K47" i="40" s="1"/>
  <c r="L47" i="40" s="1"/>
  <c r="M47" i="40" s="1"/>
  <c r="N47" i="40" s="1"/>
  <c r="O47" i="40" s="1"/>
  <c r="P47" i="40" s="1"/>
  <c r="Q47" i="40" s="1"/>
  <c r="R47" i="40" s="1"/>
  <c r="S47" i="40" s="1"/>
  <c r="T47" i="40" s="1"/>
  <c r="U47" i="40" s="1"/>
  <c r="V47" i="40" s="1"/>
  <c r="D47" i="40"/>
  <c r="E47" i="40" s="1"/>
  <c r="F47" i="40" s="1"/>
  <c r="I46" i="40"/>
  <c r="J46" i="40" s="1"/>
  <c r="K46" i="40" s="1"/>
  <c r="L46" i="40" s="1"/>
  <c r="M46" i="40" s="1"/>
  <c r="N46" i="40" s="1"/>
  <c r="O46" i="40" s="1"/>
  <c r="P46" i="40" s="1"/>
  <c r="Q46" i="40" s="1"/>
  <c r="R46" i="40" s="1"/>
  <c r="S46" i="40" s="1"/>
  <c r="T46" i="40" s="1"/>
  <c r="U46" i="40" s="1"/>
  <c r="V46" i="40" s="1"/>
  <c r="D46" i="40"/>
  <c r="E46" i="40" s="1"/>
  <c r="F46" i="40" s="1"/>
  <c r="H45" i="40"/>
  <c r="I45" i="40" s="1"/>
  <c r="J45" i="40" s="1"/>
  <c r="K45" i="40" s="1"/>
  <c r="L45" i="40" s="1"/>
  <c r="M45" i="40" s="1"/>
  <c r="N45" i="40" s="1"/>
  <c r="O45" i="40" s="1"/>
  <c r="P45" i="40" s="1"/>
  <c r="Q45" i="40" s="1"/>
  <c r="R45" i="40" s="1"/>
  <c r="S45" i="40" s="1"/>
  <c r="T45" i="40" s="1"/>
  <c r="U45" i="40" s="1"/>
  <c r="V45" i="40" s="1"/>
  <c r="G45" i="40"/>
  <c r="D45" i="40"/>
  <c r="E45" i="40" s="1"/>
  <c r="F45" i="40" s="1"/>
  <c r="AJ44" i="40"/>
  <c r="I44" i="40"/>
  <c r="J44" i="40" s="1"/>
  <c r="K44" i="40" s="1"/>
  <c r="L44" i="40" s="1"/>
  <c r="M44" i="40" s="1"/>
  <c r="N44" i="40" s="1"/>
  <c r="O44" i="40" s="1"/>
  <c r="P44" i="40" s="1"/>
  <c r="Q44" i="40" s="1"/>
  <c r="R44" i="40" s="1"/>
  <c r="S44" i="40" s="1"/>
  <c r="T44" i="40" s="1"/>
  <c r="U44" i="40" s="1"/>
  <c r="V44" i="40" s="1"/>
  <c r="D44" i="40"/>
  <c r="E44" i="40" s="1"/>
  <c r="F44" i="40" s="1"/>
  <c r="AA42" i="40"/>
  <c r="Z42" i="40"/>
  <c r="T42" i="40"/>
  <c r="S42" i="40"/>
  <c r="M42" i="40"/>
  <c r="L42" i="40"/>
  <c r="F42" i="40"/>
  <c r="E42" i="40"/>
  <c r="O40" i="40"/>
  <c r="AE39" i="40"/>
  <c r="T37" i="40"/>
  <c r="N36" i="40"/>
  <c r="L36" i="40"/>
  <c r="AG32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P32" i="40"/>
  <c r="O32" i="40"/>
  <c r="N32" i="40"/>
  <c r="L32" i="40"/>
  <c r="K32" i="40"/>
  <c r="J32" i="40"/>
  <c r="I32" i="40"/>
  <c r="H32" i="40"/>
  <c r="G32" i="40"/>
  <c r="F32" i="40"/>
  <c r="E32" i="40"/>
  <c r="BL31" i="40"/>
  <c r="BK31" i="40"/>
  <c r="BJ31" i="40"/>
  <c r="BI31" i="40"/>
  <c r="BH31" i="40"/>
  <c r="BG31" i="40"/>
  <c r="BF31" i="40"/>
  <c r="BE31" i="40"/>
  <c r="BD31" i="40"/>
  <c r="BC31" i="40"/>
  <c r="BB31" i="40"/>
  <c r="BA31" i="40"/>
  <c r="AZ31" i="40"/>
  <c r="AY31" i="40"/>
  <c r="AX31" i="40"/>
  <c r="AW31" i="40"/>
  <c r="AV31" i="40"/>
  <c r="AU31" i="40"/>
  <c r="AT31" i="40"/>
  <c r="AS31" i="40"/>
  <c r="AR31" i="40"/>
  <c r="AQ31" i="40"/>
  <c r="AP31" i="40"/>
  <c r="AO31" i="40"/>
  <c r="AN31" i="40"/>
  <c r="AM31" i="40"/>
  <c r="AL31" i="40"/>
  <c r="AK31" i="40"/>
  <c r="AJ31" i="40"/>
  <c r="AI31" i="40"/>
  <c r="AF31" i="40"/>
  <c r="BM31" i="40" s="1"/>
  <c r="BL30" i="40"/>
  <c r="BK30" i="40"/>
  <c r="BJ30" i="40"/>
  <c r="BI30" i="40"/>
  <c r="BH30" i="40"/>
  <c r="BG30" i="40"/>
  <c r="BF30" i="40"/>
  <c r="BE30" i="40"/>
  <c r="BD30" i="40"/>
  <c r="BC30" i="40"/>
  <c r="BB30" i="40"/>
  <c r="BA30" i="40"/>
  <c r="AZ30" i="40"/>
  <c r="AY30" i="40"/>
  <c r="AX30" i="40"/>
  <c r="AW30" i="40"/>
  <c r="AV30" i="40"/>
  <c r="AU30" i="40"/>
  <c r="AT30" i="40"/>
  <c r="AS30" i="40"/>
  <c r="AR30" i="40"/>
  <c r="AQ30" i="40"/>
  <c r="AP30" i="40"/>
  <c r="AO30" i="40"/>
  <c r="AN30" i="40"/>
  <c r="AM30" i="40"/>
  <c r="AL30" i="40"/>
  <c r="AK30" i="40"/>
  <c r="AJ30" i="40"/>
  <c r="AI30" i="40"/>
  <c r="AH30" i="40"/>
  <c r="AF30" i="40"/>
  <c r="BM30" i="40" s="1"/>
  <c r="BL29" i="40"/>
  <c r="BK29" i="40"/>
  <c r="BJ29" i="40"/>
  <c r="BI29" i="40"/>
  <c r="BH29" i="40"/>
  <c r="BG29" i="40"/>
  <c r="BF29" i="40"/>
  <c r="BE29" i="40"/>
  <c r="BD29" i="40"/>
  <c r="BC29" i="40"/>
  <c r="BB29" i="40"/>
  <c r="BA29" i="40"/>
  <c r="AZ29" i="40"/>
  <c r="AY29" i="40"/>
  <c r="AX29" i="40"/>
  <c r="AW29" i="40"/>
  <c r="AV29" i="40"/>
  <c r="AU29" i="40"/>
  <c r="AT29" i="40"/>
  <c r="AS29" i="40"/>
  <c r="AR29" i="40"/>
  <c r="AQ29" i="40"/>
  <c r="AP29" i="40"/>
  <c r="AO29" i="40"/>
  <c r="AN29" i="40"/>
  <c r="AM29" i="40"/>
  <c r="AL29" i="40"/>
  <c r="AK29" i="40"/>
  <c r="AJ29" i="40"/>
  <c r="AI29" i="40"/>
  <c r="AH29" i="40"/>
  <c r="AF29" i="40"/>
  <c r="BM29" i="40" s="1"/>
  <c r="BL28" i="40"/>
  <c r="BK28" i="40"/>
  <c r="BJ28" i="40"/>
  <c r="BI28" i="40"/>
  <c r="BH28" i="40"/>
  <c r="BG28" i="40"/>
  <c r="BF28" i="40"/>
  <c r="BE28" i="40"/>
  <c r="BD28" i="40"/>
  <c r="BC28" i="40"/>
  <c r="BB28" i="40"/>
  <c r="BA28" i="40"/>
  <c r="AZ28" i="40"/>
  <c r="AY28" i="40"/>
  <c r="AX28" i="40"/>
  <c r="AW28" i="40"/>
  <c r="AV28" i="40"/>
  <c r="AU28" i="40"/>
  <c r="AT28" i="40"/>
  <c r="AS28" i="40"/>
  <c r="AR28" i="40"/>
  <c r="AQ28" i="40"/>
  <c r="AP28" i="40"/>
  <c r="AO28" i="40"/>
  <c r="AN28" i="40"/>
  <c r="AM28" i="40"/>
  <c r="AL28" i="40"/>
  <c r="AK28" i="40"/>
  <c r="AJ28" i="40"/>
  <c r="AI28" i="40"/>
  <c r="AH28" i="40"/>
  <c r="AF28" i="40"/>
  <c r="BM28" i="40" s="1"/>
  <c r="BL27" i="40"/>
  <c r="BK27" i="40"/>
  <c r="BJ27" i="40"/>
  <c r="BI27" i="40"/>
  <c r="BH27" i="40"/>
  <c r="BG27" i="40"/>
  <c r="BF27" i="40"/>
  <c r="BE27" i="40"/>
  <c r="BD27" i="40"/>
  <c r="BC27" i="40"/>
  <c r="BB27" i="40"/>
  <c r="BA27" i="40"/>
  <c r="AZ27" i="40"/>
  <c r="AY27" i="40"/>
  <c r="AX27" i="40"/>
  <c r="AW27" i="40"/>
  <c r="AV27" i="40"/>
  <c r="AU27" i="40"/>
  <c r="AT27" i="40"/>
  <c r="AS27" i="40"/>
  <c r="AR27" i="40"/>
  <c r="AQ27" i="40"/>
  <c r="AP27" i="40"/>
  <c r="AO27" i="40"/>
  <c r="AN27" i="40"/>
  <c r="AM27" i="40"/>
  <c r="AL27" i="40"/>
  <c r="AK27" i="40"/>
  <c r="AJ27" i="40"/>
  <c r="AI27" i="40"/>
  <c r="AH27" i="40"/>
  <c r="AF27" i="40"/>
  <c r="BM27" i="40" s="1"/>
  <c r="BL26" i="40"/>
  <c r="BK26" i="40"/>
  <c r="BJ26" i="40"/>
  <c r="BI26" i="40"/>
  <c r="BH26" i="40"/>
  <c r="BG26" i="40"/>
  <c r="BF26" i="40"/>
  <c r="BE26" i="40"/>
  <c r="BD26" i="40"/>
  <c r="BC26" i="40"/>
  <c r="BB26" i="40"/>
  <c r="BA26" i="40"/>
  <c r="AZ26" i="40"/>
  <c r="AY26" i="40"/>
  <c r="AX26" i="40"/>
  <c r="AW26" i="40"/>
  <c r="AV26" i="40"/>
  <c r="AU26" i="40"/>
  <c r="AT26" i="40"/>
  <c r="AS26" i="40"/>
  <c r="AR26" i="40"/>
  <c r="AQ26" i="40"/>
  <c r="AP26" i="40"/>
  <c r="AO26" i="40"/>
  <c r="AN26" i="40"/>
  <c r="AM26" i="40"/>
  <c r="AL26" i="40"/>
  <c r="AK26" i="40"/>
  <c r="AJ26" i="40"/>
  <c r="AI26" i="40"/>
  <c r="AH26" i="40"/>
  <c r="AF26" i="40"/>
  <c r="BM26" i="40" s="1"/>
  <c r="BL25" i="40"/>
  <c r="BK25" i="40"/>
  <c r="BJ25" i="40"/>
  <c r="BI25" i="40"/>
  <c r="BH25" i="40"/>
  <c r="BG25" i="40"/>
  <c r="BF25" i="40"/>
  <c r="BE25" i="40"/>
  <c r="BD25" i="40"/>
  <c r="BC25" i="40"/>
  <c r="BB25" i="40"/>
  <c r="BA25" i="40"/>
  <c r="AZ25" i="40"/>
  <c r="AY25" i="40"/>
  <c r="AX25" i="40"/>
  <c r="AW25" i="40"/>
  <c r="AV25" i="40"/>
  <c r="AU25" i="40"/>
  <c r="AT25" i="40"/>
  <c r="AS25" i="40"/>
  <c r="AR25" i="40"/>
  <c r="AQ25" i="40"/>
  <c r="AP25" i="40"/>
  <c r="AO25" i="40"/>
  <c r="AN25" i="40"/>
  <c r="AM25" i="40"/>
  <c r="AL25" i="40"/>
  <c r="AK25" i="40"/>
  <c r="AJ25" i="40"/>
  <c r="AI25" i="40"/>
  <c r="AH25" i="40"/>
  <c r="AF25" i="40"/>
  <c r="BM25" i="40" s="1"/>
  <c r="BL24" i="40"/>
  <c r="BK24" i="40"/>
  <c r="BJ24" i="40"/>
  <c r="BI24" i="40"/>
  <c r="BH24" i="40"/>
  <c r="BG24" i="40"/>
  <c r="BF24" i="40"/>
  <c r="BE24" i="40"/>
  <c r="BD24" i="40"/>
  <c r="BC24" i="40"/>
  <c r="BB24" i="40"/>
  <c r="BA24" i="40"/>
  <c r="AZ24" i="40"/>
  <c r="AY24" i="40"/>
  <c r="AX24" i="40"/>
  <c r="AW24" i="40"/>
  <c r="AU24" i="40"/>
  <c r="AT24" i="40"/>
  <c r="AS24" i="40"/>
  <c r="AQ24" i="40"/>
  <c r="AP24" i="40"/>
  <c r="AO24" i="40"/>
  <c r="AN24" i="40"/>
  <c r="AM24" i="40"/>
  <c r="AL24" i="40"/>
  <c r="AK24" i="40"/>
  <c r="AJ24" i="40"/>
  <c r="AI24" i="40"/>
  <c r="AH24" i="40"/>
  <c r="Q32" i="40"/>
  <c r="AR24" i="40"/>
  <c r="D32" i="40"/>
  <c r="BL23" i="40"/>
  <c r="BK23" i="40"/>
  <c r="BJ23" i="40"/>
  <c r="BI23" i="40"/>
  <c r="BH23" i="40"/>
  <c r="BG23" i="40"/>
  <c r="BF23" i="40"/>
  <c r="BE23" i="40"/>
  <c r="BD23" i="40"/>
  <c r="BC23" i="40"/>
  <c r="BB23" i="40"/>
  <c r="BA23" i="40"/>
  <c r="AZ23" i="40"/>
  <c r="AY23" i="40"/>
  <c r="AX23" i="40"/>
  <c r="AW23" i="40"/>
  <c r="AV23" i="40"/>
  <c r="AU23" i="40"/>
  <c r="AT23" i="40"/>
  <c r="AS23" i="40"/>
  <c r="AR23" i="40"/>
  <c r="AQ23" i="40"/>
  <c r="AP23" i="40"/>
  <c r="AO23" i="40"/>
  <c r="AN23" i="40"/>
  <c r="AM23" i="40"/>
  <c r="AL23" i="40"/>
  <c r="AK23" i="40"/>
  <c r="AJ23" i="40"/>
  <c r="AI23" i="40"/>
  <c r="AH23" i="40"/>
  <c r="AF23" i="40"/>
  <c r="BM23" i="40" s="1"/>
  <c r="BL22" i="40"/>
  <c r="BK22" i="40"/>
  <c r="BJ22" i="40"/>
  <c r="BI22" i="40"/>
  <c r="BH22" i="40"/>
  <c r="BG22" i="40"/>
  <c r="BF22" i="40"/>
  <c r="BE22" i="40"/>
  <c r="BD22" i="40"/>
  <c r="BC22" i="40"/>
  <c r="BB22" i="40"/>
  <c r="BA22" i="40"/>
  <c r="AZ22" i="40"/>
  <c r="AY22" i="40"/>
  <c r="AX22" i="40"/>
  <c r="AW22" i="40"/>
  <c r="AV22" i="40"/>
  <c r="AU22" i="40"/>
  <c r="AT22" i="40"/>
  <c r="AS22" i="40"/>
  <c r="AR22" i="40"/>
  <c r="AQ22" i="40"/>
  <c r="AP22" i="40"/>
  <c r="AO22" i="40"/>
  <c r="AN22" i="40"/>
  <c r="AM22" i="40"/>
  <c r="AL22" i="40"/>
  <c r="AK22" i="40"/>
  <c r="AJ22" i="40"/>
  <c r="AI22" i="40"/>
  <c r="AH22" i="40"/>
  <c r="AF22" i="40"/>
  <c r="BM22" i="40" s="1"/>
  <c r="BL21" i="40"/>
  <c r="BK21" i="40"/>
  <c r="BJ21" i="40"/>
  <c r="BI21" i="40"/>
  <c r="BH21" i="40"/>
  <c r="BG21" i="40"/>
  <c r="BF21" i="40"/>
  <c r="BE21" i="40"/>
  <c r="BD21" i="40"/>
  <c r="BC21" i="40"/>
  <c r="BB21" i="40"/>
  <c r="BA21" i="40"/>
  <c r="AZ21" i="40"/>
  <c r="AY21" i="40"/>
  <c r="AX21" i="40"/>
  <c r="AW21" i="40"/>
  <c r="AV21" i="40"/>
  <c r="AU21" i="40"/>
  <c r="AT21" i="40"/>
  <c r="AS21" i="40"/>
  <c r="AR21" i="40"/>
  <c r="AQ21" i="40"/>
  <c r="AP21" i="40"/>
  <c r="AO21" i="40"/>
  <c r="AN21" i="40"/>
  <c r="AM21" i="40"/>
  <c r="AL21" i="40"/>
  <c r="AK21" i="40"/>
  <c r="AJ21" i="40"/>
  <c r="AI21" i="40"/>
  <c r="AH21" i="40"/>
  <c r="AF21" i="40"/>
  <c r="BM21" i="40" s="1"/>
  <c r="BL20" i="40"/>
  <c r="BK20" i="40"/>
  <c r="BJ20" i="40"/>
  <c r="BI20" i="40"/>
  <c r="BH20" i="40"/>
  <c r="BG20" i="40"/>
  <c r="BF20" i="40"/>
  <c r="BE20" i="40"/>
  <c r="BD20" i="40"/>
  <c r="BC20" i="40"/>
  <c r="BB20" i="40"/>
  <c r="BA20" i="40"/>
  <c r="AZ20" i="40"/>
  <c r="AY20" i="40"/>
  <c r="AX20" i="40"/>
  <c r="AW20" i="40"/>
  <c r="AV20" i="40"/>
  <c r="AU20" i="40"/>
  <c r="AT20" i="40"/>
  <c r="AS20" i="40"/>
  <c r="AR20" i="40"/>
  <c r="AQ20" i="40"/>
  <c r="AP20" i="40"/>
  <c r="AO20" i="40"/>
  <c r="AN20" i="40"/>
  <c r="AM20" i="40"/>
  <c r="AL20" i="40"/>
  <c r="AK20" i="40"/>
  <c r="AJ20" i="40"/>
  <c r="AI20" i="40"/>
  <c r="AH20" i="40"/>
  <c r="AF20" i="40"/>
  <c r="BM20" i="40" s="1"/>
  <c r="BL19" i="40"/>
  <c r="BK19" i="40"/>
  <c r="BJ19" i="40"/>
  <c r="BI19" i="40"/>
  <c r="BH19" i="40"/>
  <c r="BG19" i="40"/>
  <c r="BF19" i="40"/>
  <c r="BE19" i="40"/>
  <c r="BD19" i="40"/>
  <c r="BC19" i="40"/>
  <c r="BB19" i="40"/>
  <c r="BA19" i="40"/>
  <c r="AZ19" i="40"/>
  <c r="AY19" i="40"/>
  <c r="AX19" i="40"/>
  <c r="AW19" i="40"/>
  <c r="AV19" i="40"/>
  <c r="AU19" i="40"/>
  <c r="AT19" i="40"/>
  <c r="AS19" i="40"/>
  <c r="AR19" i="40"/>
  <c r="AQ19" i="40"/>
  <c r="AP19" i="40"/>
  <c r="AO19" i="40"/>
  <c r="AN19" i="40"/>
  <c r="AM19" i="40"/>
  <c r="AL19" i="40"/>
  <c r="AK19" i="40"/>
  <c r="AJ19" i="40"/>
  <c r="AI19" i="40"/>
  <c r="AH19" i="40"/>
  <c r="AF19" i="40"/>
  <c r="BM19" i="40" s="1"/>
  <c r="BL18" i="40"/>
  <c r="BK18" i="40"/>
  <c r="BJ18" i="40"/>
  <c r="BI18" i="40"/>
  <c r="BH18" i="40"/>
  <c r="BG18" i="40"/>
  <c r="BF18" i="40"/>
  <c r="BE18" i="40"/>
  <c r="BD18" i="40"/>
  <c r="BC18" i="40"/>
  <c r="BB18" i="40"/>
  <c r="BA18" i="40"/>
  <c r="AZ18" i="40"/>
  <c r="AY18" i="40"/>
  <c r="AX18" i="40"/>
  <c r="AW18" i="40"/>
  <c r="AV18" i="40"/>
  <c r="AU18" i="40"/>
  <c r="AT18" i="40"/>
  <c r="AS18" i="40"/>
  <c r="AR18" i="40"/>
  <c r="AQ18" i="40"/>
  <c r="AP18" i="40"/>
  <c r="AO18" i="40"/>
  <c r="AN18" i="40"/>
  <c r="AM18" i="40"/>
  <c r="AL18" i="40"/>
  <c r="AK18" i="40"/>
  <c r="AJ18" i="40"/>
  <c r="AI18" i="40"/>
  <c r="AH18" i="40"/>
  <c r="AF18" i="40"/>
  <c r="BM18" i="40" s="1"/>
  <c r="BL17" i="40"/>
  <c r="BK17" i="40"/>
  <c r="BJ17" i="40"/>
  <c r="BI17" i="40"/>
  <c r="BH17" i="40"/>
  <c r="BG17" i="40"/>
  <c r="BF17" i="40"/>
  <c r="BE17" i="40"/>
  <c r="BD17" i="40"/>
  <c r="BC17" i="40"/>
  <c r="BB17" i="40"/>
  <c r="BA17" i="40"/>
  <c r="AZ17" i="40"/>
  <c r="AY17" i="40"/>
  <c r="AX17" i="40"/>
  <c r="AW17" i="40"/>
  <c r="AV17" i="40"/>
  <c r="AU17" i="40"/>
  <c r="AT17" i="40"/>
  <c r="AS17" i="40"/>
  <c r="AR17" i="40"/>
  <c r="AQ17" i="40"/>
  <c r="AP17" i="40"/>
  <c r="AO17" i="40"/>
  <c r="AN17" i="40"/>
  <c r="AM17" i="40"/>
  <c r="AL17" i="40"/>
  <c r="AK17" i="40"/>
  <c r="AJ17" i="40"/>
  <c r="AI17" i="40"/>
  <c r="AH17" i="40"/>
  <c r="AF17" i="40"/>
  <c r="BM17" i="40" s="1"/>
  <c r="BL16" i="40"/>
  <c r="BK16" i="40"/>
  <c r="BJ16" i="40"/>
  <c r="BI16" i="40"/>
  <c r="BH16" i="40"/>
  <c r="BG16" i="40"/>
  <c r="BF16" i="40"/>
  <c r="BE16" i="40"/>
  <c r="BD16" i="40"/>
  <c r="BC16" i="40"/>
  <c r="BB16" i="40"/>
  <c r="BA16" i="40"/>
  <c r="AZ16" i="40"/>
  <c r="AY16" i="40"/>
  <c r="AX16" i="40"/>
  <c r="AW16" i="40"/>
  <c r="AV16" i="40"/>
  <c r="AU16" i="40"/>
  <c r="AT16" i="40"/>
  <c r="AS16" i="40"/>
  <c r="AR16" i="40"/>
  <c r="AQ16" i="40"/>
  <c r="AP16" i="40"/>
  <c r="AO16" i="40"/>
  <c r="AN16" i="40"/>
  <c r="AM16" i="40"/>
  <c r="AL16" i="40"/>
  <c r="AK16" i="40"/>
  <c r="AJ16" i="40"/>
  <c r="AI16" i="40"/>
  <c r="AH16" i="40"/>
  <c r="AF16" i="40"/>
  <c r="BM16" i="40" s="1"/>
  <c r="BL15" i="40"/>
  <c r="BK15" i="40"/>
  <c r="BJ15" i="40"/>
  <c r="BI15" i="40"/>
  <c r="BH15" i="40"/>
  <c r="BG15" i="40"/>
  <c r="BF15" i="40"/>
  <c r="BE15" i="40"/>
  <c r="BD15" i="40"/>
  <c r="BC15" i="40"/>
  <c r="BB15" i="40"/>
  <c r="BA15" i="40"/>
  <c r="AZ15" i="40"/>
  <c r="AY15" i="40"/>
  <c r="AX15" i="40"/>
  <c r="AW15" i="40"/>
  <c r="AV15" i="40"/>
  <c r="AU15" i="40"/>
  <c r="AT15" i="40"/>
  <c r="AS15" i="40"/>
  <c r="AR15" i="40"/>
  <c r="AQ15" i="40"/>
  <c r="AP15" i="40"/>
  <c r="AO15" i="40"/>
  <c r="AN15" i="40"/>
  <c r="AM15" i="40"/>
  <c r="AL15" i="40"/>
  <c r="AK15" i="40"/>
  <c r="AJ15" i="40"/>
  <c r="AI15" i="40"/>
  <c r="AH15" i="40"/>
  <c r="AF15" i="40"/>
  <c r="BM15" i="40" s="1"/>
  <c r="BL14" i="40"/>
  <c r="BK14" i="40"/>
  <c r="BJ14" i="40"/>
  <c r="BI14" i="40"/>
  <c r="BH14" i="40"/>
  <c r="BG14" i="40"/>
  <c r="BF14" i="40"/>
  <c r="BE14" i="40"/>
  <c r="BD14" i="40"/>
  <c r="BC14" i="40"/>
  <c r="BB14" i="40"/>
  <c r="BA14" i="40"/>
  <c r="AZ14" i="40"/>
  <c r="AY14" i="40"/>
  <c r="AX14" i="40"/>
  <c r="AW14" i="40"/>
  <c r="AV14" i="40"/>
  <c r="AU14" i="40"/>
  <c r="AT14" i="40"/>
  <c r="AS14" i="40"/>
  <c r="AR14" i="40"/>
  <c r="AQ14" i="40"/>
  <c r="AP14" i="40"/>
  <c r="AO14" i="40"/>
  <c r="AN14" i="40"/>
  <c r="AM14" i="40"/>
  <c r="AL14" i="40"/>
  <c r="AK14" i="40"/>
  <c r="AJ14" i="40"/>
  <c r="AI14" i="40"/>
  <c r="AH14" i="40"/>
  <c r="AF14" i="40"/>
  <c r="BM14" i="40" s="1"/>
  <c r="BL13" i="40"/>
  <c r="BK13" i="40"/>
  <c r="BJ13" i="40"/>
  <c r="BI13" i="40"/>
  <c r="BH13" i="40"/>
  <c r="BG13" i="40"/>
  <c r="BF13" i="40"/>
  <c r="BE13" i="40"/>
  <c r="BD13" i="40"/>
  <c r="BC13" i="40"/>
  <c r="BB13" i="40"/>
  <c r="BA13" i="40"/>
  <c r="AZ13" i="40"/>
  <c r="AY13" i="40"/>
  <c r="AX13" i="40"/>
  <c r="AW13" i="40"/>
  <c r="AV13" i="40"/>
  <c r="AU13" i="40"/>
  <c r="AT13" i="40"/>
  <c r="AS13" i="40"/>
  <c r="AR13" i="40"/>
  <c r="AQ13" i="40"/>
  <c r="AP13" i="40"/>
  <c r="AO13" i="40"/>
  <c r="AN13" i="40"/>
  <c r="AM13" i="40"/>
  <c r="AL13" i="40"/>
  <c r="AK13" i="40"/>
  <c r="AJ13" i="40"/>
  <c r="AI13" i="40"/>
  <c r="AH13" i="40"/>
  <c r="AF13" i="40"/>
  <c r="BM13" i="40" s="1"/>
  <c r="BL12" i="40"/>
  <c r="BK12" i="40"/>
  <c r="BJ12" i="40"/>
  <c r="BI12" i="40"/>
  <c r="BH12" i="40"/>
  <c r="BG12" i="40"/>
  <c r="BF12" i="40"/>
  <c r="BE12" i="40"/>
  <c r="BD12" i="40"/>
  <c r="BC12" i="40"/>
  <c r="BB12" i="40"/>
  <c r="BA12" i="40"/>
  <c r="AZ12" i="40"/>
  <c r="AY12" i="40"/>
  <c r="AX12" i="40"/>
  <c r="AW12" i="40"/>
  <c r="AV12" i="40"/>
  <c r="AU12" i="40"/>
  <c r="AT12" i="40"/>
  <c r="AS12" i="40"/>
  <c r="AR12" i="40"/>
  <c r="AQ12" i="40"/>
  <c r="AP12" i="40"/>
  <c r="AO12" i="40"/>
  <c r="AN12" i="40"/>
  <c r="AM12" i="40"/>
  <c r="AL12" i="40"/>
  <c r="AK12" i="40"/>
  <c r="AJ12" i="40"/>
  <c r="AI12" i="40"/>
  <c r="AF12" i="40"/>
  <c r="BM12" i="40" s="1"/>
  <c r="BL11" i="40"/>
  <c r="BK11" i="40"/>
  <c r="BJ11" i="40"/>
  <c r="BI11" i="40"/>
  <c r="BH11" i="40"/>
  <c r="BG11" i="40"/>
  <c r="BF11" i="40"/>
  <c r="BE11" i="40"/>
  <c r="BD11" i="40"/>
  <c r="BC11" i="40"/>
  <c r="BB11" i="40"/>
  <c r="BA11" i="40"/>
  <c r="AZ11" i="40"/>
  <c r="AY11" i="40"/>
  <c r="AX11" i="40"/>
  <c r="AW11" i="40"/>
  <c r="AV11" i="40"/>
  <c r="AU11" i="40"/>
  <c r="AT11" i="40"/>
  <c r="AS11" i="40"/>
  <c r="AR11" i="40"/>
  <c r="AQ11" i="40"/>
  <c r="AP11" i="40"/>
  <c r="AO11" i="40"/>
  <c r="AN11" i="40"/>
  <c r="AM11" i="40"/>
  <c r="AL11" i="40"/>
  <c r="AK11" i="40"/>
  <c r="AJ11" i="40"/>
  <c r="AI11" i="40"/>
  <c r="AH11" i="40"/>
  <c r="AF11" i="40"/>
  <c r="BM11" i="40" s="1"/>
  <c r="BL10" i="40"/>
  <c r="BK10" i="40"/>
  <c r="BJ10" i="40"/>
  <c r="BI10" i="40"/>
  <c r="BH10" i="40"/>
  <c r="BG10" i="40"/>
  <c r="BF10" i="40"/>
  <c r="BE10" i="40"/>
  <c r="BD10" i="40"/>
  <c r="BC10" i="40"/>
  <c r="BB10" i="40"/>
  <c r="BA10" i="40"/>
  <c r="AZ10" i="40"/>
  <c r="AY10" i="40"/>
  <c r="AX10" i="40"/>
  <c r="AW10" i="40"/>
  <c r="AV10" i="40"/>
  <c r="AU10" i="40"/>
  <c r="AT10" i="40"/>
  <c r="AS10" i="40"/>
  <c r="AR10" i="40"/>
  <c r="AQ10" i="40"/>
  <c r="AP10" i="40"/>
  <c r="AO10" i="40"/>
  <c r="AN10" i="40"/>
  <c r="AM10" i="40"/>
  <c r="AL10" i="40"/>
  <c r="AK10" i="40"/>
  <c r="AJ10" i="40"/>
  <c r="AI10" i="40"/>
  <c r="AH10" i="40"/>
  <c r="AF10" i="40"/>
  <c r="BM10" i="40" s="1"/>
  <c r="BL9" i="40"/>
  <c r="BK9" i="40"/>
  <c r="BJ9" i="40"/>
  <c r="BI9" i="40"/>
  <c r="BH9" i="40"/>
  <c r="BG9" i="40"/>
  <c r="BF9" i="40"/>
  <c r="BE9" i="40"/>
  <c r="BD9" i="40"/>
  <c r="BC9" i="40"/>
  <c r="BB9" i="40"/>
  <c r="BA9" i="40"/>
  <c r="AZ9" i="40"/>
  <c r="AY9" i="40"/>
  <c r="AX9" i="40"/>
  <c r="AW9" i="40"/>
  <c r="AV9" i="40"/>
  <c r="AU9" i="40"/>
  <c r="AT9" i="40"/>
  <c r="AS9" i="40"/>
  <c r="AR9" i="40"/>
  <c r="AQ9" i="40"/>
  <c r="AP9" i="40"/>
  <c r="AO9" i="40"/>
  <c r="AN9" i="40"/>
  <c r="AM9" i="40"/>
  <c r="AL9" i="40"/>
  <c r="AK9" i="40"/>
  <c r="AJ9" i="40"/>
  <c r="AI9" i="40"/>
  <c r="AH9" i="40"/>
  <c r="AF9" i="40"/>
  <c r="BM9" i="40" s="1"/>
  <c r="BL8" i="40"/>
  <c r="BK8" i="40"/>
  <c r="BJ8" i="40"/>
  <c r="BI8" i="40"/>
  <c r="BH8" i="40"/>
  <c r="BG8" i="40"/>
  <c r="BF8" i="40"/>
  <c r="BE8" i="40"/>
  <c r="BD8" i="40"/>
  <c r="BC8" i="40"/>
  <c r="BB8" i="40"/>
  <c r="BA8" i="40"/>
  <c r="AZ8" i="40"/>
  <c r="AY8" i="40"/>
  <c r="AX8" i="40"/>
  <c r="AW8" i="40"/>
  <c r="AV8" i="40"/>
  <c r="AU8" i="40"/>
  <c r="AT8" i="40"/>
  <c r="AS8" i="40"/>
  <c r="AR8" i="40"/>
  <c r="AQ8" i="40"/>
  <c r="AP8" i="40"/>
  <c r="AO8" i="40"/>
  <c r="AN8" i="40"/>
  <c r="AM8" i="40"/>
  <c r="AL8" i="40"/>
  <c r="AK8" i="40"/>
  <c r="AJ8" i="40"/>
  <c r="AI8" i="40"/>
  <c r="AH8" i="40"/>
  <c r="AF8" i="40"/>
  <c r="BM8" i="40" s="1"/>
  <c r="BL7" i="40"/>
  <c r="BK7" i="40"/>
  <c r="BJ7" i="40"/>
  <c r="BI7" i="40"/>
  <c r="BH7" i="40"/>
  <c r="BG7" i="40"/>
  <c r="BF7" i="40"/>
  <c r="BE7" i="40"/>
  <c r="BD7" i="40"/>
  <c r="BC7" i="40"/>
  <c r="BB7" i="40"/>
  <c r="BA7" i="40"/>
  <c r="AZ7" i="40"/>
  <c r="AY7" i="40"/>
  <c r="AX7" i="40"/>
  <c r="AW7" i="40"/>
  <c r="AV7" i="40"/>
  <c r="AU7" i="40"/>
  <c r="AT7" i="40"/>
  <c r="AS7" i="40"/>
  <c r="AR7" i="40"/>
  <c r="AQ7" i="40"/>
  <c r="AP7" i="40"/>
  <c r="AO7" i="40"/>
  <c r="AN7" i="40"/>
  <c r="AM7" i="40"/>
  <c r="AL7" i="40"/>
  <c r="AK7" i="40"/>
  <c r="AJ7" i="40"/>
  <c r="AI7" i="40"/>
  <c r="AH7" i="40"/>
  <c r="AF7" i="40"/>
  <c r="BM7" i="40" s="1"/>
  <c r="BL6" i="40"/>
  <c r="BK6" i="40"/>
  <c r="BJ6" i="40"/>
  <c r="BI6" i="40"/>
  <c r="BH6" i="40"/>
  <c r="BG6" i="40"/>
  <c r="BF6" i="40"/>
  <c r="BE6" i="40"/>
  <c r="BD6" i="40"/>
  <c r="BC6" i="40"/>
  <c r="BB6" i="40"/>
  <c r="BA6" i="40"/>
  <c r="AZ6" i="40"/>
  <c r="AY6" i="40"/>
  <c r="AX6" i="40"/>
  <c r="AW6" i="40"/>
  <c r="AV6" i="40"/>
  <c r="AU6" i="40"/>
  <c r="AT6" i="40"/>
  <c r="AS6" i="40"/>
  <c r="AR6" i="40"/>
  <c r="AQ6" i="40"/>
  <c r="AP6" i="40"/>
  <c r="AO6" i="40"/>
  <c r="AN6" i="40"/>
  <c r="AM6" i="40"/>
  <c r="AL6" i="40"/>
  <c r="AK6" i="40"/>
  <c r="AJ6" i="40"/>
  <c r="AI6" i="40"/>
  <c r="AH6" i="40"/>
  <c r="AF6" i="40"/>
  <c r="BM6" i="40" s="1"/>
  <c r="BL5" i="40"/>
  <c r="BK5" i="40"/>
  <c r="BJ5" i="40"/>
  <c r="BI5" i="40"/>
  <c r="BH5" i="40"/>
  <c r="BG5" i="40"/>
  <c r="BF5" i="40"/>
  <c r="BE5" i="40"/>
  <c r="BD5" i="40"/>
  <c r="BC5" i="40"/>
  <c r="BB5" i="40"/>
  <c r="BA5" i="40"/>
  <c r="AZ5" i="40"/>
  <c r="AY5" i="40"/>
  <c r="AX5" i="40"/>
  <c r="AW5" i="40"/>
  <c r="AV5" i="40"/>
  <c r="AU5" i="40"/>
  <c r="AT5" i="40"/>
  <c r="AS5" i="40"/>
  <c r="AR5" i="40"/>
  <c r="AQ5" i="40"/>
  <c r="AP5" i="40"/>
  <c r="AO5" i="40"/>
  <c r="AN5" i="40"/>
  <c r="AM5" i="40"/>
  <c r="AL5" i="40"/>
  <c r="AK5" i="40"/>
  <c r="AJ5" i="40"/>
  <c r="AI5" i="40"/>
  <c r="AH5" i="40"/>
  <c r="AF5" i="40"/>
  <c r="AF1" i="40"/>
  <c r="H346" i="14"/>
  <c r="AE8" i="14"/>
  <c r="AF8" i="14"/>
  <c r="AG8" i="14"/>
  <c r="H345" i="14"/>
  <c r="AI13" i="38"/>
  <c r="AI12" i="38"/>
  <c r="AI11" i="38"/>
  <c r="AI10" i="38"/>
  <c r="AI9" i="38"/>
  <c r="AI8" i="38"/>
  <c r="AI7" i="38"/>
  <c r="AI6" i="38"/>
  <c r="AI5" i="38"/>
  <c r="H344" i="14"/>
  <c r="H343" i="14"/>
  <c r="AF2" i="40" l="1"/>
  <c r="M32" i="40"/>
  <c r="BM5" i="40"/>
  <c r="AV24" i="40"/>
  <c r="D63" i="40"/>
  <c r="E63" i="40" s="1"/>
  <c r="F63" i="40" s="1"/>
  <c r="AF24" i="40"/>
  <c r="H342" i="14"/>
  <c r="H341" i="14"/>
  <c r="H340" i="14"/>
  <c r="H339" i="14"/>
  <c r="BM24" i="40" l="1"/>
  <c r="AF32" i="40"/>
  <c r="H338" i="14"/>
  <c r="AF35" i="40" l="1"/>
  <c r="AF34" i="40"/>
  <c r="AF36" i="40"/>
  <c r="AF33" i="40"/>
  <c r="F336" i="14"/>
  <c r="C336" i="14"/>
  <c r="H337" i="14" s="1"/>
  <c r="F334" i="14"/>
  <c r="F332" i="14"/>
  <c r="F331" i="14"/>
  <c r="H331" i="14"/>
  <c r="H332" i="14"/>
  <c r="H333" i="14"/>
  <c r="H334" i="14"/>
  <c r="H335" i="14"/>
  <c r="H330" i="14"/>
  <c r="H336" i="14" l="1"/>
  <c r="H327" i="14"/>
  <c r="H328" i="14"/>
  <c r="H329" i="14"/>
  <c r="Q24" i="38"/>
  <c r="H326" i="14"/>
  <c r="H325" i="14"/>
  <c r="M24" i="38"/>
  <c r="H324" i="14"/>
  <c r="R250" i="14"/>
  <c r="H323" i="14" l="1"/>
  <c r="I321" i="14" l="1"/>
  <c r="H322" i="14"/>
  <c r="H321" i="14"/>
  <c r="R84" i="39" l="1"/>
  <c r="Q84" i="39"/>
  <c r="P84" i="39"/>
  <c r="O84" i="39"/>
  <c r="O86" i="39" s="1"/>
  <c r="N84" i="39"/>
  <c r="M84" i="39"/>
  <c r="M94" i="39" s="1"/>
  <c r="L84" i="39"/>
  <c r="L86" i="39" s="1"/>
  <c r="K84" i="39"/>
  <c r="K93" i="39" s="1"/>
  <c r="J84" i="39"/>
  <c r="I84" i="39"/>
  <c r="H84" i="39"/>
  <c r="R81" i="39"/>
  <c r="Q81" i="39"/>
  <c r="P81" i="39"/>
  <c r="O81" i="39"/>
  <c r="O83" i="39" s="1"/>
  <c r="N81" i="39"/>
  <c r="N96" i="39" s="1"/>
  <c r="M81" i="39"/>
  <c r="L81" i="39"/>
  <c r="K81" i="39"/>
  <c r="J81" i="39"/>
  <c r="I81" i="39"/>
  <c r="H81" i="39"/>
  <c r="H83" i="39" s="1"/>
  <c r="H100" i="39" s="1"/>
  <c r="G81" i="39"/>
  <c r="R78" i="39"/>
  <c r="R80" i="39" s="1"/>
  <c r="Q78" i="39"/>
  <c r="P78" i="39"/>
  <c r="O78" i="39"/>
  <c r="N78" i="39"/>
  <c r="M78" i="39"/>
  <c r="L78" i="39"/>
  <c r="L80" i="39" s="1"/>
  <c r="K78" i="39"/>
  <c r="K80" i="39" s="1"/>
  <c r="J78" i="39"/>
  <c r="J80" i="39" s="1"/>
  <c r="I78" i="39"/>
  <c r="H78" i="39"/>
  <c r="R75" i="39"/>
  <c r="R77" i="39" s="1"/>
  <c r="Q75" i="39"/>
  <c r="P75" i="39"/>
  <c r="P77" i="39" s="1"/>
  <c r="O75" i="39"/>
  <c r="O77" i="39" s="1"/>
  <c r="N75" i="39"/>
  <c r="N77" i="39" s="1"/>
  <c r="M75" i="39"/>
  <c r="M77" i="39" s="1"/>
  <c r="L75" i="39"/>
  <c r="L77" i="39" s="1"/>
  <c r="K75" i="39"/>
  <c r="J75" i="39"/>
  <c r="I75" i="39"/>
  <c r="I77" i="39" s="1"/>
  <c r="H75" i="39"/>
  <c r="R72" i="39"/>
  <c r="R74" i="39" s="1"/>
  <c r="Q72" i="39"/>
  <c r="Q74" i="39" s="1"/>
  <c r="P72" i="39"/>
  <c r="P74" i="39" s="1"/>
  <c r="O72" i="39"/>
  <c r="N72" i="39"/>
  <c r="N74" i="39" s="1"/>
  <c r="M72" i="39"/>
  <c r="L72" i="39"/>
  <c r="K72" i="39"/>
  <c r="J72" i="39"/>
  <c r="I72" i="39"/>
  <c r="I74" i="39" s="1"/>
  <c r="H72" i="39"/>
  <c r="H74" i="39" s="1"/>
  <c r="R69" i="39"/>
  <c r="Q69" i="39"/>
  <c r="P69" i="39"/>
  <c r="O69" i="39"/>
  <c r="N69" i="39"/>
  <c r="M69" i="39"/>
  <c r="M71" i="39" s="1"/>
  <c r="L69" i="39"/>
  <c r="L71" i="39" s="1"/>
  <c r="K69" i="39"/>
  <c r="K71" i="39" s="1"/>
  <c r="J69" i="39"/>
  <c r="I69" i="39"/>
  <c r="H69" i="39"/>
  <c r="H71" i="39" s="1"/>
  <c r="R66" i="39"/>
  <c r="Q66" i="39"/>
  <c r="P66" i="39"/>
  <c r="O66" i="39"/>
  <c r="O68" i="39" s="1"/>
  <c r="N66" i="39"/>
  <c r="N68" i="39" s="1"/>
  <c r="M66" i="39"/>
  <c r="L66" i="39"/>
  <c r="K66" i="39"/>
  <c r="J66" i="39"/>
  <c r="J68" i="39" s="1"/>
  <c r="I66" i="39"/>
  <c r="I68" i="39" s="1"/>
  <c r="H66" i="39"/>
  <c r="H68" i="39" s="1"/>
  <c r="R63" i="39"/>
  <c r="R65" i="39" s="1"/>
  <c r="Q63" i="39"/>
  <c r="Q65" i="39" s="1"/>
  <c r="P63" i="39"/>
  <c r="O63" i="39"/>
  <c r="N63" i="39"/>
  <c r="N65" i="39" s="1"/>
  <c r="M63" i="39"/>
  <c r="M65" i="39" s="1"/>
  <c r="L63" i="39"/>
  <c r="K63" i="39"/>
  <c r="J63" i="39"/>
  <c r="J65" i="39" s="1"/>
  <c r="I63" i="39"/>
  <c r="I65" i="39" s="1"/>
  <c r="H63" i="39"/>
  <c r="R60" i="39"/>
  <c r="R62" i="39" s="1"/>
  <c r="Q60" i="39"/>
  <c r="P60" i="39"/>
  <c r="O60" i="39"/>
  <c r="N60" i="39"/>
  <c r="N62" i="39" s="1"/>
  <c r="M60" i="39"/>
  <c r="M62" i="39" s="1"/>
  <c r="L60" i="39"/>
  <c r="L62" i="39" s="1"/>
  <c r="K60" i="39"/>
  <c r="J60" i="39"/>
  <c r="I60" i="39"/>
  <c r="H60" i="39"/>
  <c r="H62" i="39" s="1"/>
  <c r="R57" i="39"/>
  <c r="Q57" i="39"/>
  <c r="Q59" i="39" s="1"/>
  <c r="P57" i="39"/>
  <c r="P59" i="39" s="1"/>
  <c r="O57" i="39"/>
  <c r="O59" i="39" s="1"/>
  <c r="N57" i="39"/>
  <c r="M57" i="39"/>
  <c r="L57" i="39"/>
  <c r="L59" i="39" s="1"/>
  <c r="K57" i="39"/>
  <c r="J57" i="39"/>
  <c r="I57" i="39"/>
  <c r="I59" i="39" s="1"/>
  <c r="H57" i="39"/>
  <c r="H59" i="39" s="1"/>
  <c r="R54" i="39"/>
  <c r="R56" i="39" s="1"/>
  <c r="Q54" i="39"/>
  <c r="Q56" i="39" s="1"/>
  <c r="P54" i="39"/>
  <c r="O54" i="39"/>
  <c r="N54" i="39"/>
  <c r="M54" i="39"/>
  <c r="L54" i="39"/>
  <c r="K54" i="39"/>
  <c r="K56" i="39" s="1"/>
  <c r="J54" i="39"/>
  <c r="J56" i="39" s="1"/>
  <c r="I54" i="39"/>
  <c r="H54" i="39"/>
  <c r="H56" i="39" s="1"/>
  <c r="R51" i="39"/>
  <c r="Q51" i="39"/>
  <c r="P51" i="39"/>
  <c r="O51" i="39"/>
  <c r="N51" i="39"/>
  <c r="M51" i="39"/>
  <c r="M53" i="39" s="1"/>
  <c r="L51" i="39"/>
  <c r="K51" i="39"/>
  <c r="J51" i="39"/>
  <c r="I51" i="39"/>
  <c r="H51" i="39"/>
  <c r="R48" i="39"/>
  <c r="R50" i="39" s="1"/>
  <c r="Q48" i="39"/>
  <c r="P48" i="39"/>
  <c r="P50" i="39" s="1"/>
  <c r="O48" i="39"/>
  <c r="N48" i="39"/>
  <c r="M48" i="39"/>
  <c r="L48" i="39"/>
  <c r="K48" i="39"/>
  <c r="J48" i="39"/>
  <c r="I48" i="39"/>
  <c r="I50" i="39" s="1"/>
  <c r="H48" i="39"/>
  <c r="H50" i="39" s="1"/>
  <c r="R45" i="39"/>
  <c r="Q45" i="39"/>
  <c r="P45" i="39"/>
  <c r="O45" i="39"/>
  <c r="O47" i="39" s="1"/>
  <c r="N45" i="39"/>
  <c r="N47" i="39" s="1"/>
  <c r="M45" i="39"/>
  <c r="L45" i="39"/>
  <c r="L47" i="39" s="1"/>
  <c r="K45" i="39"/>
  <c r="K47" i="39" s="1"/>
  <c r="J45" i="39"/>
  <c r="I45" i="39"/>
  <c r="H45" i="39"/>
  <c r="R42" i="39"/>
  <c r="Q42" i="39"/>
  <c r="P42" i="39"/>
  <c r="O42" i="39"/>
  <c r="N42" i="39"/>
  <c r="N44" i="39" s="1"/>
  <c r="M42" i="39"/>
  <c r="M44" i="39" s="1"/>
  <c r="L42" i="39"/>
  <c r="K42" i="39"/>
  <c r="J42" i="39"/>
  <c r="I42" i="39"/>
  <c r="H42" i="39"/>
  <c r="R36" i="39"/>
  <c r="R38" i="39" s="1"/>
  <c r="Q36" i="39"/>
  <c r="Q38" i="39" s="1"/>
  <c r="P36" i="39"/>
  <c r="P38" i="39" s="1"/>
  <c r="O36" i="39"/>
  <c r="N36" i="39"/>
  <c r="M36" i="39"/>
  <c r="L36" i="39"/>
  <c r="L38" i="39" s="1"/>
  <c r="K36" i="39"/>
  <c r="K38" i="39" s="1"/>
  <c r="J36" i="39"/>
  <c r="J38" i="39" s="1"/>
  <c r="I36" i="39"/>
  <c r="I38" i="39" s="1"/>
  <c r="H36" i="39"/>
  <c r="H38" i="39" s="1"/>
  <c r="R33" i="39"/>
  <c r="Q33" i="39"/>
  <c r="P33" i="39"/>
  <c r="P35" i="39" s="1"/>
  <c r="O33" i="39"/>
  <c r="N33" i="39"/>
  <c r="N35" i="39" s="1"/>
  <c r="M33" i="39"/>
  <c r="M35" i="39" s="1"/>
  <c r="L33" i="39"/>
  <c r="L35" i="39" s="1"/>
  <c r="K33" i="39"/>
  <c r="J33" i="39"/>
  <c r="I33" i="39"/>
  <c r="H33" i="39"/>
  <c r="R30" i="39"/>
  <c r="R32" i="39" s="1"/>
  <c r="Q30" i="39"/>
  <c r="Q32" i="39" s="1"/>
  <c r="P30" i="39"/>
  <c r="P32" i="39" s="1"/>
  <c r="O30" i="39"/>
  <c r="O32" i="39" s="1"/>
  <c r="N30" i="39"/>
  <c r="M30" i="39"/>
  <c r="M32" i="39" s="1"/>
  <c r="L30" i="39"/>
  <c r="L32" i="39" s="1"/>
  <c r="K30" i="39"/>
  <c r="J30" i="39"/>
  <c r="I30" i="39"/>
  <c r="I32" i="39" s="1"/>
  <c r="H30" i="39"/>
  <c r="H32" i="39" s="1"/>
  <c r="R27" i="39"/>
  <c r="R29" i="39" s="1"/>
  <c r="Q27" i="39"/>
  <c r="P27" i="39"/>
  <c r="O27" i="39"/>
  <c r="O29" i="39" s="1"/>
  <c r="N27" i="39"/>
  <c r="N29" i="39" s="1"/>
  <c r="M27" i="39"/>
  <c r="M29" i="39" s="1"/>
  <c r="L27" i="39"/>
  <c r="L29" i="39" s="1"/>
  <c r="K27" i="39"/>
  <c r="K29" i="39" s="1"/>
  <c r="J27" i="39"/>
  <c r="J29" i="39" s="1"/>
  <c r="I27" i="39"/>
  <c r="I29" i="39" s="1"/>
  <c r="H27" i="39"/>
  <c r="H29" i="39" s="1"/>
  <c r="R24" i="39"/>
  <c r="R26" i="39" s="1"/>
  <c r="Q24" i="39"/>
  <c r="P24" i="39"/>
  <c r="O24" i="39"/>
  <c r="O26" i="39" s="1"/>
  <c r="N24" i="39"/>
  <c r="N26" i="39" s="1"/>
  <c r="M24" i="39"/>
  <c r="M26" i="39" s="1"/>
  <c r="L24" i="39"/>
  <c r="L26" i="39" s="1"/>
  <c r="K24" i="39"/>
  <c r="J24" i="39"/>
  <c r="I24" i="39"/>
  <c r="H24" i="39"/>
  <c r="R23" i="39"/>
  <c r="Q23" i="39"/>
  <c r="P23" i="39"/>
  <c r="O23" i="39"/>
  <c r="L21" i="39"/>
  <c r="L23" i="39" s="1"/>
  <c r="K21" i="39"/>
  <c r="J21" i="39"/>
  <c r="I21" i="39"/>
  <c r="I23" i="39" s="1"/>
  <c r="H21" i="39"/>
  <c r="H23" i="39" s="1"/>
  <c r="R18" i="39"/>
  <c r="R20" i="39" s="1"/>
  <c r="Q18" i="39"/>
  <c r="Q20" i="39" s="1"/>
  <c r="P18" i="39"/>
  <c r="P20" i="39" s="1"/>
  <c r="O18" i="39"/>
  <c r="N18" i="39"/>
  <c r="N20" i="39" s="1"/>
  <c r="M18" i="39"/>
  <c r="M20" i="39" s="1"/>
  <c r="L18" i="39"/>
  <c r="L20" i="39" s="1"/>
  <c r="K18" i="39"/>
  <c r="K20" i="39" s="1"/>
  <c r="J18" i="39"/>
  <c r="I18" i="39"/>
  <c r="I20" i="39" s="1"/>
  <c r="H18" i="39"/>
  <c r="R15" i="39"/>
  <c r="Q15" i="39"/>
  <c r="Q17" i="39" s="1"/>
  <c r="P15" i="39"/>
  <c r="P17" i="39" s="1"/>
  <c r="O15" i="39"/>
  <c r="O17" i="39" s="1"/>
  <c r="N15" i="39"/>
  <c r="N17" i="39" s="1"/>
  <c r="M15" i="39"/>
  <c r="L15" i="39"/>
  <c r="K15" i="39"/>
  <c r="K17" i="39" s="1"/>
  <c r="J15" i="39"/>
  <c r="J17" i="39" s="1"/>
  <c r="I15" i="39"/>
  <c r="H15" i="39"/>
  <c r="R12" i="39"/>
  <c r="R14" i="39" s="1"/>
  <c r="Q12" i="39"/>
  <c r="Q14" i="39" s="1"/>
  <c r="P12" i="39"/>
  <c r="P14" i="39" s="1"/>
  <c r="O12" i="39"/>
  <c r="N12" i="39"/>
  <c r="M12" i="39"/>
  <c r="L12" i="39"/>
  <c r="K12" i="39"/>
  <c r="K14" i="39" s="1"/>
  <c r="J12" i="39"/>
  <c r="J14" i="39" s="1"/>
  <c r="I12" i="39"/>
  <c r="I14" i="39" s="1"/>
  <c r="H12" i="39"/>
  <c r="H14" i="39" s="1"/>
  <c r="R9" i="39"/>
  <c r="Q9" i="39"/>
  <c r="P9" i="39"/>
  <c r="O9" i="39"/>
  <c r="N9" i="39"/>
  <c r="N11" i="39" s="1"/>
  <c r="M9" i="39"/>
  <c r="M11" i="39" s="1"/>
  <c r="L9" i="39"/>
  <c r="L11" i="39" s="1"/>
  <c r="K9" i="39"/>
  <c r="J9" i="39"/>
  <c r="I9" i="39"/>
  <c r="H9" i="39"/>
  <c r="H11" i="39" s="1"/>
  <c r="I83" i="39"/>
  <c r="J83" i="39"/>
  <c r="K83" i="39"/>
  <c r="H90" i="39"/>
  <c r="I90" i="39"/>
  <c r="J90" i="39"/>
  <c r="K90" i="39"/>
  <c r="L90" i="39"/>
  <c r="M90" i="39"/>
  <c r="N90" i="39"/>
  <c r="O90" i="39"/>
  <c r="P90" i="39"/>
  <c r="Q90" i="39"/>
  <c r="R90" i="39"/>
  <c r="Q80" i="39"/>
  <c r="P80" i="39"/>
  <c r="O80" i="39"/>
  <c r="N80" i="39"/>
  <c r="M80" i="39"/>
  <c r="I80" i="39"/>
  <c r="H80" i="39"/>
  <c r="G78" i="39"/>
  <c r="Q77" i="39"/>
  <c r="K77" i="39"/>
  <c r="J77" i="39"/>
  <c r="H77" i="39"/>
  <c r="G75" i="39"/>
  <c r="O74" i="39"/>
  <c r="M74" i="39"/>
  <c r="L74" i="39"/>
  <c r="K74" i="39"/>
  <c r="J74" i="39"/>
  <c r="G72" i="39"/>
  <c r="R6" i="39"/>
  <c r="Q6" i="39"/>
  <c r="Q8" i="39" s="1"/>
  <c r="P6" i="39"/>
  <c r="O6" i="39"/>
  <c r="O8" i="39" s="1"/>
  <c r="N6" i="39"/>
  <c r="N8" i="39" s="1"/>
  <c r="M6" i="39"/>
  <c r="M8" i="39" s="1"/>
  <c r="L6" i="39"/>
  <c r="L8" i="39" s="1"/>
  <c r="K6" i="39"/>
  <c r="K8" i="39" s="1"/>
  <c r="J6" i="39"/>
  <c r="J8" i="39" s="1"/>
  <c r="I6" i="39"/>
  <c r="I8" i="39" s="1"/>
  <c r="H6" i="39"/>
  <c r="H8" i="39" s="1"/>
  <c r="R3" i="39"/>
  <c r="Q3" i="39"/>
  <c r="P3" i="39"/>
  <c r="P5" i="39" s="1"/>
  <c r="O3" i="39"/>
  <c r="N3" i="39"/>
  <c r="M3" i="39"/>
  <c r="L3" i="39"/>
  <c r="L5" i="39" s="1"/>
  <c r="K3" i="39"/>
  <c r="K5" i="39" s="1"/>
  <c r="J3" i="39"/>
  <c r="J5" i="39" s="1"/>
  <c r="I3" i="39"/>
  <c r="I5" i="39" s="1"/>
  <c r="H3" i="39"/>
  <c r="H5" i="39" s="1"/>
  <c r="G84" i="39"/>
  <c r="G69" i="39"/>
  <c r="G66" i="39"/>
  <c r="G63" i="39"/>
  <c r="G60" i="39"/>
  <c r="G57" i="39"/>
  <c r="G45" i="39"/>
  <c r="G42" i="39"/>
  <c r="G54" i="39"/>
  <c r="G51" i="39"/>
  <c r="G48" i="39"/>
  <c r="G36" i="39"/>
  <c r="G33" i="39"/>
  <c r="G24" i="39"/>
  <c r="G27" i="39"/>
  <c r="G30" i="39"/>
  <c r="G21" i="39"/>
  <c r="G18" i="39"/>
  <c r="G15" i="39"/>
  <c r="G12" i="39"/>
  <c r="G9" i="39"/>
  <c r="G6" i="39"/>
  <c r="H96" i="39"/>
  <c r="I96" i="39"/>
  <c r="J96" i="39"/>
  <c r="K96" i="39"/>
  <c r="L96" i="39"/>
  <c r="M96" i="39"/>
  <c r="P96" i="39"/>
  <c r="Q96" i="39"/>
  <c r="R96" i="39"/>
  <c r="G3" i="39"/>
  <c r="G130" i="39"/>
  <c r="H130" i="39" s="1"/>
  <c r="G129" i="39"/>
  <c r="H129" i="39" s="1"/>
  <c r="I129" i="39" s="1"/>
  <c r="E118" i="39"/>
  <c r="E103" i="39"/>
  <c r="E105" i="39" s="1"/>
  <c r="E107" i="39" s="1"/>
  <c r="R95" i="39"/>
  <c r="Q95" i="39"/>
  <c r="P95" i="39"/>
  <c r="N95" i="39"/>
  <c r="J95" i="39"/>
  <c r="H95" i="39"/>
  <c r="R94" i="39"/>
  <c r="Q94" i="39"/>
  <c r="P94" i="39"/>
  <c r="N94" i="39"/>
  <c r="J94" i="39"/>
  <c r="I94" i="39"/>
  <c r="H94" i="39"/>
  <c r="R93" i="39"/>
  <c r="Q93" i="39"/>
  <c r="P93" i="39"/>
  <c r="N93" i="39"/>
  <c r="J93" i="39"/>
  <c r="I93" i="39"/>
  <c r="H93" i="39"/>
  <c r="E89" i="39"/>
  <c r="Q86" i="39"/>
  <c r="P86" i="39"/>
  <c r="N86" i="39"/>
  <c r="H86" i="39"/>
  <c r="R86" i="39"/>
  <c r="J86" i="39"/>
  <c r="Q83" i="39"/>
  <c r="P83" i="39"/>
  <c r="P100" i="39" s="1"/>
  <c r="L83" i="39"/>
  <c r="Q71" i="39"/>
  <c r="N71" i="39"/>
  <c r="J71" i="39"/>
  <c r="I71" i="39"/>
  <c r="R71" i="39"/>
  <c r="P71" i="39"/>
  <c r="O71" i="39"/>
  <c r="Q68" i="39"/>
  <c r="P68" i="39"/>
  <c r="M68" i="39"/>
  <c r="R68" i="39"/>
  <c r="L68" i="39"/>
  <c r="K68" i="39"/>
  <c r="P65" i="39"/>
  <c r="L65" i="39"/>
  <c r="K65" i="39"/>
  <c r="H65" i="39"/>
  <c r="O65" i="39"/>
  <c r="K62" i="39"/>
  <c r="J62" i="39"/>
  <c r="Q62" i="39"/>
  <c r="P62" i="39"/>
  <c r="O62" i="39"/>
  <c r="I62" i="39"/>
  <c r="R59" i="39"/>
  <c r="N59" i="39"/>
  <c r="M59" i="39"/>
  <c r="K59" i="39"/>
  <c r="J59" i="39"/>
  <c r="N56" i="39"/>
  <c r="I56" i="39"/>
  <c r="P56" i="39"/>
  <c r="O56" i="39"/>
  <c r="M56" i="39"/>
  <c r="L56" i="39"/>
  <c r="Q53" i="39"/>
  <c r="P53" i="39"/>
  <c r="L53" i="39"/>
  <c r="K53" i="39"/>
  <c r="I53" i="39"/>
  <c r="H53" i="39"/>
  <c r="R53" i="39"/>
  <c r="O53" i="39"/>
  <c r="N53" i="39"/>
  <c r="J53" i="39"/>
  <c r="N50" i="39"/>
  <c r="M50" i="39"/>
  <c r="K50" i="39"/>
  <c r="J50" i="39"/>
  <c r="Q50" i="39"/>
  <c r="O50" i="39"/>
  <c r="L50" i="39"/>
  <c r="Q47" i="39"/>
  <c r="P47" i="39"/>
  <c r="I47" i="39"/>
  <c r="H47" i="39"/>
  <c r="R47" i="39"/>
  <c r="M47" i="39"/>
  <c r="J47" i="39"/>
  <c r="R44" i="39"/>
  <c r="K44" i="39"/>
  <c r="J44" i="39"/>
  <c r="I44" i="39"/>
  <c r="P44" i="39"/>
  <c r="L44" i="39"/>
  <c r="H44" i="39"/>
  <c r="O38" i="39"/>
  <c r="N38" i="39"/>
  <c r="M38" i="39"/>
  <c r="R35" i="39"/>
  <c r="Q35" i="39"/>
  <c r="O35" i="39"/>
  <c r="K35" i="39"/>
  <c r="J35" i="39"/>
  <c r="I35" i="39"/>
  <c r="H35" i="39"/>
  <c r="N32" i="39"/>
  <c r="K32" i="39"/>
  <c r="J32" i="39"/>
  <c r="P29" i="39"/>
  <c r="Q29" i="39"/>
  <c r="K26" i="39"/>
  <c r="J26" i="39"/>
  <c r="P26" i="39"/>
  <c r="H26" i="39"/>
  <c r="N23" i="39"/>
  <c r="M23" i="39"/>
  <c r="K23" i="39"/>
  <c r="J23" i="39"/>
  <c r="J20" i="39"/>
  <c r="O20" i="39"/>
  <c r="H20" i="39"/>
  <c r="L17" i="39"/>
  <c r="I17" i="39"/>
  <c r="H17" i="39"/>
  <c r="R17" i="39"/>
  <c r="M17" i="39"/>
  <c r="N14" i="39"/>
  <c r="M14" i="39"/>
  <c r="O14" i="39"/>
  <c r="L14" i="39"/>
  <c r="P11" i="39"/>
  <c r="O11" i="39"/>
  <c r="I11" i="39"/>
  <c r="R11" i="39"/>
  <c r="Q11" i="39"/>
  <c r="K11" i="39"/>
  <c r="J11" i="39"/>
  <c r="R8" i="39"/>
  <c r="P8" i="39"/>
  <c r="D24" i="38"/>
  <c r="D63" i="38" s="1"/>
  <c r="E63" i="38" s="1"/>
  <c r="F63" i="38" s="1"/>
  <c r="I67" i="38"/>
  <c r="J67" i="38" s="1"/>
  <c r="K67" i="38" s="1"/>
  <c r="L67" i="38" s="1"/>
  <c r="M67" i="38" s="1"/>
  <c r="N67" i="38" s="1"/>
  <c r="O67" i="38" s="1"/>
  <c r="P67" i="38" s="1"/>
  <c r="Q67" i="38" s="1"/>
  <c r="R67" i="38" s="1"/>
  <c r="S67" i="38" s="1"/>
  <c r="T67" i="38" s="1"/>
  <c r="U67" i="38" s="1"/>
  <c r="V67" i="38" s="1"/>
  <c r="D67" i="38"/>
  <c r="E67" i="38" s="1"/>
  <c r="F67" i="38" s="1"/>
  <c r="I66" i="38"/>
  <c r="J66" i="38" s="1"/>
  <c r="K66" i="38" s="1"/>
  <c r="L66" i="38" s="1"/>
  <c r="M66" i="38" s="1"/>
  <c r="N66" i="38" s="1"/>
  <c r="O66" i="38" s="1"/>
  <c r="P66" i="38" s="1"/>
  <c r="Q66" i="38" s="1"/>
  <c r="R66" i="38" s="1"/>
  <c r="S66" i="38" s="1"/>
  <c r="T66" i="38" s="1"/>
  <c r="U66" i="38" s="1"/>
  <c r="V66" i="38" s="1"/>
  <c r="D66" i="38"/>
  <c r="E66" i="38" s="1"/>
  <c r="F66" i="38" s="1"/>
  <c r="J65" i="38"/>
  <c r="K65" i="38" s="1"/>
  <c r="L65" i="38" s="1"/>
  <c r="M65" i="38" s="1"/>
  <c r="N65" i="38" s="1"/>
  <c r="O65" i="38" s="1"/>
  <c r="P65" i="38" s="1"/>
  <c r="Q65" i="38" s="1"/>
  <c r="R65" i="38" s="1"/>
  <c r="S65" i="38" s="1"/>
  <c r="T65" i="38" s="1"/>
  <c r="U65" i="38" s="1"/>
  <c r="V65" i="38" s="1"/>
  <c r="I65" i="38"/>
  <c r="E65" i="38"/>
  <c r="F65" i="38" s="1"/>
  <c r="D65" i="38"/>
  <c r="I64" i="38"/>
  <c r="J64" i="38" s="1"/>
  <c r="K64" i="38" s="1"/>
  <c r="L64" i="38" s="1"/>
  <c r="M64" i="38" s="1"/>
  <c r="N64" i="38" s="1"/>
  <c r="O64" i="38" s="1"/>
  <c r="P64" i="38" s="1"/>
  <c r="Q64" i="38" s="1"/>
  <c r="R64" i="38" s="1"/>
  <c r="S64" i="38" s="1"/>
  <c r="T64" i="38" s="1"/>
  <c r="U64" i="38" s="1"/>
  <c r="V64" i="38" s="1"/>
  <c r="D64" i="38"/>
  <c r="E64" i="38" s="1"/>
  <c r="F64" i="38" s="1"/>
  <c r="I63" i="38"/>
  <c r="J63" i="38" s="1"/>
  <c r="K63" i="38" s="1"/>
  <c r="L63" i="38" s="1"/>
  <c r="M63" i="38" s="1"/>
  <c r="N63" i="38" s="1"/>
  <c r="O63" i="38" s="1"/>
  <c r="P63" i="38" s="1"/>
  <c r="Q63" i="38" s="1"/>
  <c r="R63" i="38" s="1"/>
  <c r="S63" i="38" s="1"/>
  <c r="T63" i="38" s="1"/>
  <c r="U63" i="38" s="1"/>
  <c r="V63" i="38" s="1"/>
  <c r="I62" i="38"/>
  <c r="J62" i="38" s="1"/>
  <c r="K62" i="38" s="1"/>
  <c r="L62" i="38" s="1"/>
  <c r="M62" i="38" s="1"/>
  <c r="N62" i="38" s="1"/>
  <c r="O62" i="38" s="1"/>
  <c r="P62" i="38" s="1"/>
  <c r="Q62" i="38" s="1"/>
  <c r="R62" i="38" s="1"/>
  <c r="S62" i="38" s="1"/>
  <c r="T62" i="38" s="1"/>
  <c r="U62" i="38" s="1"/>
  <c r="V62" i="38" s="1"/>
  <c r="D62" i="38"/>
  <c r="E62" i="38" s="1"/>
  <c r="F62" i="38" s="1"/>
  <c r="I61" i="38"/>
  <c r="J61" i="38" s="1"/>
  <c r="K61" i="38" s="1"/>
  <c r="L61" i="38" s="1"/>
  <c r="M61" i="38" s="1"/>
  <c r="N61" i="38" s="1"/>
  <c r="O61" i="38" s="1"/>
  <c r="P61" i="38" s="1"/>
  <c r="Q61" i="38" s="1"/>
  <c r="R61" i="38" s="1"/>
  <c r="S61" i="38" s="1"/>
  <c r="T61" i="38" s="1"/>
  <c r="U61" i="38" s="1"/>
  <c r="V61" i="38" s="1"/>
  <c r="D61" i="38"/>
  <c r="E61" i="38" s="1"/>
  <c r="F61" i="38" s="1"/>
  <c r="I60" i="38"/>
  <c r="J60" i="38" s="1"/>
  <c r="K60" i="38" s="1"/>
  <c r="L60" i="38" s="1"/>
  <c r="M60" i="38" s="1"/>
  <c r="N60" i="38" s="1"/>
  <c r="O60" i="38" s="1"/>
  <c r="P60" i="38" s="1"/>
  <c r="Q60" i="38" s="1"/>
  <c r="R60" i="38" s="1"/>
  <c r="S60" i="38" s="1"/>
  <c r="T60" i="38" s="1"/>
  <c r="U60" i="38" s="1"/>
  <c r="V60" i="38" s="1"/>
  <c r="D60" i="38"/>
  <c r="E60" i="38" s="1"/>
  <c r="F60" i="38" s="1"/>
  <c r="I59" i="38"/>
  <c r="J59" i="38" s="1"/>
  <c r="K59" i="38" s="1"/>
  <c r="L59" i="38" s="1"/>
  <c r="M59" i="38" s="1"/>
  <c r="N59" i="38" s="1"/>
  <c r="O59" i="38" s="1"/>
  <c r="P59" i="38" s="1"/>
  <c r="Q59" i="38" s="1"/>
  <c r="R59" i="38" s="1"/>
  <c r="S59" i="38" s="1"/>
  <c r="T59" i="38" s="1"/>
  <c r="U59" i="38" s="1"/>
  <c r="V59" i="38" s="1"/>
  <c r="D59" i="38"/>
  <c r="E59" i="38" s="1"/>
  <c r="F59" i="38" s="1"/>
  <c r="I58" i="38"/>
  <c r="J58" i="38" s="1"/>
  <c r="K58" i="38" s="1"/>
  <c r="L58" i="38" s="1"/>
  <c r="M58" i="38" s="1"/>
  <c r="N58" i="38" s="1"/>
  <c r="O58" i="38" s="1"/>
  <c r="P58" i="38" s="1"/>
  <c r="Q58" i="38" s="1"/>
  <c r="R58" i="38" s="1"/>
  <c r="S58" i="38" s="1"/>
  <c r="T58" i="38" s="1"/>
  <c r="U58" i="38" s="1"/>
  <c r="V58" i="38" s="1"/>
  <c r="D58" i="38"/>
  <c r="E58" i="38" s="1"/>
  <c r="F58" i="38" s="1"/>
  <c r="I57" i="38"/>
  <c r="J57" i="38" s="1"/>
  <c r="K57" i="38" s="1"/>
  <c r="L57" i="38" s="1"/>
  <c r="M57" i="38" s="1"/>
  <c r="N57" i="38" s="1"/>
  <c r="O57" i="38" s="1"/>
  <c r="P57" i="38" s="1"/>
  <c r="Q57" i="38" s="1"/>
  <c r="R57" i="38" s="1"/>
  <c r="S57" i="38" s="1"/>
  <c r="T57" i="38" s="1"/>
  <c r="U57" i="38" s="1"/>
  <c r="V57" i="38" s="1"/>
  <c r="D57" i="38"/>
  <c r="E57" i="38" s="1"/>
  <c r="F57" i="38" s="1"/>
  <c r="I56" i="38"/>
  <c r="J56" i="38" s="1"/>
  <c r="K56" i="38" s="1"/>
  <c r="L56" i="38" s="1"/>
  <c r="M56" i="38" s="1"/>
  <c r="N56" i="38" s="1"/>
  <c r="O56" i="38" s="1"/>
  <c r="P56" i="38" s="1"/>
  <c r="Q56" i="38" s="1"/>
  <c r="R56" i="38" s="1"/>
  <c r="S56" i="38" s="1"/>
  <c r="T56" i="38" s="1"/>
  <c r="U56" i="38" s="1"/>
  <c r="V56" i="38" s="1"/>
  <c r="D56" i="38"/>
  <c r="E56" i="38" s="1"/>
  <c r="F56" i="38" s="1"/>
  <c r="I55" i="38"/>
  <c r="J55" i="38" s="1"/>
  <c r="K55" i="38" s="1"/>
  <c r="L55" i="38" s="1"/>
  <c r="M55" i="38" s="1"/>
  <c r="N55" i="38" s="1"/>
  <c r="O55" i="38" s="1"/>
  <c r="P55" i="38" s="1"/>
  <c r="Q55" i="38" s="1"/>
  <c r="R55" i="38" s="1"/>
  <c r="S55" i="38" s="1"/>
  <c r="T55" i="38" s="1"/>
  <c r="U55" i="38" s="1"/>
  <c r="V55" i="38" s="1"/>
  <c r="D55" i="38"/>
  <c r="E55" i="38" s="1"/>
  <c r="F55" i="38" s="1"/>
  <c r="I54" i="38"/>
  <c r="J54" i="38" s="1"/>
  <c r="K54" i="38" s="1"/>
  <c r="L54" i="38" s="1"/>
  <c r="M54" i="38" s="1"/>
  <c r="N54" i="38" s="1"/>
  <c r="O54" i="38" s="1"/>
  <c r="P54" i="38" s="1"/>
  <c r="Q54" i="38" s="1"/>
  <c r="R54" i="38" s="1"/>
  <c r="S54" i="38" s="1"/>
  <c r="T54" i="38" s="1"/>
  <c r="U54" i="38" s="1"/>
  <c r="V54" i="38" s="1"/>
  <c r="D54" i="38"/>
  <c r="E54" i="38" s="1"/>
  <c r="F54" i="38" s="1"/>
  <c r="I53" i="38"/>
  <c r="J53" i="38" s="1"/>
  <c r="K53" i="38" s="1"/>
  <c r="L53" i="38" s="1"/>
  <c r="M53" i="38" s="1"/>
  <c r="N53" i="38" s="1"/>
  <c r="O53" i="38" s="1"/>
  <c r="P53" i="38" s="1"/>
  <c r="Q53" i="38" s="1"/>
  <c r="R53" i="38" s="1"/>
  <c r="S53" i="38" s="1"/>
  <c r="T53" i="38" s="1"/>
  <c r="U53" i="38" s="1"/>
  <c r="V53" i="38" s="1"/>
  <c r="D53" i="38"/>
  <c r="E53" i="38" s="1"/>
  <c r="F53" i="38" s="1"/>
  <c r="I52" i="38"/>
  <c r="J52" i="38" s="1"/>
  <c r="K52" i="38" s="1"/>
  <c r="L52" i="38" s="1"/>
  <c r="M52" i="38" s="1"/>
  <c r="N52" i="38" s="1"/>
  <c r="O52" i="38" s="1"/>
  <c r="P52" i="38" s="1"/>
  <c r="Q52" i="38" s="1"/>
  <c r="R52" i="38" s="1"/>
  <c r="S52" i="38" s="1"/>
  <c r="T52" i="38" s="1"/>
  <c r="U52" i="38" s="1"/>
  <c r="V52" i="38" s="1"/>
  <c r="E52" i="38"/>
  <c r="F52" i="38" s="1"/>
  <c r="D52" i="38"/>
  <c r="I51" i="38"/>
  <c r="J51" i="38" s="1"/>
  <c r="K51" i="38" s="1"/>
  <c r="L51" i="38" s="1"/>
  <c r="M51" i="38" s="1"/>
  <c r="N51" i="38" s="1"/>
  <c r="O51" i="38" s="1"/>
  <c r="P51" i="38" s="1"/>
  <c r="Q51" i="38" s="1"/>
  <c r="R51" i="38" s="1"/>
  <c r="S51" i="38" s="1"/>
  <c r="T51" i="38" s="1"/>
  <c r="U51" i="38" s="1"/>
  <c r="V51" i="38" s="1"/>
  <c r="D51" i="38"/>
  <c r="E51" i="38" s="1"/>
  <c r="F51" i="38" s="1"/>
  <c r="I50" i="38"/>
  <c r="J50" i="38" s="1"/>
  <c r="K50" i="38" s="1"/>
  <c r="L50" i="38" s="1"/>
  <c r="M50" i="38" s="1"/>
  <c r="N50" i="38" s="1"/>
  <c r="O50" i="38" s="1"/>
  <c r="P50" i="38" s="1"/>
  <c r="Q50" i="38" s="1"/>
  <c r="R50" i="38" s="1"/>
  <c r="S50" i="38" s="1"/>
  <c r="T50" i="38" s="1"/>
  <c r="U50" i="38" s="1"/>
  <c r="V50" i="38" s="1"/>
  <c r="D50" i="38"/>
  <c r="E50" i="38" s="1"/>
  <c r="F50" i="38" s="1"/>
  <c r="I49" i="38"/>
  <c r="J49" i="38" s="1"/>
  <c r="K49" i="38" s="1"/>
  <c r="L49" i="38" s="1"/>
  <c r="M49" i="38" s="1"/>
  <c r="N49" i="38" s="1"/>
  <c r="O49" i="38" s="1"/>
  <c r="P49" i="38" s="1"/>
  <c r="Q49" i="38" s="1"/>
  <c r="R49" i="38" s="1"/>
  <c r="S49" i="38" s="1"/>
  <c r="T49" i="38" s="1"/>
  <c r="U49" i="38" s="1"/>
  <c r="V49" i="38" s="1"/>
  <c r="E49" i="38"/>
  <c r="F49" i="38" s="1"/>
  <c r="D49" i="38"/>
  <c r="I48" i="38"/>
  <c r="J48" i="38" s="1"/>
  <c r="K48" i="38" s="1"/>
  <c r="L48" i="38" s="1"/>
  <c r="M48" i="38" s="1"/>
  <c r="N48" i="38" s="1"/>
  <c r="O48" i="38" s="1"/>
  <c r="P48" i="38" s="1"/>
  <c r="Q48" i="38" s="1"/>
  <c r="R48" i="38" s="1"/>
  <c r="S48" i="38" s="1"/>
  <c r="T48" i="38" s="1"/>
  <c r="U48" i="38" s="1"/>
  <c r="V48" i="38" s="1"/>
  <c r="D48" i="38"/>
  <c r="E48" i="38" s="1"/>
  <c r="F48" i="38" s="1"/>
  <c r="J47" i="38"/>
  <c r="K47" i="38" s="1"/>
  <c r="L47" i="38" s="1"/>
  <c r="M47" i="38" s="1"/>
  <c r="N47" i="38" s="1"/>
  <c r="O47" i="38" s="1"/>
  <c r="P47" i="38" s="1"/>
  <c r="Q47" i="38" s="1"/>
  <c r="R47" i="38" s="1"/>
  <c r="S47" i="38" s="1"/>
  <c r="T47" i="38" s="1"/>
  <c r="U47" i="38" s="1"/>
  <c r="V47" i="38" s="1"/>
  <c r="I47" i="38"/>
  <c r="D47" i="38"/>
  <c r="E47" i="38" s="1"/>
  <c r="F47" i="38" s="1"/>
  <c r="I46" i="38"/>
  <c r="J46" i="38" s="1"/>
  <c r="K46" i="38" s="1"/>
  <c r="L46" i="38" s="1"/>
  <c r="M46" i="38" s="1"/>
  <c r="N46" i="38" s="1"/>
  <c r="O46" i="38" s="1"/>
  <c r="P46" i="38" s="1"/>
  <c r="Q46" i="38" s="1"/>
  <c r="R46" i="38" s="1"/>
  <c r="S46" i="38" s="1"/>
  <c r="T46" i="38" s="1"/>
  <c r="U46" i="38" s="1"/>
  <c r="V46" i="38" s="1"/>
  <c r="D46" i="38"/>
  <c r="E46" i="38" s="1"/>
  <c r="F46" i="38" s="1"/>
  <c r="I45" i="38"/>
  <c r="J45" i="38" s="1"/>
  <c r="K45" i="38" s="1"/>
  <c r="L45" i="38" s="1"/>
  <c r="M45" i="38" s="1"/>
  <c r="N45" i="38" s="1"/>
  <c r="O45" i="38" s="1"/>
  <c r="P45" i="38" s="1"/>
  <c r="Q45" i="38" s="1"/>
  <c r="R45" i="38" s="1"/>
  <c r="S45" i="38" s="1"/>
  <c r="T45" i="38" s="1"/>
  <c r="U45" i="38" s="1"/>
  <c r="V45" i="38" s="1"/>
  <c r="H45" i="38"/>
  <c r="G45" i="38"/>
  <c r="D45" i="38"/>
  <c r="E45" i="38" s="1"/>
  <c r="F45" i="38" s="1"/>
  <c r="AM44" i="38"/>
  <c r="I44" i="38"/>
  <c r="J44" i="38" s="1"/>
  <c r="K44" i="38" s="1"/>
  <c r="L44" i="38" s="1"/>
  <c r="M44" i="38" s="1"/>
  <c r="N44" i="38" s="1"/>
  <c r="O44" i="38" s="1"/>
  <c r="P44" i="38" s="1"/>
  <c r="Q44" i="38" s="1"/>
  <c r="R44" i="38" s="1"/>
  <c r="S44" i="38" s="1"/>
  <c r="T44" i="38" s="1"/>
  <c r="U44" i="38" s="1"/>
  <c r="V44" i="38" s="1"/>
  <c r="D44" i="38"/>
  <c r="E44" i="38" s="1"/>
  <c r="F44" i="38" s="1"/>
  <c r="AG42" i="38"/>
  <c r="AA42" i="38"/>
  <c r="Z42" i="38"/>
  <c r="T42" i="38"/>
  <c r="S42" i="38"/>
  <c r="M42" i="38"/>
  <c r="L42" i="38"/>
  <c r="F42" i="38"/>
  <c r="E42" i="38"/>
  <c r="AF40" i="38"/>
  <c r="AF41" i="38" s="1"/>
  <c r="O40" i="38"/>
  <c r="AE39" i="38"/>
  <c r="AC39" i="38"/>
  <c r="T37" i="38"/>
  <c r="N36" i="38"/>
  <c r="L36" i="38"/>
  <c r="AJ32" i="38"/>
  <c r="AH32" i="38"/>
  <c r="AG32" i="38"/>
  <c r="AF32" i="38"/>
  <c r="AC32" i="38"/>
  <c r="AB32" i="38"/>
  <c r="Y32" i="38"/>
  <c r="X32" i="38"/>
  <c r="V32" i="38"/>
  <c r="U32" i="38"/>
  <c r="T32" i="38"/>
  <c r="S32" i="38"/>
  <c r="R32" i="38"/>
  <c r="Q32" i="38"/>
  <c r="P32" i="38"/>
  <c r="O32" i="38"/>
  <c r="M32" i="38"/>
  <c r="L32" i="38"/>
  <c r="K32" i="38"/>
  <c r="J32" i="38"/>
  <c r="I32" i="38"/>
  <c r="H32" i="38"/>
  <c r="G32" i="38"/>
  <c r="F32" i="38"/>
  <c r="E32" i="38"/>
  <c r="D32" i="38"/>
  <c r="BO31" i="38"/>
  <c r="BN31" i="38"/>
  <c r="BM31" i="38"/>
  <c r="BL31" i="38"/>
  <c r="BK31" i="38"/>
  <c r="BJ31" i="38"/>
  <c r="BI31" i="38"/>
  <c r="BH31" i="38"/>
  <c r="BG31" i="38"/>
  <c r="BF31" i="38"/>
  <c r="BE31" i="38"/>
  <c r="BD31" i="38"/>
  <c r="BC31" i="38"/>
  <c r="BB31" i="38"/>
  <c r="BA31" i="38"/>
  <c r="AZ31" i="38"/>
  <c r="AY31" i="38"/>
  <c r="AX31" i="38"/>
  <c r="AW31" i="38"/>
  <c r="AV31" i="38"/>
  <c r="AU31" i="38"/>
  <c r="AT31" i="38"/>
  <c r="AS31" i="38"/>
  <c r="AR31" i="38"/>
  <c r="AQ31" i="38"/>
  <c r="AP31" i="38"/>
  <c r="AO31" i="38"/>
  <c r="AN31" i="38"/>
  <c r="AM31" i="38"/>
  <c r="AL31" i="38"/>
  <c r="AI31" i="38"/>
  <c r="BP31" i="38" s="1"/>
  <c r="BO30" i="38"/>
  <c r="BN30" i="38"/>
  <c r="BM30" i="38"/>
  <c r="BL30" i="38"/>
  <c r="BK30" i="38"/>
  <c r="BJ30" i="38"/>
  <c r="BI30" i="38"/>
  <c r="BH30" i="38"/>
  <c r="BG30" i="38"/>
  <c r="BF30" i="38"/>
  <c r="BE30" i="38"/>
  <c r="BD30" i="38"/>
  <c r="BC30" i="38"/>
  <c r="BB30" i="38"/>
  <c r="BA30" i="38"/>
  <c r="AZ30" i="38"/>
  <c r="AY30" i="38"/>
  <c r="AX30" i="38"/>
  <c r="AW30" i="38"/>
  <c r="AV30" i="38"/>
  <c r="AU30" i="38"/>
  <c r="AT30" i="38"/>
  <c r="AS30" i="38"/>
  <c r="AR30" i="38"/>
  <c r="AQ30" i="38"/>
  <c r="AP30" i="38"/>
  <c r="AO30" i="38"/>
  <c r="AN30" i="38"/>
  <c r="AM30" i="38"/>
  <c r="AL30" i="38"/>
  <c r="AK30" i="38"/>
  <c r="AI30" i="38"/>
  <c r="BP30" i="38" s="1"/>
  <c r="BO29" i="38"/>
  <c r="BN29" i="38"/>
  <c r="BM29" i="38"/>
  <c r="BL29" i="38"/>
  <c r="BK29" i="38"/>
  <c r="BJ29" i="38"/>
  <c r="BI29" i="38"/>
  <c r="BH29" i="38"/>
  <c r="BG29" i="38"/>
  <c r="BF29" i="38"/>
  <c r="BE29" i="38"/>
  <c r="BD29" i="38"/>
  <c r="BC29" i="38"/>
  <c r="BB29" i="38"/>
  <c r="BA29" i="38"/>
  <c r="AZ29" i="38"/>
  <c r="AY29" i="38"/>
  <c r="AX29" i="38"/>
  <c r="AW29" i="38"/>
  <c r="AV29" i="38"/>
  <c r="AU29" i="38"/>
  <c r="AT29" i="38"/>
  <c r="AS29" i="38"/>
  <c r="AR29" i="38"/>
  <c r="AQ29" i="38"/>
  <c r="AP29" i="38"/>
  <c r="AO29" i="38"/>
  <c r="AN29" i="38"/>
  <c r="AM29" i="38"/>
  <c r="AL29" i="38"/>
  <c r="AK29" i="38"/>
  <c r="AI29" i="38"/>
  <c r="BP29" i="38" s="1"/>
  <c r="BO28" i="38"/>
  <c r="BN28" i="38"/>
  <c r="BM28" i="38"/>
  <c r="BL28" i="38"/>
  <c r="BK28" i="38"/>
  <c r="BJ28" i="38"/>
  <c r="BI28" i="38"/>
  <c r="BH28" i="38"/>
  <c r="BG28" i="38"/>
  <c r="BF28" i="38"/>
  <c r="BE28" i="38"/>
  <c r="BD28" i="38"/>
  <c r="BC28" i="38"/>
  <c r="BB28" i="38"/>
  <c r="BA28" i="38"/>
  <c r="AZ28" i="38"/>
  <c r="AY28" i="38"/>
  <c r="AX28" i="38"/>
  <c r="AW28" i="38"/>
  <c r="AV28" i="38"/>
  <c r="AU28" i="38"/>
  <c r="AT28" i="38"/>
  <c r="AS28" i="38"/>
  <c r="AR28" i="38"/>
  <c r="AQ28" i="38"/>
  <c r="AP28" i="38"/>
  <c r="AO28" i="38"/>
  <c r="AN28" i="38"/>
  <c r="AM28" i="38"/>
  <c r="AL28" i="38"/>
  <c r="AK28" i="38"/>
  <c r="AI28" i="38"/>
  <c r="BP28" i="38" s="1"/>
  <c r="BO27" i="38"/>
  <c r="BN27" i="38"/>
  <c r="BM27" i="38"/>
  <c r="BL27" i="38"/>
  <c r="BK27" i="38"/>
  <c r="BJ27" i="38"/>
  <c r="BI27" i="38"/>
  <c r="BH27" i="38"/>
  <c r="BG27" i="38"/>
  <c r="BF27" i="38"/>
  <c r="BE27" i="38"/>
  <c r="BD27" i="38"/>
  <c r="BC27" i="38"/>
  <c r="BB27" i="38"/>
  <c r="BA27" i="38"/>
  <c r="AZ27" i="38"/>
  <c r="AY27" i="38"/>
  <c r="AX27" i="38"/>
  <c r="AW27" i="38"/>
  <c r="AV27" i="38"/>
  <c r="AU27" i="38"/>
  <c r="AT27" i="38"/>
  <c r="AS27" i="38"/>
  <c r="AR27" i="38"/>
  <c r="AQ27" i="38"/>
  <c r="AP27" i="38"/>
  <c r="AO27" i="38"/>
  <c r="AN27" i="38"/>
  <c r="AM27" i="38"/>
  <c r="AL27" i="38"/>
  <c r="AK27" i="38"/>
  <c r="AI27" i="38"/>
  <c r="BP27" i="38" s="1"/>
  <c r="BO26" i="38"/>
  <c r="BN26" i="38"/>
  <c r="BM26" i="38"/>
  <c r="BL26" i="38"/>
  <c r="BK26" i="38"/>
  <c r="BJ26" i="38"/>
  <c r="BI26" i="38"/>
  <c r="BH26" i="38"/>
  <c r="BG26" i="38"/>
  <c r="BF26" i="38"/>
  <c r="BE26" i="38"/>
  <c r="BD26" i="38"/>
  <c r="BC26" i="38"/>
  <c r="BB26" i="38"/>
  <c r="BA26" i="38"/>
  <c r="AZ26" i="38"/>
  <c r="AY26" i="38"/>
  <c r="AX26" i="38"/>
  <c r="AW26" i="38"/>
  <c r="AV26" i="38"/>
  <c r="AU26" i="38"/>
  <c r="AT26" i="38"/>
  <c r="AS26" i="38"/>
  <c r="AR26" i="38"/>
  <c r="AQ26" i="38"/>
  <c r="AP26" i="38"/>
  <c r="AO26" i="38"/>
  <c r="AN26" i="38"/>
  <c r="AM26" i="38"/>
  <c r="AL26" i="38"/>
  <c r="AK26" i="38"/>
  <c r="AI26" i="38"/>
  <c r="BP26" i="38" s="1"/>
  <c r="BO25" i="38"/>
  <c r="BN25" i="38"/>
  <c r="BM25" i="38"/>
  <c r="BL25" i="38"/>
  <c r="BK25" i="38"/>
  <c r="BJ25" i="38"/>
  <c r="BI25" i="38"/>
  <c r="BH25" i="38"/>
  <c r="BG25" i="38"/>
  <c r="BF25" i="38"/>
  <c r="BE25" i="38"/>
  <c r="BD25" i="38"/>
  <c r="BC25" i="38"/>
  <c r="BB25" i="38"/>
  <c r="BA25" i="38"/>
  <c r="AZ25" i="38"/>
  <c r="AY25" i="38"/>
  <c r="AX25" i="38"/>
  <c r="AW25" i="38"/>
  <c r="AV25" i="38"/>
  <c r="AU25" i="38"/>
  <c r="AT25" i="38"/>
  <c r="AS25" i="38"/>
  <c r="AR25" i="38"/>
  <c r="AQ25" i="38"/>
  <c r="AP25" i="38"/>
  <c r="AO25" i="38"/>
  <c r="AN25" i="38"/>
  <c r="AM25" i="38"/>
  <c r="AL25" i="38"/>
  <c r="AK25" i="38"/>
  <c r="AI25" i="38"/>
  <c r="BP25" i="38" s="1"/>
  <c r="BO24" i="38"/>
  <c r="BN24" i="38"/>
  <c r="BM24" i="38"/>
  <c r="BK24" i="38"/>
  <c r="BJ24" i="38"/>
  <c r="BI24" i="38"/>
  <c r="BH24" i="38"/>
  <c r="BG24" i="38"/>
  <c r="BF24" i="38"/>
  <c r="BE24" i="38"/>
  <c r="BD24" i="38"/>
  <c r="BC24" i="38"/>
  <c r="BB24" i="38"/>
  <c r="BA24" i="38"/>
  <c r="AZ24" i="38"/>
  <c r="AY24" i="38"/>
  <c r="AX24" i="38"/>
  <c r="AV24" i="38"/>
  <c r="AU24" i="38"/>
  <c r="AT24" i="38"/>
  <c r="AS24" i="38"/>
  <c r="AR24" i="38"/>
  <c r="AQ24" i="38"/>
  <c r="AP24" i="38"/>
  <c r="AO24" i="38"/>
  <c r="AN24" i="38"/>
  <c r="AM24" i="38"/>
  <c r="AL24" i="38"/>
  <c r="AK24" i="38"/>
  <c r="BL24" i="38"/>
  <c r="AA32" i="38"/>
  <c r="Z32" i="38"/>
  <c r="W32" i="38"/>
  <c r="AW24" i="38"/>
  <c r="N32" i="38"/>
  <c r="BO23" i="38"/>
  <c r="BN23" i="38"/>
  <c r="BM23" i="38"/>
  <c r="BL23" i="38"/>
  <c r="BK23" i="38"/>
  <c r="BJ23" i="38"/>
  <c r="BI23" i="38"/>
  <c r="BH23" i="38"/>
  <c r="BG23" i="38"/>
  <c r="BF23" i="38"/>
  <c r="BE23" i="38"/>
  <c r="BD23" i="38"/>
  <c r="BC23" i="38"/>
  <c r="BB23" i="38"/>
  <c r="BA23" i="38"/>
  <c r="AZ23" i="38"/>
  <c r="AY23" i="38"/>
  <c r="AX23" i="38"/>
  <c r="AW23" i="38"/>
  <c r="AV23" i="38"/>
  <c r="AU23" i="38"/>
  <c r="AT23" i="38"/>
  <c r="AS23" i="38"/>
  <c r="AR23" i="38"/>
  <c r="AQ23" i="38"/>
  <c r="AP23" i="38"/>
  <c r="AO23" i="38"/>
  <c r="AN23" i="38"/>
  <c r="AM23" i="38"/>
  <c r="AL23" i="38"/>
  <c r="AK23" i="38"/>
  <c r="AI23" i="38"/>
  <c r="BP23" i="38" s="1"/>
  <c r="BO22" i="38"/>
  <c r="BN22" i="38"/>
  <c r="BM22" i="38"/>
  <c r="BL22" i="38"/>
  <c r="BK22" i="38"/>
  <c r="BJ22" i="38"/>
  <c r="BI22" i="38"/>
  <c r="BH22" i="38"/>
  <c r="BG22" i="38"/>
  <c r="BF22" i="38"/>
  <c r="BE22" i="38"/>
  <c r="BD22" i="38"/>
  <c r="BC22" i="38"/>
  <c r="BB22" i="38"/>
  <c r="BA22" i="38"/>
  <c r="AZ22" i="38"/>
  <c r="AY22" i="38"/>
  <c r="AX22" i="38"/>
  <c r="AW22" i="38"/>
  <c r="AV22" i="38"/>
  <c r="AU22" i="38"/>
  <c r="AT22" i="38"/>
  <c r="AS22" i="38"/>
  <c r="AR22" i="38"/>
  <c r="AQ22" i="38"/>
  <c r="AP22" i="38"/>
  <c r="AO22" i="38"/>
  <c r="AN22" i="38"/>
  <c r="AM22" i="38"/>
  <c r="AL22" i="38"/>
  <c r="AK22" i="38"/>
  <c r="AI22" i="38"/>
  <c r="BP22" i="38" s="1"/>
  <c r="BO21" i="38"/>
  <c r="BN21" i="38"/>
  <c r="BM21" i="38"/>
  <c r="BL21" i="38"/>
  <c r="BK21" i="38"/>
  <c r="BJ21" i="38"/>
  <c r="BI21" i="38"/>
  <c r="BH21" i="38"/>
  <c r="BG21" i="38"/>
  <c r="BF21" i="38"/>
  <c r="BE21" i="38"/>
  <c r="BD21" i="38"/>
  <c r="BC21" i="38"/>
  <c r="BB21" i="38"/>
  <c r="BA21" i="38"/>
  <c r="AZ21" i="38"/>
  <c r="AY21" i="38"/>
  <c r="AX21" i="38"/>
  <c r="AW21" i="38"/>
  <c r="AV21" i="38"/>
  <c r="AU21" i="38"/>
  <c r="AT21" i="38"/>
  <c r="AS21" i="38"/>
  <c r="AR21" i="38"/>
  <c r="AQ21" i="38"/>
  <c r="AP21" i="38"/>
  <c r="AO21" i="38"/>
  <c r="AN21" i="38"/>
  <c r="AM21" i="38"/>
  <c r="AL21" i="38"/>
  <c r="AK21" i="38"/>
  <c r="AI21" i="38"/>
  <c r="BP21" i="38" s="1"/>
  <c r="BO20" i="38"/>
  <c r="BN20" i="38"/>
  <c r="BM20" i="38"/>
  <c r="BL20" i="38"/>
  <c r="BK20" i="38"/>
  <c r="BJ20" i="38"/>
  <c r="BI20" i="38"/>
  <c r="BH20" i="38"/>
  <c r="BG20" i="38"/>
  <c r="BF20" i="38"/>
  <c r="BE20" i="38"/>
  <c r="BD20" i="38"/>
  <c r="BC20" i="38"/>
  <c r="BB20" i="38"/>
  <c r="BA20" i="38"/>
  <c r="AZ20" i="38"/>
  <c r="AY20" i="38"/>
  <c r="AX20" i="38"/>
  <c r="AW20" i="38"/>
  <c r="AV20" i="38"/>
  <c r="AU20" i="38"/>
  <c r="AT20" i="38"/>
  <c r="AS20" i="38"/>
  <c r="AR20" i="38"/>
  <c r="AQ20" i="38"/>
  <c r="AP20" i="38"/>
  <c r="AO20" i="38"/>
  <c r="AN20" i="38"/>
  <c r="AM20" i="38"/>
  <c r="AL20" i="38"/>
  <c r="AK20" i="38"/>
  <c r="AI20" i="38"/>
  <c r="BP20" i="38" s="1"/>
  <c r="BO19" i="38"/>
  <c r="BN19" i="38"/>
  <c r="BM19" i="38"/>
  <c r="BL19" i="38"/>
  <c r="BK19" i="38"/>
  <c r="BJ19" i="38"/>
  <c r="BI19" i="38"/>
  <c r="BH19" i="38"/>
  <c r="BG19" i="38"/>
  <c r="BF19" i="38"/>
  <c r="BE19" i="38"/>
  <c r="BD19" i="38"/>
  <c r="BC19" i="38"/>
  <c r="BB19" i="38"/>
  <c r="BA19" i="38"/>
  <c r="AZ19" i="38"/>
  <c r="AY19" i="38"/>
  <c r="AX19" i="38"/>
  <c r="AW19" i="38"/>
  <c r="AV19" i="38"/>
  <c r="AU19" i="38"/>
  <c r="AT19" i="38"/>
  <c r="AS19" i="38"/>
  <c r="AR19" i="38"/>
  <c r="AQ19" i="38"/>
  <c r="AP19" i="38"/>
  <c r="AO19" i="38"/>
  <c r="AN19" i="38"/>
  <c r="AM19" i="38"/>
  <c r="AL19" i="38"/>
  <c r="AK19" i="38"/>
  <c r="AI19" i="38"/>
  <c r="BP19" i="38" s="1"/>
  <c r="BO18" i="38"/>
  <c r="BN18" i="38"/>
  <c r="BM18" i="38"/>
  <c r="BL18" i="38"/>
  <c r="BK18" i="38"/>
  <c r="BJ18" i="38"/>
  <c r="BI18" i="38"/>
  <c r="BH18" i="38"/>
  <c r="BG18" i="38"/>
  <c r="BF18" i="38"/>
  <c r="BE18" i="38"/>
  <c r="BD18" i="38"/>
  <c r="BC18" i="38"/>
  <c r="BB18" i="38"/>
  <c r="BA18" i="38"/>
  <c r="AZ18" i="38"/>
  <c r="AY18" i="38"/>
  <c r="AX18" i="38"/>
  <c r="AW18" i="38"/>
  <c r="AV18" i="38"/>
  <c r="AU18" i="38"/>
  <c r="AT18" i="38"/>
  <c r="AS18" i="38"/>
  <c r="AR18" i="38"/>
  <c r="AQ18" i="38"/>
  <c r="AP18" i="38"/>
  <c r="AO18" i="38"/>
  <c r="AN18" i="38"/>
  <c r="AM18" i="38"/>
  <c r="AL18" i="38"/>
  <c r="AK18" i="38"/>
  <c r="AI18" i="38"/>
  <c r="BP18" i="38" s="1"/>
  <c r="BO17" i="38"/>
  <c r="BN17" i="38"/>
  <c r="BM17" i="38"/>
  <c r="BL17" i="38"/>
  <c r="BK17" i="38"/>
  <c r="BJ17" i="38"/>
  <c r="BI17" i="38"/>
  <c r="BH17" i="38"/>
  <c r="BG17" i="38"/>
  <c r="BF17" i="38"/>
  <c r="BE17" i="38"/>
  <c r="BD17" i="38"/>
  <c r="BC17" i="38"/>
  <c r="BB17" i="38"/>
  <c r="BA17" i="38"/>
  <c r="AZ17" i="38"/>
  <c r="AY17" i="38"/>
  <c r="AX17" i="38"/>
  <c r="AW17" i="38"/>
  <c r="AV17" i="38"/>
  <c r="AU17" i="38"/>
  <c r="AT17" i="38"/>
  <c r="AS17" i="38"/>
  <c r="AR17" i="38"/>
  <c r="AQ17" i="38"/>
  <c r="AP17" i="38"/>
  <c r="AO17" i="38"/>
  <c r="AN17" i="38"/>
  <c r="AM17" i="38"/>
  <c r="AL17" i="38"/>
  <c r="AK17" i="38"/>
  <c r="AI17" i="38"/>
  <c r="BP17" i="38" s="1"/>
  <c r="BO16" i="38"/>
  <c r="BN16" i="38"/>
  <c r="BM16" i="38"/>
  <c r="BL16" i="38"/>
  <c r="BK16" i="38"/>
  <c r="BJ16" i="38"/>
  <c r="BI16" i="38"/>
  <c r="BH16" i="38"/>
  <c r="BG16" i="38"/>
  <c r="BF16" i="38"/>
  <c r="BE16" i="38"/>
  <c r="BD16" i="38"/>
  <c r="BC16" i="38"/>
  <c r="BB16" i="38"/>
  <c r="BA16" i="38"/>
  <c r="AZ16" i="38"/>
  <c r="AY16" i="38"/>
  <c r="AX16" i="38"/>
  <c r="AW16" i="38"/>
  <c r="AV16" i="38"/>
  <c r="AU16" i="38"/>
  <c r="AT16" i="38"/>
  <c r="AS16" i="38"/>
  <c r="AR16" i="38"/>
  <c r="AQ16" i="38"/>
  <c r="AP16" i="38"/>
  <c r="AO16" i="38"/>
  <c r="AN16" i="38"/>
  <c r="AM16" i="38"/>
  <c r="AL16" i="38"/>
  <c r="AK16" i="38"/>
  <c r="AI16" i="38"/>
  <c r="BP16" i="38" s="1"/>
  <c r="BO15" i="38"/>
  <c r="BN15" i="38"/>
  <c r="BM15" i="38"/>
  <c r="BL15" i="38"/>
  <c r="BK15" i="38"/>
  <c r="BJ15" i="38"/>
  <c r="BI15" i="38"/>
  <c r="BH15" i="38"/>
  <c r="BG15" i="38"/>
  <c r="BF15" i="38"/>
  <c r="BE15" i="38"/>
  <c r="BD15" i="38"/>
  <c r="BC15" i="38"/>
  <c r="BB15" i="38"/>
  <c r="BA15" i="38"/>
  <c r="AZ15" i="38"/>
  <c r="AY15" i="38"/>
  <c r="AX15" i="38"/>
  <c r="AW15" i="38"/>
  <c r="AV15" i="38"/>
  <c r="AU15" i="38"/>
  <c r="AT15" i="38"/>
  <c r="AS15" i="38"/>
  <c r="AR15" i="38"/>
  <c r="AQ15" i="38"/>
  <c r="AP15" i="38"/>
  <c r="AO15" i="38"/>
  <c r="AN15" i="38"/>
  <c r="AM15" i="38"/>
  <c r="AL15" i="38"/>
  <c r="AK15" i="38"/>
  <c r="AI15" i="38"/>
  <c r="BP15" i="38" s="1"/>
  <c r="BO14" i="38"/>
  <c r="BN14" i="38"/>
  <c r="BM14" i="38"/>
  <c r="BL14" i="38"/>
  <c r="BK14" i="38"/>
  <c r="BJ14" i="38"/>
  <c r="BI14" i="38"/>
  <c r="BH14" i="38"/>
  <c r="BG14" i="38"/>
  <c r="BF14" i="38"/>
  <c r="BE14" i="38"/>
  <c r="BD14" i="38"/>
  <c r="BC14" i="38"/>
  <c r="BB14" i="38"/>
  <c r="BA14" i="38"/>
  <c r="AZ14" i="38"/>
  <c r="AY14" i="38"/>
  <c r="AX14" i="38"/>
  <c r="AW14" i="38"/>
  <c r="AV14" i="38"/>
  <c r="AU14" i="38"/>
  <c r="AT14" i="38"/>
  <c r="AS14" i="38"/>
  <c r="AR14" i="38"/>
  <c r="AQ14" i="38"/>
  <c r="AP14" i="38"/>
  <c r="AO14" i="38"/>
  <c r="AN14" i="38"/>
  <c r="AM14" i="38"/>
  <c r="AL14" i="38"/>
  <c r="AK14" i="38"/>
  <c r="AI14" i="38"/>
  <c r="BO13" i="38"/>
  <c r="BN13" i="38"/>
  <c r="BM13" i="38"/>
  <c r="BL13" i="38"/>
  <c r="BK13" i="38"/>
  <c r="BJ13" i="38"/>
  <c r="BI13" i="38"/>
  <c r="BH13" i="38"/>
  <c r="BG13" i="38"/>
  <c r="BF13" i="38"/>
  <c r="BE13" i="38"/>
  <c r="BD13" i="38"/>
  <c r="BC13" i="38"/>
  <c r="BB13" i="38"/>
  <c r="BA13" i="38"/>
  <c r="AZ13" i="38"/>
  <c r="AY13" i="38"/>
  <c r="AX13" i="38"/>
  <c r="AW13" i="38"/>
  <c r="AV13" i="38"/>
  <c r="AU13" i="38"/>
  <c r="AT13" i="38"/>
  <c r="AS13" i="38"/>
  <c r="AR13" i="38"/>
  <c r="AQ13" i="38"/>
  <c r="AP13" i="38"/>
  <c r="AO13" i="38"/>
  <c r="AN13" i="38"/>
  <c r="AM13" i="38"/>
  <c r="AL13" i="38"/>
  <c r="AK13" i="38"/>
  <c r="BP13" i="38"/>
  <c r="BO12" i="38"/>
  <c r="BN12" i="38"/>
  <c r="BM12" i="38"/>
  <c r="BL12" i="38"/>
  <c r="BK12" i="38"/>
  <c r="BJ12" i="38"/>
  <c r="BI12" i="38"/>
  <c r="BH12" i="38"/>
  <c r="BG12" i="38"/>
  <c r="BF12" i="38"/>
  <c r="BE12" i="38"/>
  <c r="BD12" i="38"/>
  <c r="BC12" i="38"/>
  <c r="BB12" i="38"/>
  <c r="BA12" i="38"/>
  <c r="AZ12" i="38"/>
  <c r="AY12" i="38"/>
  <c r="AX12" i="38"/>
  <c r="AW12" i="38"/>
  <c r="AV12" i="38"/>
  <c r="AU12" i="38"/>
  <c r="AT12" i="38"/>
  <c r="AS12" i="38"/>
  <c r="AR12" i="38"/>
  <c r="AQ12" i="38"/>
  <c r="AP12" i="38"/>
  <c r="AO12" i="38"/>
  <c r="AN12" i="38"/>
  <c r="AM12" i="38"/>
  <c r="AL12" i="38"/>
  <c r="BP12" i="38"/>
  <c r="BO11" i="38"/>
  <c r="BN11" i="38"/>
  <c r="BM11" i="38"/>
  <c r="BL11" i="38"/>
  <c r="BK11" i="38"/>
  <c r="BJ11" i="38"/>
  <c r="BI11" i="38"/>
  <c r="BH11" i="38"/>
  <c r="BG11" i="38"/>
  <c r="BF11" i="38"/>
  <c r="BE11" i="38"/>
  <c r="BD11" i="38"/>
  <c r="BC11" i="38"/>
  <c r="BB11" i="38"/>
  <c r="BA11" i="38"/>
  <c r="AZ11" i="38"/>
  <c r="AY11" i="38"/>
  <c r="AX11" i="38"/>
  <c r="AW11" i="38"/>
  <c r="AV11" i="38"/>
  <c r="AU11" i="38"/>
  <c r="AT11" i="38"/>
  <c r="AS11" i="38"/>
  <c r="AR11" i="38"/>
  <c r="AQ11" i="38"/>
  <c r="AP11" i="38"/>
  <c r="AO11" i="38"/>
  <c r="AN11" i="38"/>
  <c r="AM11" i="38"/>
  <c r="AL11" i="38"/>
  <c r="AK11" i="38"/>
  <c r="BP11" i="38"/>
  <c r="BO10" i="38"/>
  <c r="BN10" i="38"/>
  <c r="BL10" i="38"/>
  <c r="BK10" i="38"/>
  <c r="BJ10" i="38"/>
  <c r="BI10" i="38"/>
  <c r="BH10" i="38"/>
  <c r="BG10" i="38"/>
  <c r="BF10" i="38"/>
  <c r="BE10" i="38"/>
  <c r="BD10" i="38"/>
  <c r="BC10" i="38"/>
  <c r="BB10" i="38"/>
  <c r="BA10" i="38"/>
  <c r="AZ10" i="38"/>
  <c r="AY10" i="38"/>
  <c r="AX10" i="38"/>
  <c r="AW10" i="38"/>
  <c r="AV10" i="38"/>
  <c r="AU10" i="38"/>
  <c r="AT10" i="38"/>
  <c r="AS10" i="38"/>
  <c r="AR10" i="38"/>
  <c r="AQ10" i="38"/>
  <c r="AP10" i="38"/>
  <c r="AO10" i="38"/>
  <c r="AN10" i="38"/>
  <c r="AM10" i="38"/>
  <c r="AL10" i="38"/>
  <c r="AK10" i="38"/>
  <c r="BM10" i="38"/>
  <c r="AD32" i="38"/>
  <c r="BO9" i="38"/>
  <c r="BN9" i="38"/>
  <c r="BM9" i="38"/>
  <c r="BL9" i="38"/>
  <c r="BK9" i="38"/>
  <c r="BJ9" i="38"/>
  <c r="BI9" i="38"/>
  <c r="BH9" i="38"/>
  <c r="BG9" i="38"/>
  <c r="BF9" i="38"/>
  <c r="BE9" i="38"/>
  <c r="BD9" i="38"/>
  <c r="BC9" i="38"/>
  <c r="BB9" i="38"/>
  <c r="BA9" i="38"/>
  <c r="AZ9" i="38"/>
  <c r="AY9" i="38"/>
  <c r="AX9" i="38"/>
  <c r="AW9" i="38"/>
  <c r="AV9" i="38"/>
  <c r="AU9" i="38"/>
  <c r="AT9" i="38"/>
  <c r="AS9" i="38"/>
  <c r="AR9" i="38"/>
  <c r="AQ9" i="38"/>
  <c r="AP9" i="38"/>
  <c r="AO9" i="38"/>
  <c r="AN9" i="38"/>
  <c r="AM9" i="38"/>
  <c r="AL9" i="38"/>
  <c r="AK9" i="38"/>
  <c r="BP9" i="38"/>
  <c r="BO8" i="38"/>
  <c r="BN8" i="38"/>
  <c r="BM8" i="38"/>
  <c r="BL8" i="38"/>
  <c r="BK8" i="38"/>
  <c r="BJ8" i="38"/>
  <c r="BI8" i="38"/>
  <c r="BH8" i="38"/>
  <c r="BG8" i="38"/>
  <c r="BF8" i="38"/>
  <c r="BE8" i="38"/>
  <c r="BD8" i="38"/>
  <c r="BC8" i="38"/>
  <c r="BB8" i="38"/>
  <c r="BA8" i="38"/>
  <c r="AZ8" i="38"/>
  <c r="AY8" i="38"/>
  <c r="AX8" i="38"/>
  <c r="AW8" i="38"/>
  <c r="AV8" i="38"/>
  <c r="AU8" i="38"/>
  <c r="AT8" i="38"/>
  <c r="AS8" i="38"/>
  <c r="AR8" i="38"/>
  <c r="AQ8" i="38"/>
  <c r="AP8" i="38"/>
  <c r="AO8" i="38"/>
  <c r="AN8" i="38"/>
  <c r="AM8" i="38"/>
  <c r="AL8" i="38"/>
  <c r="AK8" i="38"/>
  <c r="BP8" i="38"/>
  <c r="BO7" i="38"/>
  <c r="BN7" i="38"/>
  <c r="BM7" i="38"/>
  <c r="BL7" i="38"/>
  <c r="BK7" i="38"/>
  <c r="BJ7" i="38"/>
  <c r="BI7" i="38"/>
  <c r="BH7" i="38"/>
  <c r="BG7" i="38"/>
  <c r="BF7" i="38"/>
  <c r="BE7" i="38"/>
  <c r="BD7" i="38"/>
  <c r="BC7" i="38"/>
  <c r="BB7" i="38"/>
  <c r="BA7" i="38"/>
  <c r="AZ7" i="38"/>
  <c r="AY7" i="38"/>
  <c r="AX7" i="38"/>
  <c r="AW7" i="38"/>
  <c r="AV7" i="38"/>
  <c r="AU7" i="38"/>
  <c r="AT7" i="38"/>
  <c r="AS7" i="38"/>
  <c r="AR7" i="38"/>
  <c r="AQ7" i="38"/>
  <c r="AP7" i="38"/>
  <c r="AO7" i="38"/>
  <c r="AN7" i="38"/>
  <c r="AM7" i="38"/>
  <c r="AL7" i="38"/>
  <c r="AK7" i="38"/>
  <c r="BP7" i="38"/>
  <c r="BO6" i="38"/>
  <c r="BN6" i="38"/>
  <c r="BM6" i="38"/>
  <c r="BL6" i="38"/>
  <c r="BK6" i="38"/>
  <c r="BJ6" i="38"/>
  <c r="BI6" i="38"/>
  <c r="BH6" i="38"/>
  <c r="BG6" i="38"/>
  <c r="BF6" i="38"/>
  <c r="BE6" i="38"/>
  <c r="BD6" i="38"/>
  <c r="BC6" i="38"/>
  <c r="BB6" i="38"/>
  <c r="BA6" i="38"/>
  <c r="AZ6" i="38"/>
  <c r="AY6" i="38"/>
  <c r="AX6" i="38"/>
  <c r="AW6" i="38"/>
  <c r="AV6" i="38"/>
  <c r="AU6" i="38"/>
  <c r="AT6" i="38"/>
  <c r="AS6" i="38"/>
  <c r="AR6" i="38"/>
  <c r="AQ6" i="38"/>
  <c r="AP6" i="38"/>
  <c r="AO6" i="38"/>
  <c r="AN6" i="38"/>
  <c r="AM6" i="38"/>
  <c r="AL6" i="38"/>
  <c r="AK6" i="38"/>
  <c r="BP6" i="38"/>
  <c r="BO5" i="38"/>
  <c r="BN5" i="38"/>
  <c r="BM5" i="38"/>
  <c r="BL5" i="38"/>
  <c r="BK5" i="38"/>
  <c r="BJ5" i="38"/>
  <c r="BI5" i="38"/>
  <c r="BH5" i="38"/>
  <c r="BG5" i="38"/>
  <c r="BF5" i="38"/>
  <c r="BE5" i="38"/>
  <c r="BD5" i="38"/>
  <c r="BC5" i="38"/>
  <c r="BB5" i="38"/>
  <c r="BA5" i="38"/>
  <c r="AZ5" i="38"/>
  <c r="AY5" i="38"/>
  <c r="AX5" i="38"/>
  <c r="AW5" i="38"/>
  <c r="AV5" i="38"/>
  <c r="AU5" i="38"/>
  <c r="AT5" i="38"/>
  <c r="AS5" i="38"/>
  <c r="AR5" i="38"/>
  <c r="AQ5" i="38"/>
  <c r="AP5" i="38"/>
  <c r="AO5" i="38"/>
  <c r="AN5" i="38"/>
  <c r="AM5" i="38"/>
  <c r="AL5" i="38"/>
  <c r="AK5" i="38"/>
  <c r="AI1" i="38"/>
  <c r="T82" i="17"/>
  <c r="T76" i="17"/>
  <c r="T79" i="17"/>
  <c r="T73" i="17"/>
  <c r="T70" i="17"/>
  <c r="T64" i="17"/>
  <c r="T61" i="17"/>
  <c r="S58" i="17"/>
  <c r="T58" i="17"/>
  <c r="T55" i="17"/>
  <c r="T52" i="17"/>
  <c r="T49" i="17"/>
  <c r="T46" i="17"/>
  <c r="T43" i="17"/>
  <c r="T40" i="17"/>
  <c r="T37" i="17"/>
  <c r="T34" i="17"/>
  <c r="T31" i="17"/>
  <c r="T28" i="17"/>
  <c r="T25" i="17"/>
  <c r="T22" i="17"/>
  <c r="T19" i="17"/>
  <c r="T16" i="17"/>
  <c r="T13" i="17"/>
  <c r="T10" i="17"/>
  <c r="T7" i="17"/>
  <c r="T4" i="17"/>
  <c r="AD24" i="35"/>
  <c r="AI1" i="35"/>
  <c r="AB14" i="35"/>
  <c r="AD14" i="35"/>
  <c r="AE10" i="35"/>
  <c r="AD10" i="35"/>
  <c r="AI10" i="35"/>
  <c r="AH24" i="35"/>
  <c r="AH32" i="35"/>
  <c r="AI6" i="35"/>
  <c r="AI5" i="35"/>
  <c r="AI26" i="35"/>
  <c r="H318" i="14"/>
  <c r="H319" i="14"/>
  <c r="H320" i="14"/>
  <c r="T81" i="39" l="1"/>
  <c r="M95" i="39"/>
  <c r="M93" i="39"/>
  <c r="T45" i="39"/>
  <c r="L93" i="39"/>
  <c r="L95" i="39"/>
  <c r="O96" i="39"/>
  <c r="L94" i="39"/>
  <c r="T33" i="39"/>
  <c r="S84" i="39"/>
  <c r="T84" i="39"/>
  <c r="L100" i="39"/>
  <c r="T72" i="39"/>
  <c r="G55" i="39"/>
  <c r="S55" i="39" s="1"/>
  <c r="G61" i="39"/>
  <c r="S61" i="39" s="1"/>
  <c r="G25" i="39"/>
  <c r="G26" i="39" s="1"/>
  <c r="G76" i="39"/>
  <c r="G77" i="39" s="1"/>
  <c r="G22" i="39"/>
  <c r="G23" i="39" s="1"/>
  <c r="G73" i="39"/>
  <c r="G74" i="39" s="1"/>
  <c r="G43" i="39"/>
  <c r="G44" i="39" s="1"/>
  <c r="G13" i="39"/>
  <c r="S13" i="39" s="1"/>
  <c r="G85" i="39"/>
  <c r="G86" i="39" s="1"/>
  <c r="G82" i="39"/>
  <c r="G4" i="39"/>
  <c r="G5" i="39" s="1"/>
  <c r="G10" i="39"/>
  <c r="G11" i="39" s="1"/>
  <c r="G7" i="39"/>
  <c r="S7" i="39" s="1"/>
  <c r="G79" i="39"/>
  <c r="T79" i="39" s="1"/>
  <c r="G70" i="39"/>
  <c r="S70" i="39" s="1"/>
  <c r="G67" i="39"/>
  <c r="S67" i="39" s="1"/>
  <c r="G58" i="39"/>
  <c r="T58" i="39" s="1"/>
  <c r="G28" i="39"/>
  <c r="T28" i="39" s="1"/>
  <c r="G34" i="39"/>
  <c r="U34" i="39" s="1"/>
  <c r="V34" i="39" s="1"/>
  <c r="G16" i="39"/>
  <c r="T16" i="39" s="1"/>
  <c r="G37" i="39"/>
  <c r="T37" i="39" s="1"/>
  <c r="G49" i="39"/>
  <c r="S49" i="39" s="1"/>
  <c r="G46" i="39"/>
  <c r="S46" i="39" s="1"/>
  <c r="G52" i="39"/>
  <c r="T52" i="39" s="1"/>
  <c r="G31" i="39"/>
  <c r="S31" i="39" s="1"/>
  <c r="J129" i="39"/>
  <c r="K129" i="39" s="1"/>
  <c r="L129" i="39" s="1"/>
  <c r="M129" i="39" s="1"/>
  <c r="N129" i="39" s="1"/>
  <c r="O129" i="39" s="1"/>
  <c r="P129" i="39" s="1"/>
  <c r="Q129" i="39" s="1"/>
  <c r="R129" i="39" s="1"/>
  <c r="O93" i="39"/>
  <c r="O94" i="39"/>
  <c r="O95" i="39"/>
  <c r="M86" i="39"/>
  <c r="K86" i="39"/>
  <c r="K94" i="39"/>
  <c r="K95" i="39"/>
  <c r="K100" i="39"/>
  <c r="J100" i="39"/>
  <c r="I95" i="39"/>
  <c r="T97" i="39"/>
  <c r="I86" i="39"/>
  <c r="S75" i="39"/>
  <c r="T75" i="39"/>
  <c r="S72" i="39"/>
  <c r="T66" i="39"/>
  <c r="T60" i="39"/>
  <c r="T57" i="39"/>
  <c r="T54" i="39"/>
  <c r="T51" i="39"/>
  <c r="S45" i="39"/>
  <c r="T42" i="39"/>
  <c r="S42" i="39"/>
  <c r="S36" i="39"/>
  <c r="S33" i="39"/>
  <c r="I91" i="39"/>
  <c r="T27" i="39"/>
  <c r="Q26" i="39"/>
  <c r="I26" i="39"/>
  <c r="T24" i="39"/>
  <c r="T21" i="39"/>
  <c r="S21" i="39"/>
  <c r="R91" i="39"/>
  <c r="P91" i="39"/>
  <c r="N91" i="39"/>
  <c r="S18" i="39"/>
  <c r="M91" i="39"/>
  <c r="T18" i="39"/>
  <c r="O91" i="39"/>
  <c r="T15" i="39"/>
  <c r="S15" i="39"/>
  <c r="S12" i="39"/>
  <c r="T12" i="39"/>
  <c r="L91" i="39"/>
  <c r="G93" i="39"/>
  <c r="T93" i="39" s="1"/>
  <c r="E120" i="39"/>
  <c r="T78" i="39"/>
  <c r="S78" i="39"/>
  <c r="S24" i="39"/>
  <c r="S54" i="39"/>
  <c r="G96" i="39"/>
  <c r="T96" i="39" s="1"/>
  <c r="S66" i="39"/>
  <c r="S81" i="39"/>
  <c r="T36" i="39"/>
  <c r="S9" i="39"/>
  <c r="G94" i="39"/>
  <c r="S63" i="39"/>
  <c r="G131" i="39"/>
  <c r="S30" i="39"/>
  <c r="S48" i="39"/>
  <c r="T48" i="39"/>
  <c r="S6" i="39"/>
  <c r="T6" i="39"/>
  <c r="R5" i="39"/>
  <c r="R98" i="39" s="1"/>
  <c r="Q5" i="39"/>
  <c r="G95" i="39"/>
  <c r="S69" i="39"/>
  <c r="T69" i="39"/>
  <c r="T63" i="39"/>
  <c r="S60" i="39"/>
  <c r="S57" i="39"/>
  <c r="S51" i="39"/>
  <c r="S27" i="39"/>
  <c r="T30" i="39"/>
  <c r="T9" i="39"/>
  <c r="S3" i="39"/>
  <c r="I98" i="39"/>
  <c r="R99" i="39"/>
  <c r="J99" i="39"/>
  <c r="Q100" i="39"/>
  <c r="O100" i="39"/>
  <c r="N5" i="39"/>
  <c r="N98" i="39"/>
  <c r="M5" i="39"/>
  <c r="M98" i="39" s="1"/>
  <c r="I100" i="39"/>
  <c r="R83" i="39"/>
  <c r="R100" i="39" s="1"/>
  <c r="H99" i="39"/>
  <c r="H131" i="39"/>
  <c r="L99" i="39"/>
  <c r="I130" i="39"/>
  <c r="K98" i="39"/>
  <c r="N99" i="39"/>
  <c r="M99" i="39"/>
  <c r="L98" i="39"/>
  <c r="K99" i="39"/>
  <c r="O44" i="39"/>
  <c r="O99" i="39" s="1"/>
  <c r="M83" i="39"/>
  <c r="M100" i="39" s="1"/>
  <c r="P99" i="39"/>
  <c r="O5" i="39"/>
  <c r="O98" i="39" s="1"/>
  <c r="I99" i="39"/>
  <c r="Q44" i="39"/>
  <c r="Q99" i="39" s="1"/>
  <c r="N83" i="39"/>
  <c r="N100" i="39" s="1"/>
  <c r="J98" i="39"/>
  <c r="H98" i="39"/>
  <c r="P98" i="39"/>
  <c r="BP14" i="38"/>
  <c r="AI2" i="38"/>
  <c r="G19" i="39"/>
  <c r="T19" i="39" s="1"/>
  <c r="BP5" i="38"/>
  <c r="AI24" i="38"/>
  <c r="G64" i="39" s="1"/>
  <c r="AE32" i="38"/>
  <c r="AA24" i="35"/>
  <c r="H316" i="14"/>
  <c r="H317" i="14"/>
  <c r="H313" i="14"/>
  <c r="H314" i="14"/>
  <c r="H315" i="14"/>
  <c r="Z24" i="35"/>
  <c r="W24" i="35"/>
  <c r="F5" i="37"/>
  <c r="G5" i="37" s="1"/>
  <c r="H5" i="37" s="1"/>
  <c r="I5" i="37" s="1"/>
  <c r="J5" i="37" s="1"/>
  <c r="K5" i="37" s="1"/>
  <c r="L5" i="37" s="1"/>
  <c r="M5" i="37" s="1"/>
  <c r="N5" i="37" s="1"/>
  <c r="E5" i="37"/>
  <c r="D5" i="37"/>
  <c r="C5" i="37"/>
  <c r="P4" i="37"/>
  <c r="P3" i="37"/>
  <c r="P5" i="37" s="1"/>
  <c r="D14" i="14"/>
  <c r="E14" i="14"/>
  <c r="F14" i="14"/>
  <c r="H312" i="14"/>
  <c r="H311" i="14"/>
  <c r="G83" i="39" l="1"/>
  <c r="T82" i="39"/>
  <c r="T59" i="39"/>
  <c r="T95" i="39"/>
  <c r="Q98" i="39"/>
  <c r="D96" i="39"/>
  <c r="T89" i="39"/>
  <c r="T94" i="39"/>
  <c r="T70" i="39"/>
  <c r="T71" i="39" s="1"/>
  <c r="T61" i="39"/>
  <c r="T62" i="39" s="1"/>
  <c r="S62" i="39"/>
  <c r="T17" i="39"/>
  <c r="S47" i="39"/>
  <c r="T53" i="39"/>
  <c r="G56" i="39"/>
  <c r="T55" i="39"/>
  <c r="T56" i="39" s="1"/>
  <c r="S73" i="39"/>
  <c r="S74" i="39" s="1"/>
  <c r="S28" i="39"/>
  <c r="S29" i="39" s="1"/>
  <c r="S56" i="39"/>
  <c r="S76" i="39"/>
  <c r="S77" i="39" s="1"/>
  <c r="G62" i="39"/>
  <c r="T22" i="39"/>
  <c r="T23" i="39" s="1"/>
  <c r="S22" i="39"/>
  <c r="S23" i="39" s="1"/>
  <c r="S25" i="39"/>
  <c r="S26" i="39" s="1"/>
  <c r="T25" i="39"/>
  <c r="T26" i="39" s="1"/>
  <c r="G71" i="39"/>
  <c r="T73" i="39"/>
  <c r="T74" i="39" s="1"/>
  <c r="G29" i="39"/>
  <c r="T76" i="39"/>
  <c r="T77" i="39" s="1"/>
  <c r="G14" i="39"/>
  <c r="T13" i="39"/>
  <c r="T14" i="39" s="1"/>
  <c r="T85" i="39"/>
  <c r="T86" i="39" s="1"/>
  <c r="T4" i="39"/>
  <c r="T5" i="39" s="1"/>
  <c r="S58" i="39"/>
  <c r="S59" i="39" s="1"/>
  <c r="G59" i="39"/>
  <c r="S37" i="39"/>
  <c r="S38" i="39" s="1"/>
  <c r="G38" i="39"/>
  <c r="T43" i="39"/>
  <c r="T44" i="39" s="1"/>
  <c r="S43" i="39"/>
  <c r="S44" i="39" s="1"/>
  <c r="T34" i="39"/>
  <c r="T35" i="39" s="1"/>
  <c r="S34" i="39"/>
  <c r="S35" i="39" s="1"/>
  <c r="S16" i="39"/>
  <c r="S17" i="39" s="1"/>
  <c r="T29" i="39"/>
  <c r="G35" i="39"/>
  <c r="G17" i="39"/>
  <c r="T49" i="39"/>
  <c r="T50" i="39" s="1"/>
  <c r="G50" i="39"/>
  <c r="S50" i="39"/>
  <c r="T46" i="39"/>
  <c r="T47" i="39" s="1"/>
  <c r="G47" i="39"/>
  <c r="S32" i="39"/>
  <c r="T31" i="39"/>
  <c r="T32" i="39" s="1"/>
  <c r="T38" i="39"/>
  <c r="G65" i="39"/>
  <c r="G100" i="39"/>
  <c r="S100" i="39" s="1"/>
  <c r="T83" i="39"/>
  <c r="S82" i="39"/>
  <c r="S83" i="39" s="1"/>
  <c r="S85" i="39"/>
  <c r="S86" i="39" s="1"/>
  <c r="S4" i="39"/>
  <c r="S5" i="39" s="1"/>
  <c r="S10" i="39"/>
  <c r="G20" i="39"/>
  <c r="S19" i="39"/>
  <c r="S20" i="39" s="1"/>
  <c r="T10" i="39"/>
  <c r="T11" i="39" s="1"/>
  <c r="S8" i="39"/>
  <c r="G8" i="39"/>
  <c r="T7" i="39"/>
  <c r="T8" i="39" s="1"/>
  <c r="S64" i="39"/>
  <c r="S65" i="39" s="1"/>
  <c r="T64" i="39"/>
  <c r="T80" i="39"/>
  <c r="S79" i="39"/>
  <c r="S80" i="39" s="1"/>
  <c r="G80" i="39"/>
  <c r="G68" i="39"/>
  <c r="T67" i="39"/>
  <c r="T68" i="39" s="1"/>
  <c r="G90" i="39"/>
  <c r="T90" i="39" s="1"/>
  <c r="G53" i="39"/>
  <c r="S52" i="39"/>
  <c r="S53" i="39" s="1"/>
  <c r="G32" i="39"/>
  <c r="T20" i="39"/>
  <c r="S14" i="39"/>
  <c r="S89" i="39"/>
  <c r="S68" i="39"/>
  <c r="J91" i="39"/>
  <c r="Q91" i="39"/>
  <c r="H91" i="39"/>
  <c r="K91" i="39"/>
  <c r="BP10" i="38"/>
  <c r="BP24" i="38"/>
  <c r="S71" i="39"/>
  <c r="I131" i="39"/>
  <c r="J130" i="39"/>
  <c r="AI32" i="38"/>
  <c r="H310" i="14"/>
  <c r="C18" i="27"/>
  <c r="E18" i="27"/>
  <c r="D18" i="27"/>
  <c r="G14" i="14"/>
  <c r="H14" i="14" s="1"/>
  <c r="I14" i="14" s="1"/>
  <c r="J14" i="14" s="1"/>
  <c r="K14" i="14" s="1"/>
  <c r="L14" i="14" s="1"/>
  <c r="M14" i="14" s="1"/>
  <c r="N14" i="14" s="1"/>
  <c r="O14" i="14" s="1"/>
  <c r="S87" i="17"/>
  <c r="S13" i="17"/>
  <c r="S16" i="17"/>
  <c r="S19" i="17"/>
  <c r="S22" i="17"/>
  <c r="S25" i="17"/>
  <c r="S28" i="17"/>
  <c r="S31" i="17"/>
  <c r="S34" i="17"/>
  <c r="S37" i="17"/>
  <c r="S40" i="17"/>
  <c r="S43" i="17"/>
  <c r="S46" i="17"/>
  <c r="S49" i="17"/>
  <c r="S52" i="17"/>
  <c r="S55" i="17"/>
  <c r="S61" i="17"/>
  <c r="S64" i="17"/>
  <c r="S67" i="17"/>
  <c r="S70" i="17"/>
  <c r="S73" i="17"/>
  <c r="S76" i="17"/>
  <c r="S79" i="17"/>
  <c r="S82" i="17"/>
  <c r="S10" i="17"/>
  <c r="S7" i="17"/>
  <c r="S4" i="17"/>
  <c r="H309" i="14"/>
  <c r="G99" i="39" l="1"/>
  <c r="S99" i="39" s="1"/>
  <c r="G98" i="39"/>
  <c r="S98" i="39" s="1"/>
  <c r="T65" i="39"/>
  <c r="S90" i="39"/>
  <c r="S91" i="39" s="1"/>
  <c r="S11" i="39"/>
  <c r="G91" i="39"/>
  <c r="K130" i="39"/>
  <c r="J131" i="39"/>
  <c r="Y92" i="39"/>
  <c r="Y93" i="39" s="1"/>
  <c r="T91" i="39"/>
  <c r="AI36" i="38"/>
  <c r="AI35" i="38"/>
  <c r="AI34" i="38"/>
  <c r="AI33" i="38"/>
  <c r="H308" i="14"/>
  <c r="H303" i="14"/>
  <c r="H304" i="14"/>
  <c r="H305" i="14"/>
  <c r="H306" i="14"/>
  <c r="H307" i="14"/>
  <c r="O24" i="35"/>
  <c r="N24" i="35"/>
  <c r="H302" i="14"/>
  <c r="H301" i="14"/>
  <c r="AI7" i="35"/>
  <c r="AI8" i="35"/>
  <c r="AI9" i="35"/>
  <c r="AI11" i="35"/>
  <c r="AI12" i="35"/>
  <c r="AI13" i="35"/>
  <c r="AI14" i="35"/>
  <c r="AI2" i="35" s="1"/>
  <c r="AI15" i="35"/>
  <c r="AI16" i="35"/>
  <c r="AI17" i="35"/>
  <c r="AI18" i="35"/>
  <c r="AI19" i="35"/>
  <c r="AI20" i="35"/>
  <c r="AI21" i="35"/>
  <c r="AI22" i="35"/>
  <c r="AI23" i="35"/>
  <c r="AI24" i="35"/>
  <c r="AI25" i="35"/>
  <c r="AI27" i="35"/>
  <c r="AI28" i="35"/>
  <c r="T67" i="17" s="1"/>
  <c r="T87" i="17" s="1"/>
  <c r="AI29" i="35"/>
  <c r="AI30" i="35"/>
  <c r="AI31" i="35"/>
  <c r="L130" i="39" l="1"/>
  <c r="K131" i="39"/>
  <c r="H300" i="14"/>
  <c r="H299" i="14"/>
  <c r="H298" i="14"/>
  <c r="L131" i="39" l="1"/>
  <c r="M130" i="39"/>
  <c r="H297" i="14"/>
  <c r="H295" i="14"/>
  <c r="H296" i="14"/>
  <c r="I67" i="35"/>
  <c r="J67" i="35" s="1"/>
  <c r="K67" i="35" s="1"/>
  <c r="L67" i="35" s="1"/>
  <c r="M67" i="35" s="1"/>
  <c r="N67" i="35" s="1"/>
  <c r="O67" i="35" s="1"/>
  <c r="P67" i="35" s="1"/>
  <c r="Q67" i="35" s="1"/>
  <c r="R67" i="35" s="1"/>
  <c r="S67" i="35" s="1"/>
  <c r="T67" i="35" s="1"/>
  <c r="U67" i="35" s="1"/>
  <c r="V67" i="35" s="1"/>
  <c r="D67" i="35"/>
  <c r="E67" i="35" s="1"/>
  <c r="F67" i="35" s="1"/>
  <c r="I66" i="35"/>
  <c r="J66" i="35" s="1"/>
  <c r="K66" i="35" s="1"/>
  <c r="L66" i="35" s="1"/>
  <c r="M66" i="35" s="1"/>
  <c r="N66" i="35" s="1"/>
  <c r="O66" i="35" s="1"/>
  <c r="P66" i="35" s="1"/>
  <c r="Q66" i="35" s="1"/>
  <c r="R66" i="35" s="1"/>
  <c r="S66" i="35" s="1"/>
  <c r="T66" i="35" s="1"/>
  <c r="U66" i="35" s="1"/>
  <c r="V66" i="35" s="1"/>
  <c r="D66" i="35"/>
  <c r="E66" i="35" s="1"/>
  <c r="F66" i="35" s="1"/>
  <c r="I65" i="35"/>
  <c r="J65" i="35" s="1"/>
  <c r="K65" i="35" s="1"/>
  <c r="L65" i="35" s="1"/>
  <c r="M65" i="35" s="1"/>
  <c r="N65" i="35" s="1"/>
  <c r="O65" i="35" s="1"/>
  <c r="P65" i="35" s="1"/>
  <c r="Q65" i="35" s="1"/>
  <c r="R65" i="35" s="1"/>
  <c r="S65" i="35" s="1"/>
  <c r="T65" i="35" s="1"/>
  <c r="U65" i="35" s="1"/>
  <c r="V65" i="35" s="1"/>
  <c r="D65" i="35"/>
  <c r="E65" i="35" s="1"/>
  <c r="F65" i="35" s="1"/>
  <c r="I64" i="35"/>
  <c r="J64" i="35" s="1"/>
  <c r="K64" i="35" s="1"/>
  <c r="L64" i="35" s="1"/>
  <c r="M64" i="35" s="1"/>
  <c r="N64" i="35" s="1"/>
  <c r="O64" i="35" s="1"/>
  <c r="P64" i="35" s="1"/>
  <c r="Q64" i="35" s="1"/>
  <c r="R64" i="35" s="1"/>
  <c r="S64" i="35" s="1"/>
  <c r="T64" i="35" s="1"/>
  <c r="U64" i="35" s="1"/>
  <c r="V64" i="35" s="1"/>
  <c r="D64" i="35"/>
  <c r="E64" i="35" s="1"/>
  <c r="F64" i="35" s="1"/>
  <c r="I63" i="35"/>
  <c r="J63" i="35" s="1"/>
  <c r="K63" i="35" s="1"/>
  <c r="L63" i="35" s="1"/>
  <c r="M63" i="35" s="1"/>
  <c r="N63" i="35" s="1"/>
  <c r="O63" i="35" s="1"/>
  <c r="P63" i="35" s="1"/>
  <c r="Q63" i="35" s="1"/>
  <c r="R63" i="35" s="1"/>
  <c r="S63" i="35" s="1"/>
  <c r="T63" i="35" s="1"/>
  <c r="U63" i="35" s="1"/>
  <c r="V63" i="35" s="1"/>
  <c r="D63" i="35"/>
  <c r="E63" i="35" s="1"/>
  <c r="F63" i="35" s="1"/>
  <c r="I62" i="35"/>
  <c r="J62" i="35" s="1"/>
  <c r="K62" i="35" s="1"/>
  <c r="L62" i="35" s="1"/>
  <c r="M62" i="35" s="1"/>
  <c r="N62" i="35" s="1"/>
  <c r="O62" i="35" s="1"/>
  <c r="P62" i="35" s="1"/>
  <c r="Q62" i="35" s="1"/>
  <c r="R62" i="35" s="1"/>
  <c r="S62" i="35" s="1"/>
  <c r="T62" i="35" s="1"/>
  <c r="U62" i="35" s="1"/>
  <c r="V62" i="35" s="1"/>
  <c r="D62" i="35"/>
  <c r="E62" i="35" s="1"/>
  <c r="F62" i="35" s="1"/>
  <c r="I61" i="35"/>
  <c r="J61" i="35" s="1"/>
  <c r="K61" i="35" s="1"/>
  <c r="L61" i="35" s="1"/>
  <c r="M61" i="35" s="1"/>
  <c r="N61" i="35" s="1"/>
  <c r="O61" i="35" s="1"/>
  <c r="P61" i="35" s="1"/>
  <c r="Q61" i="35" s="1"/>
  <c r="R61" i="35" s="1"/>
  <c r="S61" i="35" s="1"/>
  <c r="T61" i="35" s="1"/>
  <c r="U61" i="35" s="1"/>
  <c r="V61" i="35" s="1"/>
  <c r="D61" i="35"/>
  <c r="E61" i="35" s="1"/>
  <c r="F61" i="35" s="1"/>
  <c r="I60" i="35"/>
  <c r="J60" i="35" s="1"/>
  <c r="K60" i="35" s="1"/>
  <c r="L60" i="35" s="1"/>
  <c r="M60" i="35" s="1"/>
  <c r="N60" i="35" s="1"/>
  <c r="O60" i="35" s="1"/>
  <c r="P60" i="35" s="1"/>
  <c r="Q60" i="35" s="1"/>
  <c r="R60" i="35" s="1"/>
  <c r="S60" i="35" s="1"/>
  <c r="T60" i="35" s="1"/>
  <c r="U60" i="35" s="1"/>
  <c r="V60" i="35" s="1"/>
  <c r="D60" i="35"/>
  <c r="E60" i="35" s="1"/>
  <c r="F60" i="35" s="1"/>
  <c r="I59" i="35"/>
  <c r="J59" i="35" s="1"/>
  <c r="K59" i="35" s="1"/>
  <c r="L59" i="35" s="1"/>
  <c r="M59" i="35" s="1"/>
  <c r="N59" i="35" s="1"/>
  <c r="O59" i="35" s="1"/>
  <c r="P59" i="35" s="1"/>
  <c r="Q59" i="35" s="1"/>
  <c r="R59" i="35" s="1"/>
  <c r="S59" i="35" s="1"/>
  <c r="T59" i="35" s="1"/>
  <c r="U59" i="35" s="1"/>
  <c r="V59" i="35" s="1"/>
  <c r="D59" i="35"/>
  <c r="E59" i="35" s="1"/>
  <c r="F59" i="35" s="1"/>
  <c r="I58" i="35"/>
  <c r="J58" i="35" s="1"/>
  <c r="K58" i="35" s="1"/>
  <c r="L58" i="35" s="1"/>
  <c r="M58" i="35" s="1"/>
  <c r="N58" i="35" s="1"/>
  <c r="O58" i="35" s="1"/>
  <c r="P58" i="35" s="1"/>
  <c r="Q58" i="35" s="1"/>
  <c r="R58" i="35" s="1"/>
  <c r="S58" i="35" s="1"/>
  <c r="T58" i="35" s="1"/>
  <c r="U58" i="35" s="1"/>
  <c r="V58" i="35" s="1"/>
  <c r="D58" i="35"/>
  <c r="E58" i="35" s="1"/>
  <c r="F58" i="35" s="1"/>
  <c r="I57" i="35"/>
  <c r="J57" i="35" s="1"/>
  <c r="K57" i="35" s="1"/>
  <c r="L57" i="35" s="1"/>
  <c r="M57" i="35" s="1"/>
  <c r="N57" i="35" s="1"/>
  <c r="O57" i="35" s="1"/>
  <c r="P57" i="35" s="1"/>
  <c r="Q57" i="35" s="1"/>
  <c r="R57" i="35" s="1"/>
  <c r="S57" i="35" s="1"/>
  <c r="T57" i="35" s="1"/>
  <c r="U57" i="35" s="1"/>
  <c r="V57" i="35" s="1"/>
  <c r="D57" i="35"/>
  <c r="E57" i="35" s="1"/>
  <c r="F57" i="35" s="1"/>
  <c r="I56" i="35"/>
  <c r="J56" i="35" s="1"/>
  <c r="K56" i="35" s="1"/>
  <c r="L56" i="35" s="1"/>
  <c r="M56" i="35" s="1"/>
  <c r="N56" i="35" s="1"/>
  <c r="O56" i="35" s="1"/>
  <c r="P56" i="35" s="1"/>
  <c r="Q56" i="35" s="1"/>
  <c r="R56" i="35" s="1"/>
  <c r="S56" i="35" s="1"/>
  <c r="T56" i="35" s="1"/>
  <c r="U56" i="35" s="1"/>
  <c r="V56" i="35" s="1"/>
  <c r="D56" i="35"/>
  <c r="E56" i="35" s="1"/>
  <c r="F56" i="35" s="1"/>
  <c r="I55" i="35"/>
  <c r="J55" i="35" s="1"/>
  <c r="K55" i="35" s="1"/>
  <c r="L55" i="35" s="1"/>
  <c r="M55" i="35" s="1"/>
  <c r="N55" i="35" s="1"/>
  <c r="O55" i="35" s="1"/>
  <c r="P55" i="35" s="1"/>
  <c r="Q55" i="35" s="1"/>
  <c r="R55" i="35" s="1"/>
  <c r="S55" i="35" s="1"/>
  <c r="T55" i="35" s="1"/>
  <c r="U55" i="35" s="1"/>
  <c r="V55" i="35" s="1"/>
  <c r="D55" i="35"/>
  <c r="E55" i="35" s="1"/>
  <c r="F55" i="35" s="1"/>
  <c r="I54" i="35"/>
  <c r="J54" i="35" s="1"/>
  <c r="K54" i="35" s="1"/>
  <c r="L54" i="35" s="1"/>
  <c r="M54" i="35" s="1"/>
  <c r="N54" i="35" s="1"/>
  <c r="O54" i="35" s="1"/>
  <c r="P54" i="35" s="1"/>
  <c r="Q54" i="35" s="1"/>
  <c r="R54" i="35" s="1"/>
  <c r="S54" i="35" s="1"/>
  <c r="T54" i="35" s="1"/>
  <c r="U54" i="35" s="1"/>
  <c r="V54" i="35" s="1"/>
  <c r="D54" i="35"/>
  <c r="E54" i="35" s="1"/>
  <c r="F54" i="35" s="1"/>
  <c r="I53" i="35"/>
  <c r="J53" i="35" s="1"/>
  <c r="K53" i="35" s="1"/>
  <c r="L53" i="35" s="1"/>
  <c r="M53" i="35" s="1"/>
  <c r="N53" i="35" s="1"/>
  <c r="O53" i="35" s="1"/>
  <c r="P53" i="35" s="1"/>
  <c r="Q53" i="35" s="1"/>
  <c r="R53" i="35" s="1"/>
  <c r="S53" i="35" s="1"/>
  <c r="T53" i="35" s="1"/>
  <c r="U53" i="35" s="1"/>
  <c r="V53" i="35" s="1"/>
  <c r="D53" i="35"/>
  <c r="E53" i="35" s="1"/>
  <c r="F53" i="35" s="1"/>
  <c r="I52" i="35"/>
  <c r="J52" i="35" s="1"/>
  <c r="K52" i="35" s="1"/>
  <c r="L52" i="35" s="1"/>
  <c r="M52" i="35" s="1"/>
  <c r="N52" i="35" s="1"/>
  <c r="O52" i="35" s="1"/>
  <c r="P52" i="35" s="1"/>
  <c r="Q52" i="35" s="1"/>
  <c r="R52" i="35" s="1"/>
  <c r="S52" i="35" s="1"/>
  <c r="T52" i="35" s="1"/>
  <c r="U52" i="35" s="1"/>
  <c r="V52" i="35" s="1"/>
  <c r="D52" i="35"/>
  <c r="E52" i="35" s="1"/>
  <c r="F52" i="35" s="1"/>
  <c r="I51" i="35"/>
  <c r="J51" i="35" s="1"/>
  <c r="K51" i="35" s="1"/>
  <c r="L51" i="35" s="1"/>
  <c r="M51" i="35" s="1"/>
  <c r="N51" i="35" s="1"/>
  <c r="O51" i="35" s="1"/>
  <c r="P51" i="35" s="1"/>
  <c r="Q51" i="35" s="1"/>
  <c r="R51" i="35" s="1"/>
  <c r="S51" i="35" s="1"/>
  <c r="T51" i="35" s="1"/>
  <c r="U51" i="35" s="1"/>
  <c r="V51" i="35" s="1"/>
  <c r="D51" i="35"/>
  <c r="E51" i="35" s="1"/>
  <c r="F51" i="35" s="1"/>
  <c r="I50" i="35"/>
  <c r="J50" i="35" s="1"/>
  <c r="K50" i="35" s="1"/>
  <c r="L50" i="35" s="1"/>
  <c r="M50" i="35" s="1"/>
  <c r="N50" i="35" s="1"/>
  <c r="O50" i="35" s="1"/>
  <c r="P50" i="35" s="1"/>
  <c r="Q50" i="35" s="1"/>
  <c r="R50" i="35" s="1"/>
  <c r="S50" i="35" s="1"/>
  <c r="T50" i="35" s="1"/>
  <c r="U50" i="35" s="1"/>
  <c r="V50" i="35" s="1"/>
  <c r="D50" i="35"/>
  <c r="E50" i="35" s="1"/>
  <c r="F50" i="35" s="1"/>
  <c r="I49" i="35"/>
  <c r="J49" i="35" s="1"/>
  <c r="K49" i="35" s="1"/>
  <c r="L49" i="35" s="1"/>
  <c r="M49" i="35" s="1"/>
  <c r="N49" i="35" s="1"/>
  <c r="O49" i="35" s="1"/>
  <c r="P49" i="35" s="1"/>
  <c r="Q49" i="35" s="1"/>
  <c r="R49" i="35" s="1"/>
  <c r="S49" i="35" s="1"/>
  <c r="T49" i="35" s="1"/>
  <c r="U49" i="35" s="1"/>
  <c r="V49" i="35" s="1"/>
  <c r="D49" i="35"/>
  <c r="E49" i="35" s="1"/>
  <c r="F49" i="35" s="1"/>
  <c r="I48" i="35"/>
  <c r="J48" i="35" s="1"/>
  <c r="K48" i="35" s="1"/>
  <c r="L48" i="35" s="1"/>
  <c r="M48" i="35" s="1"/>
  <c r="N48" i="35" s="1"/>
  <c r="O48" i="35" s="1"/>
  <c r="P48" i="35" s="1"/>
  <c r="Q48" i="35" s="1"/>
  <c r="R48" i="35" s="1"/>
  <c r="S48" i="35" s="1"/>
  <c r="T48" i="35" s="1"/>
  <c r="U48" i="35" s="1"/>
  <c r="V48" i="35" s="1"/>
  <c r="D48" i="35"/>
  <c r="E48" i="35" s="1"/>
  <c r="F48" i="35" s="1"/>
  <c r="I47" i="35"/>
  <c r="J47" i="35" s="1"/>
  <c r="K47" i="35" s="1"/>
  <c r="L47" i="35" s="1"/>
  <c r="M47" i="35" s="1"/>
  <c r="N47" i="35" s="1"/>
  <c r="O47" i="35" s="1"/>
  <c r="P47" i="35" s="1"/>
  <c r="Q47" i="35" s="1"/>
  <c r="R47" i="35" s="1"/>
  <c r="S47" i="35" s="1"/>
  <c r="T47" i="35" s="1"/>
  <c r="U47" i="35" s="1"/>
  <c r="V47" i="35" s="1"/>
  <c r="D47" i="35"/>
  <c r="E47" i="35" s="1"/>
  <c r="F47" i="35" s="1"/>
  <c r="I46" i="35"/>
  <c r="J46" i="35" s="1"/>
  <c r="K46" i="35" s="1"/>
  <c r="L46" i="35" s="1"/>
  <c r="M46" i="35" s="1"/>
  <c r="N46" i="35" s="1"/>
  <c r="O46" i="35" s="1"/>
  <c r="P46" i="35" s="1"/>
  <c r="Q46" i="35" s="1"/>
  <c r="R46" i="35" s="1"/>
  <c r="S46" i="35" s="1"/>
  <c r="T46" i="35" s="1"/>
  <c r="U46" i="35" s="1"/>
  <c r="V46" i="35" s="1"/>
  <c r="D46" i="35"/>
  <c r="E46" i="35" s="1"/>
  <c r="F46" i="35" s="1"/>
  <c r="H45" i="35"/>
  <c r="I45" i="35" s="1"/>
  <c r="J45" i="35" s="1"/>
  <c r="K45" i="35" s="1"/>
  <c r="L45" i="35" s="1"/>
  <c r="M45" i="35" s="1"/>
  <c r="N45" i="35" s="1"/>
  <c r="O45" i="35" s="1"/>
  <c r="P45" i="35" s="1"/>
  <c r="Q45" i="35" s="1"/>
  <c r="R45" i="35" s="1"/>
  <c r="S45" i="35" s="1"/>
  <c r="T45" i="35" s="1"/>
  <c r="U45" i="35" s="1"/>
  <c r="V45" i="35" s="1"/>
  <c r="G45" i="35"/>
  <c r="D45" i="35"/>
  <c r="E45" i="35" s="1"/>
  <c r="F45" i="35" s="1"/>
  <c r="AM44" i="35"/>
  <c r="I44" i="35"/>
  <c r="J44" i="35" s="1"/>
  <c r="K44" i="35" s="1"/>
  <c r="L44" i="35" s="1"/>
  <c r="M44" i="35" s="1"/>
  <c r="N44" i="35" s="1"/>
  <c r="O44" i="35" s="1"/>
  <c r="P44" i="35" s="1"/>
  <c r="Q44" i="35" s="1"/>
  <c r="R44" i="35" s="1"/>
  <c r="S44" i="35" s="1"/>
  <c r="T44" i="35" s="1"/>
  <c r="U44" i="35" s="1"/>
  <c r="V44" i="35" s="1"/>
  <c r="D44" i="35"/>
  <c r="E44" i="35" s="1"/>
  <c r="F44" i="35" s="1"/>
  <c r="AG42" i="35"/>
  <c r="AA42" i="35"/>
  <c r="Z42" i="35"/>
  <c r="T42" i="35"/>
  <c r="S42" i="35"/>
  <c r="M42" i="35"/>
  <c r="L42" i="35"/>
  <c r="F42" i="35"/>
  <c r="E42" i="35"/>
  <c r="AF40" i="35"/>
  <c r="AF41" i="35" s="1"/>
  <c r="O40" i="35"/>
  <c r="AE39" i="35"/>
  <c r="AC39" i="35"/>
  <c r="T37" i="35"/>
  <c r="N36" i="35"/>
  <c r="L36" i="35"/>
  <c r="AJ32" i="35"/>
  <c r="AG32" i="35"/>
  <c r="AF32" i="35"/>
  <c r="AE32" i="35"/>
  <c r="AD32" i="35"/>
  <c r="AC32" i="35"/>
  <c r="AA32" i="35"/>
  <c r="Z32" i="35"/>
  <c r="Y32" i="35"/>
  <c r="X32" i="35"/>
  <c r="W32" i="35"/>
  <c r="V32" i="35"/>
  <c r="U32" i="35"/>
  <c r="T32" i="35"/>
  <c r="S32" i="35"/>
  <c r="R32" i="35"/>
  <c r="Q32" i="35"/>
  <c r="P32" i="35"/>
  <c r="O32" i="35"/>
  <c r="N32" i="35"/>
  <c r="L32" i="35"/>
  <c r="K32" i="35"/>
  <c r="J32" i="35"/>
  <c r="I32" i="35"/>
  <c r="H32" i="35"/>
  <c r="G32" i="35"/>
  <c r="E32" i="35"/>
  <c r="D32" i="35"/>
  <c r="BO31" i="35"/>
  <c r="BN31" i="35"/>
  <c r="BM31" i="35"/>
  <c r="BL31" i="35"/>
  <c r="BK31" i="35"/>
  <c r="BJ31" i="35"/>
  <c r="BI31" i="35"/>
  <c r="BH31" i="35"/>
  <c r="BG31" i="35"/>
  <c r="BF31" i="35"/>
  <c r="BE31" i="35"/>
  <c r="BD31" i="35"/>
  <c r="BC31" i="35"/>
  <c r="BB31" i="35"/>
  <c r="BA31" i="35"/>
  <c r="AZ31" i="35"/>
  <c r="AY31" i="35"/>
  <c r="AX31" i="35"/>
  <c r="AW31" i="35"/>
  <c r="AV31" i="35"/>
  <c r="AU31" i="35"/>
  <c r="AT31" i="35"/>
  <c r="AS31" i="35"/>
  <c r="AR31" i="35"/>
  <c r="AQ31" i="35"/>
  <c r="AP31" i="35"/>
  <c r="AO31" i="35"/>
  <c r="AN31" i="35"/>
  <c r="AM31" i="35"/>
  <c r="AL31" i="35"/>
  <c r="BP31" i="35"/>
  <c r="BO30" i="35"/>
  <c r="BN30" i="35"/>
  <c r="BM30" i="35"/>
  <c r="BL30" i="35"/>
  <c r="BK30" i="35"/>
  <c r="BJ30" i="35"/>
  <c r="BI30" i="35"/>
  <c r="BH30" i="35"/>
  <c r="BG30" i="35"/>
  <c r="BF30" i="35"/>
  <c r="BE30" i="35"/>
  <c r="BD30" i="35"/>
  <c r="BC30" i="35"/>
  <c r="BB30" i="35"/>
  <c r="BA30" i="35"/>
  <c r="AZ30" i="35"/>
  <c r="AY30" i="35"/>
  <c r="AX30" i="35"/>
  <c r="AW30" i="35"/>
  <c r="AV30" i="35"/>
  <c r="AU30" i="35"/>
  <c r="AT30" i="35"/>
  <c r="AS30" i="35"/>
  <c r="AR30" i="35"/>
  <c r="AQ30" i="35"/>
  <c r="AP30" i="35"/>
  <c r="AO30" i="35"/>
  <c r="AN30" i="35"/>
  <c r="AM30" i="35"/>
  <c r="AL30" i="35"/>
  <c r="AK30" i="35"/>
  <c r="BP30" i="35"/>
  <c r="BO29" i="35"/>
  <c r="BN29" i="35"/>
  <c r="BM29" i="35"/>
  <c r="BL29" i="35"/>
  <c r="BK29" i="35"/>
  <c r="BJ29" i="35"/>
  <c r="BI29" i="35"/>
  <c r="BH29" i="35"/>
  <c r="BG29" i="35"/>
  <c r="BF29" i="35"/>
  <c r="BE29" i="35"/>
  <c r="BD29" i="35"/>
  <c r="BC29" i="35"/>
  <c r="BB29" i="35"/>
  <c r="BA29" i="35"/>
  <c r="AZ29" i="35"/>
  <c r="AY29" i="35"/>
  <c r="AX29" i="35"/>
  <c r="AW29" i="35"/>
  <c r="AV29" i="35"/>
  <c r="AU29" i="35"/>
  <c r="AT29" i="35"/>
  <c r="AS29" i="35"/>
  <c r="AR29" i="35"/>
  <c r="AQ29" i="35"/>
  <c r="AP29" i="35"/>
  <c r="AO29" i="35"/>
  <c r="AN29" i="35"/>
  <c r="AM29" i="35"/>
  <c r="AL29" i="35"/>
  <c r="AK29" i="35"/>
  <c r="BP29" i="35"/>
  <c r="BO28" i="35"/>
  <c r="BN28" i="35"/>
  <c r="BM28" i="35"/>
  <c r="BL28" i="35"/>
  <c r="BK28" i="35"/>
  <c r="BJ28" i="35"/>
  <c r="BI28" i="35"/>
  <c r="BH28" i="35"/>
  <c r="BG28" i="35"/>
  <c r="BF28" i="35"/>
  <c r="BE28" i="35"/>
  <c r="BD28" i="35"/>
  <c r="BC28" i="35"/>
  <c r="BB28" i="35"/>
  <c r="BA28" i="35"/>
  <c r="AZ28" i="35"/>
  <c r="AY28" i="35"/>
  <c r="AX28" i="35"/>
  <c r="AW28" i="35"/>
  <c r="AV28" i="35"/>
  <c r="AU28" i="35"/>
  <c r="AT28" i="35"/>
  <c r="AS28" i="35"/>
  <c r="AR28" i="35"/>
  <c r="AQ28" i="35"/>
  <c r="AP28" i="35"/>
  <c r="AO28" i="35"/>
  <c r="AN28" i="35"/>
  <c r="AM28" i="35"/>
  <c r="AL28" i="35"/>
  <c r="AK28" i="35"/>
  <c r="BP28" i="35"/>
  <c r="BO27" i="35"/>
  <c r="BN27" i="35"/>
  <c r="BM27" i="35"/>
  <c r="BL27" i="35"/>
  <c r="BK27" i="35"/>
  <c r="BJ27" i="35"/>
  <c r="BI27" i="35"/>
  <c r="BH27" i="35"/>
  <c r="BG27" i="35"/>
  <c r="BF27" i="35"/>
  <c r="BE27" i="35"/>
  <c r="BD27" i="35"/>
  <c r="BC27" i="35"/>
  <c r="BB27" i="35"/>
  <c r="BA27" i="35"/>
  <c r="AZ27" i="35"/>
  <c r="AY27" i="35"/>
  <c r="AX27" i="35"/>
  <c r="AW27" i="35"/>
  <c r="AV27" i="35"/>
  <c r="AU27" i="35"/>
  <c r="AT27" i="35"/>
  <c r="AS27" i="35"/>
  <c r="AR27" i="35"/>
  <c r="AQ27" i="35"/>
  <c r="AP27" i="35"/>
  <c r="AO27" i="35"/>
  <c r="AN27" i="35"/>
  <c r="AM27" i="35"/>
  <c r="AL27" i="35"/>
  <c r="AK27" i="35"/>
  <c r="BP27" i="35"/>
  <c r="BO26" i="35"/>
  <c r="BN26" i="35"/>
  <c r="BM26" i="35"/>
  <c r="BL26" i="35"/>
  <c r="BK26" i="35"/>
  <c r="BJ26" i="35"/>
  <c r="BI26" i="35"/>
  <c r="BH26" i="35"/>
  <c r="BG26" i="35"/>
  <c r="BF26" i="35"/>
  <c r="BE26" i="35"/>
  <c r="BD26" i="35"/>
  <c r="BC26" i="35"/>
  <c r="BB26" i="35"/>
  <c r="BA26" i="35"/>
  <c r="AZ26" i="35"/>
  <c r="AY26" i="35"/>
  <c r="AX26" i="35"/>
  <c r="AW26" i="35"/>
  <c r="AV26" i="35"/>
  <c r="AU26" i="35"/>
  <c r="AT26" i="35"/>
  <c r="AS26" i="35"/>
  <c r="AR26" i="35"/>
  <c r="AQ26" i="35"/>
  <c r="AP26" i="35"/>
  <c r="AO26" i="35"/>
  <c r="AN26" i="35"/>
  <c r="AM26" i="35"/>
  <c r="AL26" i="35"/>
  <c r="AK26" i="35"/>
  <c r="BP26" i="35"/>
  <c r="BO25" i="35"/>
  <c r="BN25" i="35"/>
  <c r="BM25" i="35"/>
  <c r="BL25" i="35"/>
  <c r="BK25" i="35"/>
  <c r="BJ25" i="35"/>
  <c r="BI25" i="35"/>
  <c r="BH25" i="35"/>
  <c r="BG25" i="35"/>
  <c r="BF25" i="35"/>
  <c r="BE25" i="35"/>
  <c r="BD25" i="35"/>
  <c r="BC25" i="35"/>
  <c r="BB25" i="35"/>
  <c r="BA25" i="35"/>
  <c r="AZ25" i="35"/>
  <c r="AY25" i="35"/>
  <c r="AX25" i="35"/>
  <c r="AW25" i="35"/>
  <c r="AV25" i="35"/>
  <c r="AU25" i="35"/>
  <c r="AT25" i="35"/>
  <c r="AS25" i="35"/>
  <c r="AR25" i="35"/>
  <c r="AQ25" i="35"/>
  <c r="AP25" i="35"/>
  <c r="AO25" i="35"/>
  <c r="AN25" i="35"/>
  <c r="AM25" i="35"/>
  <c r="AL25" i="35"/>
  <c r="AK25" i="35"/>
  <c r="BP25" i="35"/>
  <c r="BO24" i="35"/>
  <c r="BN24" i="35"/>
  <c r="BM24" i="35"/>
  <c r="BL24" i="35"/>
  <c r="BK24" i="35"/>
  <c r="BJ24" i="35"/>
  <c r="BI24" i="35"/>
  <c r="BH24" i="35"/>
  <c r="BG24" i="35"/>
  <c r="BF24" i="35"/>
  <c r="BE24" i="35"/>
  <c r="BD24" i="35"/>
  <c r="BC24" i="35"/>
  <c r="BB24" i="35"/>
  <c r="BA24" i="35"/>
  <c r="AZ24" i="35"/>
  <c r="AY24" i="35"/>
  <c r="AX24" i="35"/>
  <c r="AW24" i="35"/>
  <c r="AV24" i="35"/>
  <c r="AT24" i="35"/>
  <c r="AS24" i="35"/>
  <c r="AR24" i="35"/>
  <c r="AQ24" i="35"/>
  <c r="AP24" i="35"/>
  <c r="AO24" i="35"/>
  <c r="AN24" i="35"/>
  <c r="AM24" i="35"/>
  <c r="AL24" i="35"/>
  <c r="AK24" i="35"/>
  <c r="AB32" i="35"/>
  <c r="BP24" i="35"/>
  <c r="F32" i="35"/>
  <c r="BO23" i="35"/>
  <c r="BN23" i="35"/>
  <c r="BM23" i="35"/>
  <c r="BL23" i="35"/>
  <c r="BK23" i="35"/>
  <c r="BJ23" i="35"/>
  <c r="BI23" i="35"/>
  <c r="BH23" i="35"/>
  <c r="BG23" i="35"/>
  <c r="BF23" i="35"/>
  <c r="BE23" i="35"/>
  <c r="BD23" i="35"/>
  <c r="BC23" i="35"/>
  <c r="BB23" i="35"/>
  <c r="BA23" i="35"/>
  <c r="AZ23" i="35"/>
  <c r="AY23" i="35"/>
  <c r="AX23" i="35"/>
  <c r="AW23" i="35"/>
  <c r="AV23" i="35"/>
  <c r="AU23" i="35"/>
  <c r="AT23" i="35"/>
  <c r="AS23" i="35"/>
  <c r="AR23" i="35"/>
  <c r="AQ23" i="35"/>
  <c r="AP23" i="35"/>
  <c r="AO23" i="35"/>
  <c r="AN23" i="35"/>
  <c r="AM23" i="35"/>
  <c r="AL23" i="35"/>
  <c r="AK23" i="35"/>
  <c r="BP23" i="35"/>
  <c r="BO22" i="35"/>
  <c r="BN22" i="35"/>
  <c r="BM22" i="35"/>
  <c r="BL22" i="35"/>
  <c r="BK22" i="35"/>
  <c r="BJ22" i="35"/>
  <c r="BI22" i="35"/>
  <c r="BH22" i="35"/>
  <c r="BG22" i="35"/>
  <c r="BF22" i="35"/>
  <c r="BE22" i="35"/>
  <c r="BD22" i="35"/>
  <c r="BC22" i="35"/>
  <c r="BB22" i="35"/>
  <c r="BA22" i="35"/>
  <c r="AZ22" i="35"/>
  <c r="AY22" i="35"/>
  <c r="AX22" i="35"/>
  <c r="AW22" i="35"/>
  <c r="AV22" i="35"/>
  <c r="AU22" i="35"/>
  <c r="AT22" i="35"/>
  <c r="AS22" i="35"/>
  <c r="AR22" i="35"/>
  <c r="AQ22" i="35"/>
  <c r="AP22" i="35"/>
  <c r="AO22" i="35"/>
  <c r="AN22" i="35"/>
  <c r="AM22" i="35"/>
  <c r="AL22" i="35"/>
  <c r="AK22" i="35"/>
  <c r="BP22" i="35"/>
  <c r="BO21" i="35"/>
  <c r="BN21" i="35"/>
  <c r="BM21" i="35"/>
  <c r="BL21" i="35"/>
  <c r="BK21" i="35"/>
  <c r="BJ21" i="35"/>
  <c r="BI21" i="35"/>
  <c r="BH21" i="35"/>
  <c r="BG21" i="35"/>
  <c r="BF21" i="35"/>
  <c r="BE21" i="35"/>
  <c r="BD21" i="35"/>
  <c r="BC21" i="35"/>
  <c r="BB21" i="35"/>
  <c r="BA21" i="35"/>
  <c r="AZ21" i="35"/>
  <c r="AY21" i="35"/>
  <c r="AX21" i="35"/>
  <c r="AW21" i="35"/>
  <c r="AV21" i="35"/>
  <c r="AU21" i="35"/>
  <c r="AT21" i="35"/>
  <c r="AS21" i="35"/>
  <c r="AR21" i="35"/>
  <c r="AQ21" i="35"/>
  <c r="AP21" i="35"/>
  <c r="AO21" i="35"/>
  <c r="AN21" i="35"/>
  <c r="AM21" i="35"/>
  <c r="AL21" i="35"/>
  <c r="AK21" i="35"/>
  <c r="BP21" i="35"/>
  <c r="BO20" i="35"/>
  <c r="BN20" i="35"/>
  <c r="BM20" i="35"/>
  <c r="BL20" i="35"/>
  <c r="BK20" i="35"/>
  <c r="BJ20" i="35"/>
  <c r="BI20" i="35"/>
  <c r="BH20" i="35"/>
  <c r="BG20" i="35"/>
  <c r="BF20" i="35"/>
  <c r="BE20" i="35"/>
  <c r="BD20" i="35"/>
  <c r="BC20" i="35"/>
  <c r="BB20" i="35"/>
  <c r="BA20" i="35"/>
  <c r="AZ20" i="35"/>
  <c r="AY20" i="35"/>
  <c r="AX20" i="35"/>
  <c r="AW20" i="35"/>
  <c r="AV20" i="35"/>
  <c r="AU20" i="35"/>
  <c r="AT20" i="35"/>
  <c r="AS20" i="35"/>
  <c r="AR20" i="35"/>
  <c r="AQ20" i="35"/>
  <c r="AP20" i="35"/>
  <c r="AO20" i="35"/>
  <c r="AN20" i="35"/>
  <c r="AM20" i="35"/>
  <c r="AL20" i="35"/>
  <c r="AK20" i="35"/>
  <c r="BP20" i="35"/>
  <c r="BO19" i="35"/>
  <c r="BN19" i="35"/>
  <c r="BM19" i="35"/>
  <c r="BL19" i="35"/>
  <c r="BK19" i="35"/>
  <c r="BJ19" i="35"/>
  <c r="BI19" i="35"/>
  <c r="BH19" i="35"/>
  <c r="BG19" i="35"/>
  <c r="BF19" i="35"/>
  <c r="BE19" i="35"/>
  <c r="BD19" i="35"/>
  <c r="BC19" i="35"/>
  <c r="BB19" i="35"/>
  <c r="BA19" i="35"/>
  <c r="AZ19" i="35"/>
  <c r="AY19" i="35"/>
  <c r="AX19" i="35"/>
  <c r="AW19" i="35"/>
  <c r="AV19" i="35"/>
  <c r="AU19" i="35"/>
  <c r="AT19" i="35"/>
  <c r="AS19" i="35"/>
  <c r="AR19" i="35"/>
  <c r="AQ19" i="35"/>
  <c r="AP19" i="35"/>
  <c r="AO19" i="35"/>
  <c r="AN19" i="35"/>
  <c r="AM19" i="35"/>
  <c r="AL19" i="35"/>
  <c r="AK19" i="35"/>
  <c r="BP19" i="35"/>
  <c r="BO18" i="35"/>
  <c r="BN18" i="35"/>
  <c r="BM18" i="35"/>
  <c r="BL18" i="35"/>
  <c r="BK18" i="35"/>
  <c r="BJ18" i="35"/>
  <c r="BI18" i="35"/>
  <c r="BH18" i="35"/>
  <c r="BG18" i="35"/>
  <c r="BF18" i="35"/>
  <c r="BE18" i="35"/>
  <c r="BD18" i="35"/>
  <c r="BC18" i="35"/>
  <c r="BB18" i="35"/>
  <c r="BA18" i="35"/>
  <c r="AZ18" i="35"/>
  <c r="AY18" i="35"/>
  <c r="AX18" i="35"/>
  <c r="AW18" i="35"/>
  <c r="AV18" i="35"/>
  <c r="AU18" i="35"/>
  <c r="AT18" i="35"/>
  <c r="AS18" i="35"/>
  <c r="AR18" i="35"/>
  <c r="AQ18" i="35"/>
  <c r="AP18" i="35"/>
  <c r="AO18" i="35"/>
  <c r="AN18" i="35"/>
  <c r="AM18" i="35"/>
  <c r="AL18" i="35"/>
  <c r="AK18" i="35"/>
  <c r="BP18" i="35"/>
  <c r="BO17" i="35"/>
  <c r="BN17" i="35"/>
  <c r="BM17" i="35"/>
  <c r="BL17" i="35"/>
  <c r="BK17" i="35"/>
  <c r="BJ17" i="35"/>
  <c r="BI17" i="35"/>
  <c r="BH17" i="35"/>
  <c r="BG17" i="35"/>
  <c r="BF17" i="35"/>
  <c r="BE17" i="35"/>
  <c r="BD17" i="35"/>
  <c r="BC17" i="35"/>
  <c r="BB17" i="35"/>
  <c r="BA17" i="35"/>
  <c r="AZ17" i="35"/>
  <c r="AY17" i="35"/>
  <c r="AX17" i="35"/>
  <c r="AW17" i="35"/>
  <c r="AV17" i="35"/>
  <c r="AU17" i="35"/>
  <c r="AT17" i="35"/>
  <c r="AS17" i="35"/>
  <c r="AR17" i="35"/>
  <c r="AQ17" i="35"/>
  <c r="AP17" i="35"/>
  <c r="AO17" i="35"/>
  <c r="AN17" i="35"/>
  <c r="AM17" i="35"/>
  <c r="AL17" i="35"/>
  <c r="AK17" i="35"/>
  <c r="BP17" i="35"/>
  <c r="BO16" i="35"/>
  <c r="BN16" i="35"/>
  <c r="BM16" i="35"/>
  <c r="BL16" i="35"/>
  <c r="BK16" i="35"/>
  <c r="BJ16" i="35"/>
  <c r="BI16" i="35"/>
  <c r="BH16" i="35"/>
  <c r="BG16" i="35"/>
  <c r="BF16" i="35"/>
  <c r="BE16" i="35"/>
  <c r="BD16" i="35"/>
  <c r="BC16" i="35"/>
  <c r="BB16" i="35"/>
  <c r="BA16" i="35"/>
  <c r="AZ16" i="35"/>
  <c r="AY16" i="35"/>
  <c r="AX16" i="35"/>
  <c r="AW16" i="35"/>
  <c r="AV16" i="35"/>
  <c r="AU16" i="35"/>
  <c r="AT16" i="35"/>
  <c r="AS16" i="35"/>
  <c r="AR16" i="35"/>
  <c r="AQ16" i="35"/>
  <c r="AP16" i="35"/>
  <c r="AO16" i="35"/>
  <c r="AN16" i="35"/>
  <c r="AM16" i="35"/>
  <c r="AL16" i="35"/>
  <c r="AK16" i="35"/>
  <c r="BP16" i="35"/>
  <c r="BO15" i="35"/>
  <c r="BN15" i="35"/>
  <c r="BM15" i="35"/>
  <c r="BL15" i="35"/>
  <c r="BK15" i="35"/>
  <c r="BJ15" i="35"/>
  <c r="BI15" i="35"/>
  <c r="BH15" i="35"/>
  <c r="BG15" i="35"/>
  <c r="BF15" i="35"/>
  <c r="BE15" i="35"/>
  <c r="BD15" i="35"/>
  <c r="BC15" i="35"/>
  <c r="BB15" i="35"/>
  <c r="BA15" i="35"/>
  <c r="AZ15" i="35"/>
  <c r="AY15" i="35"/>
  <c r="AX15" i="35"/>
  <c r="AW15" i="35"/>
  <c r="AV15" i="35"/>
  <c r="AU15" i="35"/>
  <c r="AT15" i="35"/>
  <c r="AS15" i="35"/>
  <c r="AR15" i="35"/>
  <c r="AQ15" i="35"/>
  <c r="AP15" i="35"/>
  <c r="AO15" i="35"/>
  <c r="AN15" i="35"/>
  <c r="AM15" i="35"/>
  <c r="AL15" i="35"/>
  <c r="AK15" i="35"/>
  <c r="BP15" i="35"/>
  <c r="BO14" i="35"/>
  <c r="BN14" i="35"/>
  <c r="BM14" i="35"/>
  <c r="BL14" i="35"/>
  <c r="BK14" i="35"/>
  <c r="BJ14" i="35"/>
  <c r="BI14" i="35"/>
  <c r="BH14" i="35"/>
  <c r="BG14" i="35"/>
  <c r="BF14" i="35"/>
  <c r="BE14" i="35"/>
  <c r="BD14" i="35"/>
  <c r="BC14" i="35"/>
  <c r="BB14" i="35"/>
  <c r="BA14" i="35"/>
  <c r="AZ14" i="35"/>
  <c r="AY14" i="35"/>
  <c r="AX14" i="35"/>
  <c r="AW14" i="35"/>
  <c r="AV14" i="35"/>
  <c r="AU14" i="35"/>
  <c r="AT14" i="35"/>
  <c r="AS14" i="35"/>
  <c r="AR14" i="35"/>
  <c r="AQ14" i="35"/>
  <c r="AP14" i="35"/>
  <c r="AO14" i="35"/>
  <c r="AN14" i="35"/>
  <c r="AM14" i="35"/>
  <c r="AL14" i="35"/>
  <c r="AK14" i="35"/>
  <c r="BP14" i="35"/>
  <c r="BO13" i="35"/>
  <c r="BN13" i="35"/>
  <c r="BM13" i="35"/>
  <c r="BL13" i="35"/>
  <c r="BK13" i="35"/>
  <c r="BJ13" i="35"/>
  <c r="BI13" i="35"/>
  <c r="BH13" i="35"/>
  <c r="BG13" i="35"/>
  <c r="BF13" i="35"/>
  <c r="BE13" i="35"/>
  <c r="BD13" i="35"/>
  <c r="BC13" i="35"/>
  <c r="BB13" i="35"/>
  <c r="BA13" i="35"/>
  <c r="AZ13" i="35"/>
  <c r="AY13" i="35"/>
  <c r="AX13" i="35"/>
  <c r="AW13" i="35"/>
  <c r="AV13" i="35"/>
  <c r="AU13" i="35"/>
  <c r="AT13" i="35"/>
  <c r="AS13" i="35"/>
  <c r="AR13" i="35"/>
  <c r="AQ13" i="35"/>
  <c r="AP13" i="35"/>
  <c r="AO13" i="35"/>
  <c r="AN13" i="35"/>
  <c r="AM13" i="35"/>
  <c r="AL13" i="35"/>
  <c r="AK13" i="35"/>
  <c r="BP13" i="35"/>
  <c r="BO12" i="35"/>
  <c r="BN12" i="35"/>
  <c r="BM12" i="35"/>
  <c r="BL12" i="35"/>
  <c r="BK12" i="35"/>
  <c r="BJ12" i="35"/>
  <c r="BI12" i="35"/>
  <c r="BH12" i="35"/>
  <c r="BG12" i="35"/>
  <c r="BF12" i="35"/>
  <c r="BE12" i="35"/>
  <c r="BD12" i="35"/>
  <c r="BC12" i="35"/>
  <c r="BB12" i="35"/>
  <c r="BA12" i="35"/>
  <c r="AZ12" i="35"/>
  <c r="AY12" i="35"/>
  <c r="AX12" i="35"/>
  <c r="AW12" i="35"/>
  <c r="AV12" i="35"/>
  <c r="AU12" i="35"/>
  <c r="AT12" i="35"/>
  <c r="AS12" i="35"/>
  <c r="AR12" i="35"/>
  <c r="AQ12" i="35"/>
  <c r="AP12" i="35"/>
  <c r="AO12" i="35"/>
  <c r="AN12" i="35"/>
  <c r="AM12" i="35"/>
  <c r="AL12" i="35"/>
  <c r="BP12" i="35"/>
  <c r="BO11" i="35"/>
  <c r="BN11" i="35"/>
  <c r="BM11" i="35"/>
  <c r="BL11" i="35"/>
  <c r="BK11" i="35"/>
  <c r="BJ11" i="35"/>
  <c r="BI11" i="35"/>
  <c r="BH11" i="35"/>
  <c r="BG11" i="35"/>
  <c r="BF11" i="35"/>
  <c r="BE11" i="35"/>
  <c r="BD11" i="35"/>
  <c r="BC11" i="35"/>
  <c r="BB11" i="35"/>
  <c r="BA11" i="35"/>
  <c r="AZ11" i="35"/>
  <c r="AY11" i="35"/>
  <c r="AX11" i="35"/>
  <c r="AW11" i="35"/>
  <c r="AV11" i="35"/>
  <c r="AU11" i="35"/>
  <c r="AT11" i="35"/>
  <c r="AS11" i="35"/>
  <c r="AR11" i="35"/>
  <c r="AQ11" i="35"/>
  <c r="AP11" i="35"/>
  <c r="AO11" i="35"/>
  <c r="AN11" i="35"/>
  <c r="AM11" i="35"/>
  <c r="AL11" i="35"/>
  <c r="AK11" i="35"/>
  <c r="BP11" i="35"/>
  <c r="BO10" i="35"/>
  <c r="BN10" i="35"/>
  <c r="BM10" i="35"/>
  <c r="BL10" i="35"/>
  <c r="BK10" i="35"/>
  <c r="BJ10" i="35"/>
  <c r="BI10" i="35"/>
  <c r="BH10" i="35"/>
  <c r="BG10" i="35"/>
  <c r="BF10" i="35"/>
  <c r="BE10" i="35"/>
  <c r="BD10" i="35"/>
  <c r="BC10" i="35"/>
  <c r="BB10" i="35"/>
  <c r="BA10" i="35"/>
  <c r="AZ10" i="35"/>
  <c r="AY10" i="35"/>
  <c r="AX10" i="35"/>
  <c r="AW10" i="35"/>
  <c r="AV10" i="35"/>
  <c r="AU10" i="35"/>
  <c r="AT10" i="35"/>
  <c r="AS10" i="35"/>
  <c r="AR10" i="35"/>
  <c r="AQ10" i="35"/>
  <c r="AP10" i="35"/>
  <c r="AO10" i="35"/>
  <c r="AN10" i="35"/>
  <c r="AM10" i="35"/>
  <c r="AL10" i="35"/>
  <c r="AK10" i="35"/>
  <c r="BP10" i="35"/>
  <c r="BO9" i="35"/>
  <c r="BN9" i="35"/>
  <c r="BM9" i="35"/>
  <c r="BL9" i="35"/>
  <c r="BK9" i="35"/>
  <c r="BJ9" i="35"/>
  <c r="BI9" i="35"/>
  <c r="BH9" i="35"/>
  <c r="BG9" i="35"/>
  <c r="BF9" i="35"/>
  <c r="BE9" i="35"/>
  <c r="BD9" i="35"/>
  <c r="BC9" i="35"/>
  <c r="BB9" i="35"/>
  <c r="BA9" i="35"/>
  <c r="AZ9" i="35"/>
  <c r="AY9" i="35"/>
  <c r="AX9" i="35"/>
  <c r="AW9" i="35"/>
  <c r="AV9" i="35"/>
  <c r="AU9" i="35"/>
  <c r="AT9" i="35"/>
  <c r="AS9" i="35"/>
  <c r="AR9" i="35"/>
  <c r="AQ9" i="35"/>
  <c r="AP9" i="35"/>
  <c r="AO9" i="35"/>
  <c r="AN9" i="35"/>
  <c r="AM9" i="35"/>
  <c r="AL9" i="35"/>
  <c r="AK9" i="35"/>
  <c r="BP9" i="35"/>
  <c r="BO8" i="35"/>
  <c r="BN8" i="35"/>
  <c r="BM8" i="35"/>
  <c r="BL8" i="35"/>
  <c r="BK8" i="35"/>
  <c r="BJ8" i="35"/>
  <c r="BI8" i="35"/>
  <c r="BH8" i="35"/>
  <c r="BG8" i="35"/>
  <c r="BF8" i="35"/>
  <c r="BE8" i="35"/>
  <c r="BD8" i="35"/>
  <c r="BC8" i="35"/>
  <c r="BB8" i="35"/>
  <c r="BA8" i="35"/>
  <c r="AZ8" i="35"/>
  <c r="AY8" i="35"/>
  <c r="AX8" i="35"/>
  <c r="AW8" i="35"/>
  <c r="AV8" i="35"/>
  <c r="AU8" i="35"/>
  <c r="AT8" i="35"/>
  <c r="AS8" i="35"/>
  <c r="AR8" i="35"/>
  <c r="AQ8" i="35"/>
  <c r="AP8" i="35"/>
  <c r="AO8" i="35"/>
  <c r="AN8" i="35"/>
  <c r="AM8" i="35"/>
  <c r="AL8" i="35"/>
  <c r="AK8" i="35"/>
  <c r="BP8" i="35"/>
  <c r="BO7" i="35"/>
  <c r="BN7" i="35"/>
  <c r="BM7" i="35"/>
  <c r="BL7" i="35"/>
  <c r="BK7" i="35"/>
  <c r="BJ7" i="35"/>
  <c r="BI7" i="35"/>
  <c r="BH7" i="35"/>
  <c r="BG7" i="35"/>
  <c r="BF7" i="35"/>
  <c r="BE7" i="35"/>
  <c r="BD7" i="35"/>
  <c r="BC7" i="35"/>
  <c r="BB7" i="35"/>
  <c r="BA7" i="35"/>
  <c r="AZ7" i="35"/>
  <c r="AY7" i="35"/>
  <c r="AX7" i="35"/>
  <c r="AW7" i="35"/>
  <c r="AV7" i="35"/>
  <c r="AU7" i="35"/>
  <c r="AT7" i="35"/>
  <c r="AS7" i="35"/>
  <c r="AR7" i="35"/>
  <c r="AQ7" i="35"/>
  <c r="AP7" i="35"/>
  <c r="AO7" i="35"/>
  <c r="AN7" i="35"/>
  <c r="AM7" i="35"/>
  <c r="AL7" i="35"/>
  <c r="AK7" i="35"/>
  <c r="BP7" i="35"/>
  <c r="BO6" i="35"/>
  <c r="BN6" i="35"/>
  <c r="BM6" i="35"/>
  <c r="BL6" i="35"/>
  <c r="BK6" i="35"/>
  <c r="BJ6" i="35"/>
  <c r="BI6" i="35"/>
  <c r="BH6" i="35"/>
  <c r="BG6" i="35"/>
  <c r="BF6" i="35"/>
  <c r="BE6" i="35"/>
  <c r="BD6" i="35"/>
  <c r="BC6" i="35"/>
  <c r="BB6" i="35"/>
  <c r="BA6" i="35"/>
  <c r="AZ6" i="35"/>
  <c r="AY6" i="35"/>
  <c r="AX6" i="35"/>
  <c r="AW6" i="35"/>
  <c r="AV6" i="35"/>
  <c r="AU6" i="35"/>
  <c r="AT6" i="35"/>
  <c r="AS6" i="35"/>
  <c r="AR6" i="35"/>
  <c r="AQ6" i="35"/>
  <c r="AP6" i="35"/>
  <c r="AO6" i="35"/>
  <c r="AN6" i="35"/>
  <c r="AM6" i="35"/>
  <c r="AL6" i="35"/>
  <c r="AK6" i="35"/>
  <c r="BP6" i="35"/>
  <c r="BO5" i="35"/>
  <c r="BN5" i="35"/>
  <c r="BM5" i="35"/>
  <c r="BL5" i="35"/>
  <c r="BK5" i="35"/>
  <c r="BJ5" i="35"/>
  <c r="BI5" i="35"/>
  <c r="BH5" i="35"/>
  <c r="BG5" i="35"/>
  <c r="BF5" i="35"/>
  <c r="BE5" i="35"/>
  <c r="BD5" i="35"/>
  <c r="BC5" i="35"/>
  <c r="BB5" i="35"/>
  <c r="BA5" i="35"/>
  <c r="AZ5" i="35"/>
  <c r="AY5" i="35"/>
  <c r="AX5" i="35"/>
  <c r="AW5" i="35"/>
  <c r="AV5" i="35"/>
  <c r="AU5" i="35"/>
  <c r="AT5" i="35"/>
  <c r="AS5" i="35"/>
  <c r="AR5" i="35"/>
  <c r="AQ5" i="35"/>
  <c r="AP5" i="35"/>
  <c r="AO5" i="35"/>
  <c r="AN5" i="35"/>
  <c r="AM5" i="35"/>
  <c r="AL5" i="35"/>
  <c r="AK5" i="35"/>
  <c r="BP5" i="35"/>
  <c r="H294" i="14"/>
  <c r="H293" i="14"/>
  <c r="H292" i="14"/>
  <c r="H291" i="14"/>
  <c r="M131" i="39" l="1"/>
  <c r="N130" i="39"/>
  <c r="AU24" i="35"/>
  <c r="M32" i="35"/>
  <c r="AI32" i="35"/>
  <c r="N131" i="39" l="1"/>
  <c r="O130" i="39"/>
  <c r="AI36" i="35"/>
  <c r="AI35" i="35"/>
  <c r="AI34" i="35"/>
  <c r="AI33" i="35"/>
  <c r="O131" i="39" l="1"/>
  <c r="P130" i="39"/>
  <c r="P131" i="39" l="1"/>
  <c r="Q130" i="39"/>
  <c r="Q131" i="39" s="1"/>
  <c r="H290" i="14" l="1"/>
  <c r="AB24" i="34"/>
  <c r="H289" i="14"/>
  <c r="H288" i="14"/>
  <c r="H287" i="14"/>
  <c r="H286" i="14"/>
  <c r="H284" i="14"/>
  <c r="H285" i="14"/>
  <c r="H283" i="14" l="1"/>
  <c r="D21" i="14" l="1"/>
  <c r="H282" i="14"/>
  <c r="H281" i="14"/>
  <c r="H280" i="14"/>
  <c r="M24" i="34" l="1"/>
  <c r="K270" i="14" l="1"/>
  <c r="K271" i="14" s="1"/>
  <c r="AI18" i="33"/>
  <c r="F24" i="34"/>
  <c r="R262" i="14"/>
  <c r="R263" i="14"/>
  <c r="R264" i="14"/>
  <c r="R265" i="14"/>
  <c r="I67" i="34"/>
  <c r="J67" i="34" s="1"/>
  <c r="K67" i="34" s="1"/>
  <c r="L67" i="34" s="1"/>
  <c r="M67" i="34" s="1"/>
  <c r="N67" i="34" s="1"/>
  <c r="O67" i="34" s="1"/>
  <c r="P67" i="34" s="1"/>
  <c r="Q67" i="34" s="1"/>
  <c r="R67" i="34" s="1"/>
  <c r="S67" i="34" s="1"/>
  <c r="T67" i="34" s="1"/>
  <c r="U67" i="34" s="1"/>
  <c r="V67" i="34" s="1"/>
  <c r="D67" i="34"/>
  <c r="E67" i="34" s="1"/>
  <c r="F67" i="34" s="1"/>
  <c r="I66" i="34"/>
  <c r="J66" i="34" s="1"/>
  <c r="K66" i="34" s="1"/>
  <c r="L66" i="34" s="1"/>
  <c r="M66" i="34" s="1"/>
  <c r="N66" i="34" s="1"/>
  <c r="O66" i="34" s="1"/>
  <c r="P66" i="34" s="1"/>
  <c r="Q66" i="34" s="1"/>
  <c r="R66" i="34" s="1"/>
  <c r="S66" i="34" s="1"/>
  <c r="T66" i="34" s="1"/>
  <c r="U66" i="34" s="1"/>
  <c r="V66" i="34" s="1"/>
  <c r="D66" i="34"/>
  <c r="E66" i="34" s="1"/>
  <c r="F66" i="34" s="1"/>
  <c r="I65" i="34"/>
  <c r="J65" i="34" s="1"/>
  <c r="K65" i="34" s="1"/>
  <c r="L65" i="34" s="1"/>
  <c r="M65" i="34" s="1"/>
  <c r="N65" i="34" s="1"/>
  <c r="O65" i="34" s="1"/>
  <c r="P65" i="34" s="1"/>
  <c r="Q65" i="34" s="1"/>
  <c r="R65" i="34" s="1"/>
  <c r="S65" i="34" s="1"/>
  <c r="T65" i="34" s="1"/>
  <c r="U65" i="34" s="1"/>
  <c r="V65" i="34" s="1"/>
  <c r="D65" i="34"/>
  <c r="E65" i="34" s="1"/>
  <c r="F65" i="34" s="1"/>
  <c r="I64" i="34"/>
  <c r="J64" i="34" s="1"/>
  <c r="K64" i="34" s="1"/>
  <c r="L64" i="34" s="1"/>
  <c r="M64" i="34" s="1"/>
  <c r="N64" i="34" s="1"/>
  <c r="O64" i="34" s="1"/>
  <c r="P64" i="34" s="1"/>
  <c r="Q64" i="34" s="1"/>
  <c r="R64" i="34" s="1"/>
  <c r="S64" i="34" s="1"/>
  <c r="T64" i="34" s="1"/>
  <c r="U64" i="34" s="1"/>
  <c r="V64" i="34" s="1"/>
  <c r="D64" i="34"/>
  <c r="E64" i="34" s="1"/>
  <c r="F64" i="34" s="1"/>
  <c r="I63" i="34"/>
  <c r="J63" i="34" s="1"/>
  <c r="K63" i="34" s="1"/>
  <c r="L63" i="34" s="1"/>
  <c r="M63" i="34" s="1"/>
  <c r="N63" i="34" s="1"/>
  <c r="O63" i="34" s="1"/>
  <c r="P63" i="34" s="1"/>
  <c r="Q63" i="34" s="1"/>
  <c r="R63" i="34" s="1"/>
  <c r="S63" i="34" s="1"/>
  <c r="T63" i="34" s="1"/>
  <c r="U63" i="34" s="1"/>
  <c r="V63" i="34" s="1"/>
  <c r="D63" i="34"/>
  <c r="E63" i="34" s="1"/>
  <c r="F63" i="34" s="1"/>
  <c r="J62" i="34"/>
  <c r="K62" i="34" s="1"/>
  <c r="L62" i="34" s="1"/>
  <c r="M62" i="34" s="1"/>
  <c r="N62" i="34" s="1"/>
  <c r="O62" i="34" s="1"/>
  <c r="P62" i="34" s="1"/>
  <c r="Q62" i="34" s="1"/>
  <c r="R62" i="34" s="1"/>
  <c r="S62" i="34" s="1"/>
  <c r="T62" i="34" s="1"/>
  <c r="U62" i="34" s="1"/>
  <c r="V62" i="34" s="1"/>
  <c r="I62" i="34"/>
  <c r="D62" i="34"/>
  <c r="E62" i="34" s="1"/>
  <c r="F62" i="34" s="1"/>
  <c r="I61" i="34"/>
  <c r="J61" i="34" s="1"/>
  <c r="K61" i="34" s="1"/>
  <c r="L61" i="34" s="1"/>
  <c r="M61" i="34" s="1"/>
  <c r="N61" i="34" s="1"/>
  <c r="O61" i="34" s="1"/>
  <c r="P61" i="34" s="1"/>
  <c r="Q61" i="34" s="1"/>
  <c r="R61" i="34" s="1"/>
  <c r="S61" i="34" s="1"/>
  <c r="T61" i="34" s="1"/>
  <c r="U61" i="34" s="1"/>
  <c r="V61" i="34" s="1"/>
  <c r="D61" i="34"/>
  <c r="E61" i="34" s="1"/>
  <c r="F61" i="34" s="1"/>
  <c r="I60" i="34"/>
  <c r="J60" i="34" s="1"/>
  <c r="K60" i="34" s="1"/>
  <c r="L60" i="34" s="1"/>
  <c r="M60" i="34" s="1"/>
  <c r="N60" i="34" s="1"/>
  <c r="O60" i="34" s="1"/>
  <c r="P60" i="34" s="1"/>
  <c r="Q60" i="34" s="1"/>
  <c r="R60" i="34" s="1"/>
  <c r="S60" i="34" s="1"/>
  <c r="T60" i="34" s="1"/>
  <c r="U60" i="34" s="1"/>
  <c r="V60" i="34" s="1"/>
  <c r="D60" i="34"/>
  <c r="E60" i="34" s="1"/>
  <c r="F60" i="34" s="1"/>
  <c r="I59" i="34"/>
  <c r="J59" i="34" s="1"/>
  <c r="K59" i="34" s="1"/>
  <c r="L59" i="34" s="1"/>
  <c r="M59" i="34" s="1"/>
  <c r="N59" i="34" s="1"/>
  <c r="O59" i="34" s="1"/>
  <c r="P59" i="34" s="1"/>
  <c r="Q59" i="34" s="1"/>
  <c r="R59" i="34" s="1"/>
  <c r="S59" i="34" s="1"/>
  <c r="T59" i="34" s="1"/>
  <c r="U59" i="34" s="1"/>
  <c r="V59" i="34" s="1"/>
  <c r="D59" i="34"/>
  <c r="E59" i="34" s="1"/>
  <c r="F59" i="34" s="1"/>
  <c r="I58" i="34"/>
  <c r="J58" i="34" s="1"/>
  <c r="K58" i="34" s="1"/>
  <c r="L58" i="34" s="1"/>
  <c r="M58" i="34" s="1"/>
  <c r="N58" i="34" s="1"/>
  <c r="O58" i="34" s="1"/>
  <c r="P58" i="34" s="1"/>
  <c r="Q58" i="34" s="1"/>
  <c r="R58" i="34" s="1"/>
  <c r="S58" i="34" s="1"/>
  <c r="T58" i="34" s="1"/>
  <c r="U58" i="34" s="1"/>
  <c r="V58" i="34" s="1"/>
  <c r="D58" i="34"/>
  <c r="E58" i="34" s="1"/>
  <c r="F58" i="34" s="1"/>
  <c r="I57" i="34"/>
  <c r="J57" i="34" s="1"/>
  <c r="K57" i="34" s="1"/>
  <c r="L57" i="34" s="1"/>
  <c r="M57" i="34" s="1"/>
  <c r="N57" i="34" s="1"/>
  <c r="O57" i="34" s="1"/>
  <c r="P57" i="34" s="1"/>
  <c r="Q57" i="34" s="1"/>
  <c r="R57" i="34" s="1"/>
  <c r="S57" i="34" s="1"/>
  <c r="T57" i="34" s="1"/>
  <c r="U57" i="34" s="1"/>
  <c r="V57" i="34" s="1"/>
  <c r="D57" i="34"/>
  <c r="E57" i="34" s="1"/>
  <c r="F57" i="34" s="1"/>
  <c r="I56" i="34"/>
  <c r="J56" i="34" s="1"/>
  <c r="K56" i="34" s="1"/>
  <c r="L56" i="34" s="1"/>
  <c r="M56" i="34" s="1"/>
  <c r="N56" i="34" s="1"/>
  <c r="O56" i="34" s="1"/>
  <c r="P56" i="34" s="1"/>
  <c r="Q56" i="34" s="1"/>
  <c r="R56" i="34" s="1"/>
  <c r="S56" i="34" s="1"/>
  <c r="T56" i="34" s="1"/>
  <c r="U56" i="34" s="1"/>
  <c r="V56" i="34" s="1"/>
  <c r="D56" i="34"/>
  <c r="E56" i="34" s="1"/>
  <c r="F56" i="34" s="1"/>
  <c r="I55" i="34"/>
  <c r="J55" i="34" s="1"/>
  <c r="K55" i="34" s="1"/>
  <c r="L55" i="34" s="1"/>
  <c r="M55" i="34" s="1"/>
  <c r="N55" i="34" s="1"/>
  <c r="O55" i="34" s="1"/>
  <c r="P55" i="34" s="1"/>
  <c r="Q55" i="34" s="1"/>
  <c r="R55" i="34" s="1"/>
  <c r="S55" i="34" s="1"/>
  <c r="T55" i="34" s="1"/>
  <c r="U55" i="34" s="1"/>
  <c r="V55" i="34" s="1"/>
  <c r="D55" i="34"/>
  <c r="E55" i="34" s="1"/>
  <c r="F55" i="34" s="1"/>
  <c r="I54" i="34"/>
  <c r="J54" i="34" s="1"/>
  <c r="K54" i="34" s="1"/>
  <c r="L54" i="34" s="1"/>
  <c r="M54" i="34" s="1"/>
  <c r="N54" i="34" s="1"/>
  <c r="O54" i="34" s="1"/>
  <c r="P54" i="34" s="1"/>
  <c r="Q54" i="34" s="1"/>
  <c r="R54" i="34" s="1"/>
  <c r="S54" i="34" s="1"/>
  <c r="T54" i="34" s="1"/>
  <c r="U54" i="34" s="1"/>
  <c r="V54" i="34" s="1"/>
  <c r="D54" i="34"/>
  <c r="E54" i="34" s="1"/>
  <c r="F54" i="34" s="1"/>
  <c r="I53" i="34"/>
  <c r="J53" i="34" s="1"/>
  <c r="K53" i="34" s="1"/>
  <c r="L53" i="34" s="1"/>
  <c r="M53" i="34" s="1"/>
  <c r="N53" i="34" s="1"/>
  <c r="O53" i="34" s="1"/>
  <c r="P53" i="34" s="1"/>
  <c r="Q53" i="34" s="1"/>
  <c r="R53" i="34" s="1"/>
  <c r="S53" i="34" s="1"/>
  <c r="T53" i="34" s="1"/>
  <c r="U53" i="34" s="1"/>
  <c r="V53" i="34" s="1"/>
  <c r="D53" i="34"/>
  <c r="E53" i="34" s="1"/>
  <c r="F53" i="34" s="1"/>
  <c r="I52" i="34"/>
  <c r="J52" i="34" s="1"/>
  <c r="K52" i="34" s="1"/>
  <c r="L52" i="34" s="1"/>
  <c r="M52" i="34" s="1"/>
  <c r="N52" i="34" s="1"/>
  <c r="O52" i="34" s="1"/>
  <c r="P52" i="34" s="1"/>
  <c r="Q52" i="34" s="1"/>
  <c r="R52" i="34" s="1"/>
  <c r="S52" i="34" s="1"/>
  <c r="T52" i="34" s="1"/>
  <c r="U52" i="34" s="1"/>
  <c r="V52" i="34" s="1"/>
  <c r="D52" i="34"/>
  <c r="E52" i="34" s="1"/>
  <c r="F52" i="34" s="1"/>
  <c r="I51" i="34"/>
  <c r="J51" i="34" s="1"/>
  <c r="K51" i="34" s="1"/>
  <c r="L51" i="34" s="1"/>
  <c r="M51" i="34" s="1"/>
  <c r="N51" i="34" s="1"/>
  <c r="O51" i="34" s="1"/>
  <c r="P51" i="34" s="1"/>
  <c r="Q51" i="34" s="1"/>
  <c r="R51" i="34" s="1"/>
  <c r="S51" i="34" s="1"/>
  <c r="T51" i="34" s="1"/>
  <c r="U51" i="34" s="1"/>
  <c r="V51" i="34" s="1"/>
  <c r="D51" i="34"/>
  <c r="E51" i="34" s="1"/>
  <c r="F51" i="34" s="1"/>
  <c r="I50" i="34"/>
  <c r="J50" i="34" s="1"/>
  <c r="K50" i="34" s="1"/>
  <c r="L50" i="34" s="1"/>
  <c r="M50" i="34" s="1"/>
  <c r="N50" i="34" s="1"/>
  <c r="O50" i="34" s="1"/>
  <c r="P50" i="34" s="1"/>
  <c r="Q50" i="34" s="1"/>
  <c r="R50" i="34" s="1"/>
  <c r="S50" i="34" s="1"/>
  <c r="T50" i="34" s="1"/>
  <c r="U50" i="34" s="1"/>
  <c r="V50" i="34" s="1"/>
  <c r="D50" i="34"/>
  <c r="E50" i="34" s="1"/>
  <c r="F50" i="34" s="1"/>
  <c r="I49" i="34"/>
  <c r="J49" i="34" s="1"/>
  <c r="K49" i="34" s="1"/>
  <c r="L49" i="34" s="1"/>
  <c r="M49" i="34" s="1"/>
  <c r="N49" i="34" s="1"/>
  <c r="O49" i="34" s="1"/>
  <c r="P49" i="34" s="1"/>
  <c r="Q49" i="34" s="1"/>
  <c r="R49" i="34" s="1"/>
  <c r="S49" i="34" s="1"/>
  <c r="T49" i="34" s="1"/>
  <c r="U49" i="34" s="1"/>
  <c r="V49" i="34" s="1"/>
  <c r="E49" i="34"/>
  <c r="F49" i="34" s="1"/>
  <c r="D49" i="34"/>
  <c r="I48" i="34"/>
  <c r="J48" i="34" s="1"/>
  <c r="K48" i="34" s="1"/>
  <c r="L48" i="34" s="1"/>
  <c r="M48" i="34" s="1"/>
  <c r="N48" i="34" s="1"/>
  <c r="O48" i="34" s="1"/>
  <c r="P48" i="34" s="1"/>
  <c r="Q48" i="34" s="1"/>
  <c r="R48" i="34" s="1"/>
  <c r="S48" i="34" s="1"/>
  <c r="T48" i="34" s="1"/>
  <c r="U48" i="34" s="1"/>
  <c r="V48" i="34" s="1"/>
  <c r="D48" i="34"/>
  <c r="E48" i="34" s="1"/>
  <c r="F48" i="34" s="1"/>
  <c r="I47" i="34"/>
  <c r="J47" i="34" s="1"/>
  <c r="K47" i="34" s="1"/>
  <c r="L47" i="34" s="1"/>
  <c r="M47" i="34" s="1"/>
  <c r="N47" i="34" s="1"/>
  <c r="O47" i="34" s="1"/>
  <c r="P47" i="34" s="1"/>
  <c r="Q47" i="34" s="1"/>
  <c r="R47" i="34" s="1"/>
  <c r="S47" i="34" s="1"/>
  <c r="T47" i="34" s="1"/>
  <c r="U47" i="34" s="1"/>
  <c r="V47" i="34" s="1"/>
  <c r="D47" i="34"/>
  <c r="E47" i="34" s="1"/>
  <c r="F47" i="34" s="1"/>
  <c r="I46" i="34"/>
  <c r="J46" i="34" s="1"/>
  <c r="K46" i="34" s="1"/>
  <c r="L46" i="34" s="1"/>
  <c r="M46" i="34" s="1"/>
  <c r="N46" i="34" s="1"/>
  <c r="O46" i="34" s="1"/>
  <c r="P46" i="34" s="1"/>
  <c r="Q46" i="34" s="1"/>
  <c r="R46" i="34" s="1"/>
  <c r="S46" i="34" s="1"/>
  <c r="T46" i="34" s="1"/>
  <c r="U46" i="34" s="1"/>
  <c r="V46" i="34" s="1"/>
  <c r="D46" i="34"/>
  <c r="E46" i="34" s="1"/>
  <c r="F46" i="34" s="1"/>
  <c r="H45" i="34"/>
  <c r="I45" i="34" s="1"/>
  <c r="J45" i="34" s="1"/>
  <c r="K45" i="34" s="1"/>
  <c r="L45" i="34" s="1"/>
  <c r="M45" i="34" s="1"/>
  <c r="N45" i="34" s="1"/>
  <c r="O45" i="34" s="1"/>
  <c r="P45" i="34" s="1"/>
  <c r="Q45" i="34" s="1"/>
  <c r="R45" i="34" s="1"/>
  <c r="S45" i="34" s="1"/>
  <c r="T45" i="34" s="1"/>
  <c r="U45" i="34" s="1"/>
  <c r="V45" i="34" s="1"/>
  <c r="G45" i="34"/>
  <c r="D45" i="34"/>
  <c r="E45" i="34" s="1"/>
  <c r="F45" i="34" s="1"/>
  <c r="AL44" i="34"/>
  <c r="I44" i="34"/>
  <c r="J44" i="34" s="1"/>
  <c r="K44" i="34" s="1"/>
  <c r="L44" i="34" s="1"/>
  <c r="M44" i="34" s="1"/>
  <c r="N44" i="34" s="1"/>
  <c r="O44" i="34" s="1"/>
  <c r="P44" i="34" s="1"/>
  <c r="Q44" i="34" s="1"/>
  <c r="R44" i="34" s="1"/>
  <c r="S44" i="34" s="1"/>
  <c r="T44" i="34" s="1"/>
  <c r="U44" i="34" s="1"/>
  <c r="V44" i="34" s="1"/>
  <c r="D44" i="34"/>
  <c r="E44" i="34" s="1"/>
  <c r="F44" i="34" s="1"/>
  <c r="AG42" i="34"/>
  <c r="AA42" i="34"/>
  <c r="Z42" i="34"/>
  <c r="T42" i="34"/>
  <c r="S42" i="34"/>
  <c r="M42" i="34"/>
  <c r="L42" i="34"/>
  <c r="F42" i="34"/>
  <c r="E42" i="34"/>
  <c r="AF40" i="34"/>
  <c r="AF41" i="34" s="1"/>
  <c r="O40" i="34"/>
  <c r="AE39" i="34"/>
  <c r="AC39" i="34"/>
  <c r="T37" i="34"/>
  <c r="N36" i="34"/>
  <c r="L36" i="34"/>
  <c r="AI32" i="34"/>
  <c r="AG32" i="34"/>
  <c r="AF32" i="34"/>
  <c r="AE32" i="34"/>
  <c r="AD32" i="34"/>
  <c r="AC32" i="34"/>
  <c r="AB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D32" i="34"/>
  <c r="BN31" i="34"/>
  <c r="BM31" i="34"/>
  <c r="BL31" i="34"/>
  <c r="BK31" i="34"/>
  <c r="BJ31" i="34"/>
  <c r="BI31" i="34"/>
  <c r="BH31" i="34"/>
  <c r="BG31" i="34"/>
  <c r="BF31" i="34"/>
  <c r="BE31" i="34"/>
  <c r="BD31" i="34"/>
  <c r="BC31" i="34"/>
  <c r="BB31" i="34"/>
  <c r="BA31" i="34"/>
  <c r="AZ31" i="34"/>
  <c r="AY31" i="34"/>
  <c r="AX31" i="34"/>
  <c r="AW31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H31" i="34"/>
  <c r="BO31" i="34" s="1"/>
  <c r="BN30" i="34"/>
  <c r="BM30" i="34"/>
  <c r="BL30" i="34"/>
  <c r="BK30" i="34"/>
  <c r="BJ30" i="34"/>
  <c r="BI30" i="34"/>
  <c r="BH30" i="34"/>
  <c r="BG30" i="34"/>
  <c r="BF30" i="34"/>
  <c r="BE30" i="34"/>
  <c r="BD30" i="34"/>
  <c r="BC30" i="34"/>
  <c r="BB30" i="34"/>
  <c r="BA30" i="34"/>
  <c r="AZ30" i="34"/>
  <c r="AY30" i="34"/>
  <c r="AX30" i="34"/>
  <c r="AW30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H30" i="34"/>
  <c r="BO30" i="34" s="1"/>
  <c r="BN29" i="34"/>
  <c r="BM29" i="34"/>
  <c r="BL29" i="34"/>
  <c r="BK29" i="34"/>
  <c r="BJ29" i="34"/>
  <c r="BI29" i="34"/>
  <c r="BH29" i="34"/>
  <c r="BG29" i="34"/>
  <c r="BF29" i="34"/>
  <c r="BE29" i="34"/>
  <c r="BD29" i="34"/>
  <c r="BC29" i="34"/>
  <c r="BB29" i="34"/>
  <c r="BA29" i="34"/>
  <c r="AZ29" i="34"/>
  <c r="AY29" i="34"/>
  <c r="AX29" i="34"/>
  <c r="AW29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H29" i="34"/>
  <c r="BO29" i="34" s="1"/>
  <c r="BN28" i="34"/>
  <c r="BM28" i="34"/>
  <c r="BL28" i="34"/>
  <c r="BK28" i="34"/>
  <c r="BJ28" i="34"/>
  <c r="BI28" i="34"/>
  <c r="BH28" i="34"/>
  <c r="BG28" i="34"/>
  <c r="BF28" i="34"/>
  <c r="BE28" i="34"/>
  <c r="BD28" i="34"/>
  <c r="BC28" i="34"/>
  <c r="BB28" i="34"/>
  <c r="BA28" i="34"/>
  <c r="AZ28" i="34"/>
  <c r="AY28" i="34"/>
  <c r="AX28" i="34"/>
  <c r="AW28" i="34"/>
  <c r="AV28" i="34"/>
  <c r="AU28" i="34"/>
  <c r="AT28" i="34"/>
  <c r="AS28" i="34"/>
  <c r="AR28" i="34"/>
  <c r="AQ28" i="34"/>
  <c r="AP28" i="34"/>
  <c r="AO28" i="34"/>
  <c r="AN28" i="34"/>
  <c r="AM28" i="34"/>
  <c r="AK28" i="34"/>
  <c r="AJ28" i="34"/>
  <c r="E32" i="34"/>
  <c r="BN27" i="34"/>
  <c r="BM27" i="34"/>
  <c r="BL27" i="34"/>
  <c r="BK27" i="34"/>
  <c r="BJ27" i="34"/>
  <c r="BI27" i="34"/>
  <c r="BH27" i="34"/>
  <c r="BG27" i="34"/>
  <c r="BF27" i="34"/>
  <c r="BE27" i="34"/>
  <c r="BD27" i="34"/>
  <c r="BC27" i="34"/>
  <c r="BB27" i="34"/>
  <c r="BA27" i="34"/>
  <c r="AZ27" i="34"/>
  <c r="AY27" i="34"/>
  <c r="AX27" i="34"/>
  <c r="AW27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H27" i="34"/>
  <c r="BO27" i="34" s="1"/>
  <c r="BN26" i="34"/>
  <c r="BM26" i="34"/>
  <c r="BL26" i="34"/>
  <c r="BK26" i="34"/>
  <c r="BJ26" i="34"/>
  <c r="BI26" i="34"/>
  <c r="BH26" i="34"/>
  <c r="BG26" i="34"/>
  <c r="BF26" i="34"/>
  <c r="BE26" i="34"/>
  <c r="BD26" i="34"/>
  <c r="BC26" i="34"/>
  <c r="BB26" i="34"/>
  <c r="BA26" i="34"/>
  <c r="AZ26" i="34"/>
  <c r="AY26" i="34"/>
  <c r="AX26" i="34"/>
  <c r="AW26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H26" i="34"/>
  <c r="BO26" i="34" s="1"/>
  <c r="BN25" i="34"/>
  <c r="BM25" i="34"/>
  <c r="BL25" i="34"/>
  <c r="BK25" i="34"/>
  <c r="BJ25" i="34"/>
  <c r="BI25" i="34"/>
  <c r="BH25" i="34"/>
  <c r="BG25" i="34"/>
  <c r="BF25" i="34"/>
  <c r="BE25" i="34"/>
  <c r="BD25" i="34"/>
  <c r="BC25" i="34"/>
  <c r="BB25" i="34"/>
  <c r="BA25" i="34"/>
  <c r="AZ25" i="34"/>
  <c r="AY25" i="34"/>
  <c r="AX25" i="34"/>
  <c r="AW25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H25" i="34"/>
  <c r="BO25" i="34" s="1"/>
  <c r="BN24" i="34"/>
  <c r="BM24" i="34"/>
  <c r="BL24" i="34"/>
  <c r="BK24" i="34"/>
  <c r="BJ24" i="34"/>
  <c r="BI24" i="34"/>
  <c r="BH24" i="34"/>
  <c r="BF24" i="34"/>
  <c r="BE24" i="34"/>
  <c r="BD24" i="34"/>
  <c r="BC24" i="34"/>
  <c r="BB24" i="34"/>
  <c r="BA24" i="34"/>
  <c r="AZ24" i="34"/>
  <c r="AY24" i="34"/>
  <c r="AX24" i="34"/>
  <c r="AW24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A32" i="34"/>
  <c r="Z32" i="34"/>
  <c r="BN23" i="34"/>
  <c r="BM23" i="34"/>
  <c r="BL23" i="34"/>
  <c r="BK23" i="34"/>
  <c r="BJ23" i="34"/>
  <c r="BI23" i="34"/>
  <c r="BH23" i="34"/>
  <c r="BG23" i="34"/>
  <c r="BF23" i="34"/>
  <c r="BE23" i="34"/>
  <c r="BD23" i="34"/>
  <c r="BC23" i="34"/>
  <c r="BB23" i="34"/>
  <c r="BA23" i="34"/>
  <c r="AZ23" i="34"/>
  <c r="AY23" i="34"/>
  <c r="AX23" i="34"/>
  <c r="AW23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H23" i="34"/>
  <c r="BO23" i="34" s="1"/>
  <c r="BN22" i="34"/>
  <c r="BM22" i="34"/>
  <c r="BL22" i="34"/>
  <c r="BK22" i="34"/>
  <c r="BJ22" i="34"/>
  <c r="BI22" i="34"/>
  <c r="BH22" i="34"/>
  <c r="BG22" i="34"/>
  <c r="BF22" i="34"/>
  <c r="BE22" i="34"/>
  <c r="BD22" i="34"/>
  <c r="BC22" i="34"/>
  <c r="BB22" i="34"/>
  <c r="BA22" i="34"/>
  <c r="AZ22" i="34"/>
  <c r="AY22" i="34"/>
  <c r="AX22" i="34"/>
  <c r="AW22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H22" i="34"/>
  <c r="BO22" i="34" s="1"/>
  <c r="BN21" i="34"/>
  <c r="BM21" i="34"/>
  <c r="BL21" i="34"/>
  <c r="BK21" i="34"/>
  <c r="BJ21" i="34"/>
  <c r="BI21" i="34"/>
  <c r="BH21" i="34"/>
  <c r="BG21" i="34"/>
  <c r="BF21" i="34"/>
  <c r="BE21" i="34"/>
  <c r="BD21" i="34"/>
  <c r="BC21" i="34"/>
  <c r="BB21" i="34"/>
  <c r="BA21" i="34"/>
  <c r="AZ21" i="34"/>
  <c r="AY21" i="34"/>
  <c r="AX21" i="34"/>
  <c r="AW21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H21" i="34"/>
  <c r="BO21" i="34" s="1"/>
  <c r="BN20" i="34"/>
  <c r="BM20" i="34"/>
  <c r="BL20" i="34"/>
  <c r="BK20" i="34"/>
  <c r="BJ20" i="34"/>
  <c r="BI20" i="34"/>
  <c r="BH20" i="34"/>
  <c r="BG20" i="34"/>
  <c r="BF20" i="34"/>
  <c r="BE20" i="34"/>
  <c r="BD20" i="34"/>
  <c r="BC20" i="34"/>
  <c r="BB20" i="34"/>
  <c r="BA20" i="34"/>
  <c r="AZ20" i="34"/>
  <c r="AY20" i="34"/>
  <c r="AX20" i="34"/>
  <c r="AW20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H20" i="34"/>
  <c r="BO20" i="34" s="1"/>
  <c r="BN19" i="34"/>
  <c r="BM19" i="34"/>
  <c r="BL19" i="34"/>
  <c r="BK19" i="34"/>
  <c r="BJ19" i="34"/>
  <c r="BI19" i="34"/>
  <c r="BH19" i="34"/>
  <c r="BG19" i="34"/>
  <c r="BF19" i="34"/>
  <c r="BE19" i="34"/>
  <c r="BD19" i="34"/>
  <c r="BC19" i="34"/>
  <c r="BB19" i="34"/>
  <c r="BA19" i="34"/>
  <c r="AZ19" i="34"/>
  <c r="AY19" i="34"/>
  <c r="AX19" i="34"/>
  <c r="AW19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H19" i="34"/>
  <c r="BO19" i="34" s="1"/>
  <c r="BN18" i="34"/>
  <c r="BM18" i="34"/>
  <c r="BL18" i="34"/>
  <c r="BK18" i="34"/>
  <c r="BJ18" i="34"/>
  <c r="BI18" i="34"/>
  <c r="BH18" i="34"/>
  <c r="BG18" i="34"/>
  <c r="BF18" i="34"/>
  <c r="BE18" i="34"/>
  <c r="BD18" i="34"/>
  <c r="BC18" i="34"/>
  <c r="BB18" i="34"/>
  <c r="BA18" i="34"/>
  <c r="AZ18" i="34"/>
  <c r="AY18" i="34"/>
  <c r="AX18" i="34"/>
  <c r="AW18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H18" i="34"/>
  <c r="BO18" i="34" s="1"/>
  <c r="BN17" i="34"/>
  <c r="BM17" i="34"/>
  <c r="BL17" i="34"/>
  <c r="BK17" i="34"/>
  <c r="BJ17" i="34"/>
  <c r="BI17" i="34"/>
  <c r="BH17" i="34"/>
  <c r="BG17" i="34"/>
  <c r="BF17" i="34"/>
  <c r="BE17" i="34"/>
  <c r="BD17" i="34"/>
  <c r="BC17" i="34"/>
  <c r="BB17" i="34"/>
  <c r="BA17" i="34"/>
  <c r="AZ17" i="34"/>
  <c r="AY17" i="34"/>
  <c r="AX17" i="34"/>
  <c r="AW17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H17" i="34"/>
  <c r="BO17" i="34" s="1"/>
  <c r="BN16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H16" i="34"/>
  <c r="BO16" i="34" s="1"/>
  <c r="BN15" i="34"/>
  <c r="BM15" i="34"/>
  <c r="BL15" i="34"/>
  <c r="BK15" i="34"/>
  <c r="BJ15" i="34"/>
  <c r="BI15" i="34"/>
  <c r="BH15" i="34"/>
  <c r="BG15" i="34"/>
  <c r="BF15" i="34"/>
  <c r="BE15" i="34"/>
  <c r="BD15" i="34"/>
  <c r="BC15" i="34"/>
  <c r="BB15" i="34"/>
  <c r="BA15" i="34"/>
  <c r="AZ15" i="34"/>
  <c r="AY15" i="34"/>
  <c r="AX15" i="34"/>
  <c r="AW15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H15" i="34"/>
  <c r="BO15" i="34" s="1"/>
  <c r="BN14" i="34"/>
  <c r="BM14" i="34"/>
  <c r="BL14" i="34"/>
  <c r="BK14" i="34"/>
  <c r="BJ14" i="34"/>
  <c r="BI14" i="34"/>
  <c r="BH14" i="34"/>
  <c r="BG14" i="34"/>
  <c r="BF14" i="34"/>
  <c r="BE14" i="34"/>
  <c r="BD14" i="34"/>
  <c r="BC14" i="34"/>
  <c r="BB14" i="34"/>
  <c r="BA14" i="34"/>
  <c r="AZ14" i="34"/>
  <c r="AY14" i="34"/>
  <c r="AX14" i="34"/>
  <c r="AW14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H14" i="34"/>
  <c r="BO14" i="34" s="1"/>
  <c r="BN13" i="34"/>
  <c r="BM13" i="34"/>
  <c r="BL13" i="34"/>
  <c r="BK13" i="34"/>
  <c r="BJ13" i="34"/>
  <c r="BI13" i="34"/>
  <c r="BH13" i="34"/>
  <c r="BG13" i="34"/>
  <c r="BF13" i="34"/>
  <c r="BE13" i="34"/>
  <c r="BD13" i="34"/>
  <c r="BC13" i="34"/>
  <c r="BB13" i="34"/>
  <c r="BA13" i="34"/>
  <c r="AZ13" i="34"/>
  <c r="AY13" i="34"/>
  <c r="AX13" i="34"/>
  <c r="AW13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H13" i="34"/>
  <c r="BO13" i="34" s="1"/>
  <c r="BN12" i="34"/>
  <c r="BM12" i="34"/>
  <c r="BL12" i="34"/>
  <c r="BK12" i="34"/>
  <c r="BJ12" i="34"/>
  <c r="BI12" i="34"/>
  <c r="BH12" i="34"/>
  <c r="BG12" i="34"/>
  <c r="BF12" i="34"/>
  <c r="BE12" i="34"/>
  <c r="BD12" i="34"/>
  <c r="BC12" i="34"/>
  <c r="BB12" i="34"/>
  <c r="BA12" i="34"/>
  <c r="AZ12" i="34"/>
  <c r="AY12" i="34"/>
  <c r="AX12" i="34"/>
  <c r="AW12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H12" i="34"/>
  <c r="BN11" i="34"/>
  <c r="BM11" i="34"/>
  <c r="BL11" i="34"/>
  <c r="BK11" i="34"/>
  <c r="BJ11" i="34"/>
  <c r="BI11" i="34"/>
  <c r="BH11" i="34"/>
  <c r="BG11" i="34"/>
  <c r="BF11" i="34"/>
  <c r="BE11" i="34"/>
  <c r="BD11" i="34"/>
  <c r="BC11" i="34"/>
  <c r="BB11" i="34"/>
  <c r="BA11" i="34"/>
  <c r="AZ11" i="34"/>
  <c r="AY11" i="34"/>
  <c r="AX11" i="34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H11" i="34"/>
  <c r="BO11" i="34" s="1"/>
  <c r="BN10" i="34"/>
  <c r="BM10" i="34"/>
  <c r="BL10" i="34"/>
  <c r="BK10" i="34"/>
  <c r="BJ10" i="34"/>
  <c r="BI10" i="34"/>
  <c r="BH10" i="34"/>
  <c r="BG10" i="34"/>
  <c r="BF10" i="34"/>
  <c r="BE10" i="34"/>
  <c r="BD10" i="34"/>
  <c r="BC10" i="34"/>
  <c r="BB10" i="34"/>
  <c r="BA10" i="34"/>
  <c r="AZ10" i="34"/>
  <c r="AY10" i="34"/>
  <c r="AX10" i="34"/>
  <c r="AW10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H10" i="34"/>
  <c r="BO10" i="34" s="1"/>
  <c r="BN9" i="34"/>
  <c r="BM9" i="34"/>
  <c r="BL9" i="34"/>
  <c r="BK9" i="34"/>
  <c r="BJ9" i="34"/>
  <c r="BI9" i="34"/>
  <c r="BH9" i="34"/>
  <c r="BG9" i="34"/>
  <c r="BF9" i="34"/>
  <c r="BE9" i="34"/>
  <c r="BD9" i="34"/>
  <c r="BC9" i="34"/>
  <c r="BB9" i="34"/>
  <c r="BA9" i="34"/>
  <c r="AZ9" i="34"/>
  <c r="AY9" i="34"/>
  <c r="AX9" i="34"/>
  <c r="AW9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H9" i="34"/>
  <c r="BO9" i="34" s="1"/>
  <c r="BN8" i="34"/>
  <c r="BM8" i="34"/>
  <c r="BL8" i="34"/>
  <c r="BK8" i="34"/>
  <c r="BJ8" i="34"/>
  <c r="BI8" i="34"/>
  <c r="BH8" i="34"/>
  <c r="BG8" i="34"/>
  <c r="BF8" i="34"/>
  <c r="BE8" i="34"/>
  <c r="BD8" i="34"/>
  <c r="BC8" i="34"/>
  <c r="BB8" i="34"/>
  <c r="BA8" i="34"/>
  <c r="AZ8" i="34"/>
  <c r="AY8" i="34"/>
  <c r="AX8" i="34"/>
  <c r="AW8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H8" i="34"/>
  <c r="BO8" i="34" s="1"/>
  <c r="BN7" i="34"/>
  <c r="BM7" i="34"/>
  <c r="BL7" i="34"/>
  <c r="BK7" i="34"/>
  <c r="BJ7" i="34"/>
  <c r="BI7" i="34"/>
  <c r="BH7" i="34"/>
  <c r="BG7" i="34"/>
  <c r="BF7" i="34"/>
  <c r="BE7" i="34"/>
  <c r="BD7" i="34"/>
  <c r="BC7" i="34"/>
  <c r="BB7" i="34"/>
  <c r="BA7" i="34"/>
  <c r="AZ7" i="34"/>
  <c r="AY7" i="34"/>
  <c r="AX7" i="34"/>
  <c r="AW7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H7" i="34"/>
  <c r="BO7" i="34" s="1"/>
  <c r="BN6" i="34"/>
  <c r="BM6" i="34"/>
  <c r="BL6" i="34"/>
  <c r="BK6" i="34"/>
  <c r="BJ6" i="34"/>
  <c r="BI6" i="34"/>
  <c r="BH6" i="34"/>
  <c r="BG6" i="34"/>
  <c r="BF6" i="34"/>
  <c r="BE6" i="34"/>
  <c r="BD6" i="34"/>
  <c r="BC6" i="34"/>
  <c r="BB6" i="34"/>
  <c r="BA6" i="34"/>
  <c r="AZ6" i="34"/>
  <c r="AY6" i="34"/>
  <c r="AX6" i="34"/>
  <c r="AW6" i="34"/>
  <c r="AV6" i="34"/>
  <c r="AU6" i="34"/>
  <c r="AT6" i="34"/>
  <c r="AS6" i="34"/>
  <c r="AR6" i="34"/>
  <c r="AQ6" i="34"/>
  <c r="AP6" i="34"/>
  <c r="AO6" i="34"/>
  <c r="AN6" i="34"/>
  <c r="AM6" i="34"/>
  <c r="AL6" i="34"/>
  <c r="AK6" i="34"/>
  <c r="AJ6" i="34"/>
  <c r="AH6" i="34"/>
  <c r="BO6" i="34" s="1"/>
  <c r="BN5" i="34"/>
  <c r="BM5" i="34"/>
  <c r="BL5" i="34"/>
  <c r="BK5" i="34"/>
  <c r="BJ5" i="34"/>
  <c r="BI5" i="34"/>
  <c r="BH5" i="34"/>
  <c r="BG5" i="34"/>
  <c r="BF5" i="34"/>
  <c r="BE5" i="34"/>
  <c r="BD5" i="34"/>
  <c r="BC5" i="34"/>
  <c r="BB5" i="34"/>
  <c r="BA5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H5" i="34"/>
  <c r="R82" i="17"/>
  <c r="R79" i="17"/>
  <c r="R76" i="17"/>
  <c r="R73" i="17"/>
  <c r="R70" i="17"/>
  <c r="R67" i="17"/>
  <c r="R64" i="17"/>
  <c r="R61" i="17"/>
  <c r="R58" i="17"/>
  <c r="R55" i="17"/>
  <c r="R52" i="17"/>
  <c r="R49" i="17"/>
  <c r="R46" i="17"/>
  <c r="R43" i="17"/>
  <c r="R40" i="17"/>
  <c r="R37" i="17"/>
  <c r="R34" i="17"/>
  <c r="R31" i="17"/>
  <c r="R28" i="17"/>
  <c r="R25" i="17"/>
  <c r="R22" i="17"/>
  <c r="R19" i="17"/>
  <c r="R16" i="17"/>
  <c r="R13" i="17"/>
  <c r="R10" i="17"/>
  <c r="R7" i="17"/>
  <c r="R4" i="17"/>
  <c r="AI10" i="33"/>
  <c r="AI12" i="33"/>
  <c r="AI17" i="33"/>
  <c r="AI25" i="33"/>
  <c r="AI24" i="33"/>
  <c r="AI29" i="33"/>
  <c r="AI22" i="33"/>
  <c r="AH32" i="33"/>
  <c r="AI13" i="33"/>
  <c r="AI27" i="33"/>
  <c r="AI23" i="33"/>
  <c r="AI15" i="33"/>
  <c r="AI9" i="33"/>
  <c r="AI16" i="33"/>
  <c r="AI19" i="33"/>
  <c r="AI20" i="33"/>
  <c r="AI21" i="33"/>
  <c r="AI14" i="33"/>
  <c r="AI31" i="33"/>
  <c r="AI5" i="33"/>
  <c r="AI8" i="33"/>
  <c r="AI7" i="33"/>
  <c r="AI11" i="33"/>
  <c r="AI6" i="33"/>
  <c r="I227" i="14"/>
  <c r="R87" i="17" l="1"/>
  <c r="BO12" i="34"/>
  <c r="BO5" i="34"/>
  <c r="AH24" i="34"/>
  <c r="BG24" i="34"/>
  <c r="AL28" i="34"/>
  <c r="AH28" i="34"/>
  <c r="K262" i="14"/>
  <c r="K263" i="14" s="1"/>
  <c r="BO28" i="34" l="1"/>
  <c r="BO24" i="34"/>
  <c r="AH32" i="34"/>
  <c r="AH36" i="34" s="1"/>
  <c r="R261" i="14"/>
  <c r="R258" i="14"/>
  <c r="R259" i="14"/>
  <c r="R260" i="14"/>
  <c r="R257" i="14"/>
  <c r="AH34" i="34" l="1"/>
  <c r="AH35" i="34"/>
  <c r="AH33" i="34"/>
  <c r="AH27" i="30"/>
  <c r="AH25" i="30"/>
  <c r="R256" i="14"/>
  <c r="AA24" i="33"/>
  <c r="W60" i="17"/>
  <c r="Z24" i="33"/>
  <c r="R255" i="14"/>
  <c r="R254" i="14"/>
  <c r="R252" i="14"/>
  <c r="R253" i="14"/>
  <c r="R251" i="14"/>
  <c r="R249" i="14"/>
  <c r="R248" i="14"/>
  <c r="R247" i="14" l="1"/>
  <c r="R246" i="14"/>
  <c r="R245" i="14"/>
  <c r="R244" i="14" l="1"/>
  <c r="R243" i="14" l="1"/>
  <c r="R242" i="14" l="1"/>
  <c r="R241" i="14" l="1"/>
  <c r="R239" i="14"/>
  <c r="H240" i="14"/>
  <c r="H239" i="14"/>
  <c r="R238" i="14"/>
  <c r="H238" i="14"/>
  <c r="F21" i="14"/>
  <c r="E21" i="14"/>
  <c r="R237" i="14"/>
  <c r="H237" i="14"/>
  <c r="R236" i="14" l="1"/>
  <c r="H236" i="14"/>
  <c r="Q34" i="7"/>
  <c r="Q33" i="7"/>
  <c r="Q32" i="7"/>
  <c r="E28" i="33"/>
  <c r="R235" i="14" l="1"/>
  <c r="H235" i="14"/>
  <c r="I127" i="17" l="1"/>
  <c r="I126" i="17"/>
  <c r="J126" i="17" s="1"/>
  <c r="K126" i="17" s="1"/>
  <c r="L126" i="17" s="1"/>
  <c r="M126" i="17" s="1"/>
  <c r="N126" i="17" s="1"/>
  <c r="O126" i="17" s="1"/>
  <c r="P126" i="17" s="1"/>
  <c r="Q126" i="17" s="1"/>
  <c r="R126" i="17" s="1"/>
  <c r="S126" i="17" s="1"/>
  <c r="T126" i="17" s="1"/>
  <c r="I67" i="33"/>
  <c r="J67" i="33" s="1"/>
  <c r="K67" i="33" s="1"/>
  <c r="L67" i="33" s="1"/>
  <c r="M67" i="33" s="1"/>
  <c r="N67" i="33" s="1"/>
  <c r="O67" i="33" s="1"/>
  <c r="P67" i="33" s="1"/>
  <c r="Q67" i="33" s="1"/>
  <c r="R67" i="33" s="1"/>
  <c r="S67" i="33" s="1"/>
  <c r="T67" i="33" s="1"/>
  <c r="U67" i="33" s="1"/>
  <c r="V67" i="33" s="1"/>
  <c r="D67" i="33"/>
  <c r="E67" i="33" s="1"/>
  <c r="F67" i="33" s="1"/>
  <c r="I66" i="33"/>
  <c r="J66" i="33" s="1"/>
  <c r="K66" i="33" s="1"/>
  <c r="L66" i="33" s="1"/>
  <c r="M66" i="33" s="1"/>
  <c r="N66" i="33" s="1"/>
  <c r="O66" i="33" s="1"/>
  <c r="P66" i="33" s="1"/>
  <c r="Q66" i="33" s="1"/>
  <c r="R66" i="33" s="1"/>
  <c r="S66" i="33" s="1"/>
  <c r="T66" i="33" s="1"/>
  <c r="U66" i="33" s="1"/>
  <c r="V66" i="33" s="1"/>
  <c r="D66" i="33"/>
  <c r="E66" i="33" s="1"/>
  <c r="F66" i="33" s="1"/>
  <c r="I65" i="33"/>
  <c r="J65" i="33" s="1"/>
  <c r="K65" i="33" s="1"/>
  <c r="L65" i="33" s="1"/>
  <c r="M65" i="33" s="1"/>
  <c r="N65" i="33" s="1"/>
  <c r="O65" i="33" s="1"/>
  <c r="P65" i="33" s="1"/>
  <c r="Q65" i="33" s="1"/>
  <c r="R65" i="33" s="1"/>
  <c r="S65" i="33" s="1"/>
  <c r="T65" i="33" s="1"/>
  <c r="U65" i="33" s="1"/>
  <c r="V65" i="33" s="1"/>
  <c r="D65" i="33"/>
  <c r="E65" i="33" s="1"/>
  <c r="F65" i="33" s="1"/>
  <c r="I64" i="33"/>
  <c r="J64" i="33" s="1"/>
  <c r="K64" i="33" s="1"/>
  <c r="L64" i="33" s="1"/>
  <c r="M64" i="33" s="1"/>
  <c r="N64" i="33" s="1"/>
  <c r="O64" i="33" s="1"/>
  <c r="P64" i="33" s="1"/>
  <c r="Q64" i="33" s="1"/>
  <c r="R64" i="33" s="1"/>
  <c r="S64" i="33" s="1"/>
  <c r="T64" i="33" s="1"/>
  <c r="U64" i="33" s="1"/>
  <c r="V64" i="33" s="1"/>
  <c r="D64" i="33"/>
  <c r="E64" i="33" s="1"/>
  <c r="F64" i="33" s="1"/>
  <c r="I62" i="33"/>
  <c r="J62" i="33" s="1"/>
  <c r="K62" i="33" s="1"/>
  <c r="L62" i="33" s="1"/>
  <c r="M62" i="33" s="1"/>
  <c r="N62" i="33" s="1"/>
  <c r="O62" i="33" s="1"/>
  <c r="P62" i="33" s="1"/>
  <c r="Q62" i="33" s="1"/>
  <c r="R62" i="33" s="1"/>
  <c r="S62" i="33" s="1"/>
  <c r="T62" i="33" s="1"/>
  <c r="U62" i="33" s="1"/>
  <c r="V62" i="33" s="1"/>
  <c r="D62" i="33"/>
  <c r="E62" i="33" s="1"/>
  <c r="F62" i="33" s="1"/>
  <c r="I61" i="33"/>
  <c r="J61" i="33" s="1"/>
  <c r="K61" i="33" s="1"/>
  <c r="L61" i="33" s="1"/>
  <c r="M61" i="33" s="1"/>
  <c r="N61" i="33" s="1"/>
  <c r="O61" i="33" s="1"/>
  <c r="P61" i="33" s="1"/>
  <c r="Q61" i="33" s="1"/>
  <c r="R61" i="33" s="1"/>
  <c r="S61" i="33" s="1"/>
  <c r="T61" i="33" s="1"/>
  <c r="U61" i="33" s="1"/>
  <c r="V61" i="33" s="1"/>
  <c r="D61" i="33"/>
  <c r="E61" i="33" s="1"/>
  <c r="F61" i="33" s="1"/>
  <c r="I60" i="33"/>
  <c r="J60" i="33" s="1"/>
  <c r="K60" i="33" s="1"/>
  <c r="L60" i="33" s="1"/>
  <c r="M60" i="33" s="1"/>
  <c r="N60" i="33" s="1"/>
  <c r="O60" i="33" s="1"/>
  <c r="P60" i="33" s="1"/>
  <c r="Q60" i="33" s="1"/>
  <c r="R60" i="33" s="1"/>
  <c r="S60" i="33" s="1"/>
  <c r="T60" i="33" s="1"/>
  <c r="U60" i="33" s="1"/>
  <c r="V60" i="33" s="1"/>
  <c r="D60" i="33"/>
  <c r="E60" i="33" s="1"/>
  <c r="F60" i="33" s="1"/>
  <c r="I59" i="33"/>
  <c r="J59" i="33" s="1"/>
  <c r="K59" i="33" s="1"/>
  <c r="L59" i="33" s="1"/>
  <c r="M59" i="33" s="1"/>
  <c r="N59" i="33" s="1"/>
  <c r="O59" i="33" s="1"/>
  <c r="P59" i="33" s="1"/>
  <c r="Q59" i="33" s="1"/>
  <c r="R59" i="33" s="1"/>
  <c r="S59" i="33" s="1"/>
  <c r="T59" i="33" s="1"/>
  <c r="U59" i="33" s="1"/>
  <c r="V59" i="33" s="1"/>
  <c r="D59" i="33"/>
  <c r="E59" i="33" s="1"/>
  <c r="F59" i="33" s="1"/>
  <c r="I58" i="33"/>
  <c r="J58" i="33" s="1"/>
  <c r="K58" i="33" s="1"/>
  <c r="L58" i="33" s="1"/>
  <c r="M58" i="33" s="1"/>
  <c r="N58" i="33" s="1"/>
  <c r="O58" i="33" s="1"/>
  <c r="P58" i="33" s="1"/>
  <c r="Q58" i="33" s="1"/>
  <c r="R58" i="33" s="1"/>
  <c r="S58" i="33" s="1"/>
  <c r="T58" i="33" s="1"/>
  <c r="U58" i="33" s="1"/>
  <c r="V58" i="33" s="1"/>
  <c r="D58" i="33"/>
  <c r="E58" i="33" s="1"/>
  <c r="F58" i="33" s="1"/>
  <c r="I57" i="33"/>
  <c r="J57" i="33" s="1"/>
  <c r="K57" i="33" s="1"/>
  <c r="L57" i="33" s="1"/>
  <c r="M57" i="33" s="1"/>
  <c r="N57" i="33" s="1"/>
  <c r="O57" i="33" s="1"/>
  <c r="P57" i="33" s="1"/>
  <c r="Q57" i="33" s="1"/>
  <c r="R57" i="33" s="1"/>
  <c r="S57" i="33" s="1"/>
  <c r="T57" i="33" s="1"/>
  <c r="U57" i="33" s="1"/>
  <c r="V57" i="33" s="1"/>
  <c r="D57" i="33"/>
  <c r="E57" i="33" s="1"/>
  <c r="F57" i="33" s="1"/>
  <c r="I56" i="33"/>
  <c r="J56" i="33" s="1"/>
  <c r="K56" i="33" s="1"/>
  <c r="L56" i="33" s="1"/>
  <c r="M56" i="33" s="1"/>
  <c r="N56" i="33" s="1"/>
  <c r="O56" i="33" s="1"/>
  <c r="P56" i="33" s="1"/>
  <c r="Q56" i="33" s="1"/>
  <c r="R56" i="33" s="1"/>
  <c r="S56" i="33" s="1"/>
  <c r="T56" i="33" s="1"/>
  <c r="U56" i="33" s="1"/>
  <c r="V56" i="33" s="1"/>
  <c r="D56" i="33"/>
  <c r="E56" i="33" s="1"/>
  <c r="F56" i="33" s="1"/>
  <c r="I55" i="33"/>
  <c r="J55" i="33" s="1"/>
  <c r="K55" i="33" s="1"/>
  <c r="L55" i="33" s="1"/>
  <c r="M55" i="33" s="1"/>
  <c r="N55" i="33" s="1"/>
  <c r="O55" i="33" s="1"/>
  <c r="P55" i="33" s="1"/>
  <c r="Q55" i="33" s="1"/>
  <c r="R55" i="33" s="1"/>
  <c r="S55" i="33" s="1"/>
  <c r="T55" i="33" s="1"/>
  <c r="U55" i="33" s="1"/>
  <c r="V55" i="33" s="1"/>
  <c r="D55" i="33"/>
  <c r="E55" i="33" s="1"/>
  <c r="F55" i="33" s="1"/>
  <c r="I54" i="33"/>
  <c r="J54" i="33" s="1"/>
  <c r="K54" i="33" s="1"/>
  <c r="L54" i="33" s="1"/>
  <c r="M54" i="33" s="1"/>
  <c r="N54" i="33" s="1"/>
  <c r="O54" i="33" s="1"/>
  <c r="P54" i="33" s="1"/>
  <c r="Q54" i="33" s="1"/>
  <c r="R54" i="33" s="1"/>
  <c r="S54" i="33" s="1"/>
  <c r="T54" i="33" s="1"/>
  <c r="U54" i="33" s="1"/>
  <c r="V54" i="33" s="1"/>
  <c r="D54" i="33"/>
  <c r="E54" i="33" s="1"/>
  <c r="F54" i="33" s="1"/>
  <c r="I53" i="33"/>
  <c r="J53" i="33" s="1"/>
  <c r="K53" i="33" s="1"/>
  <c r="L53" i="33" s="1"/>
  <c r="M53" i="33" s="1"/>
  <c r="N53" i="33" s="1"/>
  <c r="O53" i="33" s="1"/>
  <c r="P53" i="33" s="1"/>
  <c r="Q53" i="33" s="1"/>
  <c r="R53" i="33" s="1"/>
  <c r="S53" i="33" s="1"/>
  <c r="T53" i="33" s="1"/>
  <c r="U53" i="33" s="1"/>
  <c r="V53" i="33" s="1"/>
  <c r="D53" i="33"/>
  <c r="E53" i="33" s="1"/>
  <c r="F53" i="33" s="1"/>
  <c r="I52" i="33"/>
  <c r="J52" i="33" s="1"/>
  <c r="K52" i="33" s="1"/>
  <c r="L52" i="33" s="1"/>
  <c r="M52" i="33" s="1"/>
  <c r="N52" i="33" s="1"/>
  <c r="O52" i="33" s="1"/>
  <c r="P52" i="33" s="1"/>
  <c r="Q52" i="33" s="1"/>
  <c r="R52" i="33" s="1"/>
  <c r="S52" i="33" s="1"/>
  <c r="T52" i="33" s="1"/>
  <c r="U52" i="33" s="1"/>
  <c r="V52" i="33" s="1"/>
  <c r="D52" i="33"/>
  <c r="E52" i="33" s="1"/>
  <c r="F52" i="33" s="1"/>
  <c r="I51" i="33"/>
  <c r="J51" i="33" s="1"/>
  <c r="K51" i="33" s="1"/>
  <c r="L51" i="33" s="1"/>
  <c r="M51" i="33" s="1"/>
  <c r="N51" i="33" s="1"/>
  <c r="O51" i="33" s="1"/>
  <c r="P51" i="33" s="1"/>
  <c r="Q51" i="33" s="1"/>
  <c r="R51" i="33" s="1"/>
  <c r="S51" i="33" s="1"/>
  <c r="T51" i="33" s="1"/>
  <c r="U51" i="33" s="1"/>
  <c r="V51" i="33" s="1"/>
  <c r="D51" i="33"/>
  <c r="E51" i="33" s="1"/>
  <c r="F51" i="33" s="1"/>
  <c r="I50" i="33"/>
  <c r="J50" i="33" s="1"/>
  <c r="K50" i="33" s="1"/>
  <c r="L50" i="33" s="1"/>
  <c r="M50" i="33" s="1"/>
  <c r="N50" i="33" s="1"/>
  <c r="O50" i="33" s="1"/>
  <c r="P50" i="33" s="1"/>
  <c r="Q50" i="33" s="1"/>
  <c r="R50" i="33" s="1"/>
  <c r="S50" i="33" s="1"/>
  <c r="T50" i="33" s="1"/>
  <c r="U50" i="33" s="1"/>
  <c r="V50" i="33" s="1"/>
  <c r="D50" i="33"/>
  <c r="E50" i="33" s="1"/>
  <c r="F50" i="33" s="1"/>
  <c r="I49" i="33"/>
  <c r="J49" i="33" s="1"/>
  <c r="K49" i="33" s="1"/>
  <c r="L49" i="33" s="1"/>
  <c r="M49" i="33" s="1"/>
  <c r="N49" i="33" s="1"/>
  <c r="O49" i="33" s="1"/>
  <c r="P49" i="33" s="1"/>
  <c r="Q49" i="33" s="1"/>
  <c r="R49" i="33" s="1"/>
  <c r="S49" i="33" s="1"/>
  <c r="T49" i="33" s="1"/>
  <c r="U49" i="33" s="1"/>
  <c r="V49" i="33" s="1"/>
  <c r="D49" i="33"/>
  <c r="E49" i="33" s="1"/>
  <c r="F49" i="33" s="1"/>
  <c r="I48" i="33"/>
  <c r="J48" i="33" s="1"/>
  <c r="K48" i="33" s="1"/>
  <c r="L48" i="33" s="1"/>
  <c r="M48" i="33" s="1"/>
  <c r="N48" i="33" s="1"/>
  <c r="O48" i="33" s="1"/>
  <c r="P48" i="33" s="1"/>
  <c r="Q48" i="33" s="1"/>
  <c r="R48" i="33" s="1"/>
  <c r="S48" i="33" s="1"/>
  <c r="T48" i="33" s="1"/>
  <c r="U48" i="33" s="1"/>
  <c r="V48" i="33" s="1"/>
  <c r="D48" i="33"/>
  <c r="E48" i="33" s="1"/>
  <c r="F48" i="33" s="1"/>
  <c r="I47" i="33"/>
  <c r="J47" i="33" s="1"/>
  <c r="K47" i="33" s="1"/>
  <c r="L47" i="33" s="1"/>
  <c r="M47" i="33" s="1"/>
  <c r="N47" i="33" s="1"/>
  <c r="O47" i="33" s="1"/>
  <c r="P47" i="33" s="1"/>
  <c r="Q47" i="33" s="1"/>
  <c r="R47" i="33" s="1"/>
  <c r="S47" i="33" s="1"/>
  <c r="T47" i="33" s="1"/>
  <c r="U47" i="33" s="1"/>
  <c r="V47" i="33" s="1"/>
  <c r="D47" i="33"/>
  <c r="E47" i="33" s="1"/>
  <c r="F47" i="33" s="1"/>
  <c r="I46" i="33"/>
  <c r="J46" i="33" s="1"/>
  <c r="K46" i="33" s="1"/>
  <c r="L46" i="33" s="1"/>
  <c r="M46" i="33" s="1"/>
  <c r="N46" i="33" s="1"/>
  <c r="O46" i="33" s="1"/>
  <c r="P46" i="33" s="1"/>
  <c r="Q46" i="33" s="1"/>
  <c r="R46" i="33" s="1"/>
  <c r="S46" i="33" s="1"/>
  <c r="T46" i="33" s="1"/>
  <c r="U46" i="33" s="1"/>
  <c r="V46" i="33" s="1"/>
  <c r="D46" i="33"/>
  <c r="E46" i="33" s="1"/>
  <c r="F46" i="33" s="1"/>
  <c r="I45" i="33"/>
  <c r="J45" i="33" s="1"/>
  <c r="K45" i="33" s="1"/>
  <c r="L45" i="33" s="1"/>
  <c r="M45" i="33" s="1"/>
  <c r="N45" i="33" s="1"/>
  <c r="O45" i="33" s="1"/>
  <c r="P45" i="33" s="1"/>
  <c r="Q45" i="33" s="1"/>
  <c r="R45" i="33" s="1"/>
  <c r="S45" i="33" s="1"/>
  <c r="T45" i="33" s="1"/>
  <c r="U45" i="33" s="1"/>
  <c r="V45" i="33" s="1"/>
  <c r="H45" i="33"/>
  <c r="G45" i="33"/>
  <c r="D45" i="33"/>
  <c r="E45" i="33" s="1"/>
  <c r="F45" i="33" s="1"/>
  <c r="AM44" i="33"/>
  <c r="I44" i="33"/>
  <c r="J44" i="33" s="1"/>
  <c r="K44" i="33" s="1"/>
  <c r="L44" i="33" s="1"/>
  <c r="M44" i="33" s="1"/>
  <c r="N44" i="33" s="1"/>
  <c r="O44" i="33" s="1"/>
  <c r="P44" i="33" s="1"/>
  <c r="Q44" i="33" s="1"/>
  <c r="R44" i="33" s="1"/>
  <c r="S44" i="33" s="1"/>
  <c r="T44" i="33" s="1"/>
  <c r="U44" i="33" s="1"/>
  <c r="V44" i="33" s="1"/>
  <c r="D44" i="33"/>
  <c r="E44" i="33" s="1"/>
  <c r="F44" i="33" s="1"/>
  <c r="AG42" i="33"/>
  <c r="AA42" i="33"/>
  <c r="Z42" i="33"/>
  <c r="T42" i="33"/>
  <c r="S42" i="33"/>
  <c r="M42" i="33"/>
  <c r="L42" i="33"/>
  <c r="F42" i="33"/>
  <c r="E42" i="33"/>
  <c r="AF41" i="33"/>
  <c r="AF40" i="33"/>
  <c r="O40" i="33"/>
  <c r="AE39" i="33"/>
  <c r="AC39" i="33"/>
  <c r="T37" i="33"/>
  <c r="N36" i="33"/>
  <c r="L36" i="33"/>
  <c r="AJ32" i="33"/>
  <c r="AG32" i="33"/>
  <c r="AF32" i="33"/>
  <c r="AE32" i="33"/>
  <c r="AC32" i="33"/>
  <c r="AB32" i="33"/>
  <c r="AA32" i="33"/>
  <c r="Z32" i="33"/>
  <c r="Y32" i="33"/>
  <c r="V32" i="33"/>
  <c r="U32" i="33"/>
  <c r="T32" i="33"/>
  <c r="S32" i="33"/>
  <c r="R32" i="33"/>
  <c r="Q32" i="33"/>
  <c r="P32" i="33"/>
  <c r="O32" i="33"/>
  <c r="N32" i="33"/>
  <c r="M32" i="33"/>
  <c r="L32" i="33"/>
  <c r="K32" i="33"/>
  <c r="H32" i="33"/>
  <c r="G32" i="33"/>
  <c r="F32" i="33"/>
  <c r="E32" i="33"/>
  <c r="BO31" i="33"/>
  <c r="BN31" i="33"/>
  <c r="BM31" i="33"/>
  <c r="BL31" i="33"/>
  <c r="BK31" i="33"/>
  <c r="BJ31" i="33"/>
  <c r="BI31" i="33"/>
  <c r="BH31" i="33"/>
  <c r="BG31" i="33"/>
  <c r="BF31" i="33"/>
  <c r="BE31" i="33"/>
  <c r="BD31" i="33"/>
  <c r="BC31" i="33"/>
  <c r="BB31" i="33"/>
  <c r="BA31" i="33"/>
  <c r="AZ31" i="33"/>
  <c r="AY31" i="33"/>
  <c r="AX31" i="33"/>
  <c r="AW31" i="33"/>
  <c r="AV31" i="33"/>
  <c r="AU31" i="33"/>
  <c r="AT31" i="33"/>
  <c r="AS31" i="33"/>
  <c r="AR31" i="33"/>
  <c r="AQ31" i="33"/>
  <c r="AP31" i="33"/>
  <c r="AO31" i="33"/>
  <c r="AN31" i="33"/>
  <c r="AM31" i="33"/>
  <c r="AL31" i="33"/>
  <c r="BP31" i="33"/>
  <c r="BO30" i="33"/>
  <c r="BN30" i="33"/>
  <c r="BM30" i="33"/>
  <c r="BL30" i="33"/>
  <c r="BK30" i="33"/>
  <c r="BJ30" i="33"/>
  <c r="BI30" i="33"/>
  <c r="BH30" i="33"/>
  <c r="BG30" i="33"/>
  <c r="BF30" i="33"/>
  <c r="BE30" i="33"/>
  <c r="BD30" i="33"/>
  <c r="BC30" i="33"/>
  <c r="BB30" i="33"/>
  <c r="BA30" i="33"/>
  <c r="AZ30" i="33"/>
  <c r="AY30" i="33"/>
  <c r="AX30" i="33"/>
  <c r="AW30" i="33"/>
  <c r="AV30" i="33"/>
  <c r="AU30" i="33"/>
  <c r="AT30" i="33"/>
  <c r="AS30" i="33"/>
  <c r="AR30" i="33"/>
  <c r="AQ30" i="33"/>
  <c r="AP30" i="33"/>
  <c r="AO30" i="33"/>
  <c r="AN30" i="33"/>
  <c r="AM30" i="33"/>
  <c r="AL30" i="33"/>
  <c r="AK30" i="33"/>
  <c r="AI30" i="33"/>
  <c r="BP30" i="33" s="1"/>
  <c r="BO29" i="33"/>
  <c r="BN29" i="33"/>
  <c r="BM29" i="33"/>
  <c r="BL29" i="33"/>
  <c r="BK29" i="33"/>
  <c r="BJ29" i="33"/>
  <c r="BI29" i="33"/>
  <c r="BH29" i="33"/>
  <c r="BG29" i="33"/>
  <c r="BF29" i="33"/>
  <c r="BE29" i="33"/>
  <c r="BD29" i="33"/>
  <c r="BC29" i="33"/>
  <c r="BB29" i="33"/>
  <c r="BA29" i="33"/>
  <c r="AZ29" i="33"/>
  <c r="AY29" i="33"/>
  <c r="AX29" i="33"/>
  <c r="AW29" i="33"/>
  <c r="AV29" i="33"/>
  <c r="AU29" i="33"/>
  <c r="AT29" i="33"/>
  <c r="AS29" i="33"/>
  <c r="AR29" i="33"/>
  <c r="AQ29" i="33"/>
  <c r="AP29" i="33"/>
  <c r="AO29" i="33"/>
  <c r="AN29" i="33"/>
  <c r="AM29" i="33"/>
  <c r="AL29" i="33"/>
  <c r="AK29" i="33"/>
  <c r="BP29" i="33"/>
  <c r="BO28" i="33"/>
  <c r="BN28" i="33"/>
  <c r="BM28" i="33"/>
  <c r="BL28" i="33"/>
  <c r="BK28" i="33"/>
  <c r="BJ28" i="33"/>
  <c r="BI28" i="33"/>
  <c r="BH28" i="33"/>
  <c r="BG28" i="33"/>
  <c r="BF28" i="33"/>
  <c r="BE28" i="33"/>
  <c r="BD28" i="33"/>
  <c r="BC28" i="33"/>
  <c r="BB28" i="33"/>
  <c r="BA28" i="33"/>
  <c r="AZ28" i="33"/>
  <c r="AY28" i="33"/>
  <c r="AX28" i="33"/>
  <c r="AW28" i="33"/>
  <c r="AV28" i="33"/>
  <c r="AU28" i="33"/>
  <c r="AT28" i="33"/>
  <c r="AS28" i="33"/>
  <c r="AR28" i="33"/>
  <c r="AQ28" i="33"/>
  <c r="AP28" i="33"/>
  <c r="AO28" i="33"/>
  <c r="AN28" i="33"/>
  <c r="AM28" i="33"/>
  <c r="AL28" i="33"/>
  <c r="AK28" i="33"/>
  <c r="AI28" i="33"/>
  <c r="BP28" i="33" s="1"/>
  <c r="BO27" i="33"/>
  <c r="BN27" i="33"/>
  <c r="BM27" i="33"/>
  <c r="BL27" i="33"/>
  <c r="BK27" i="33"/>
  <c r="BJ27" i="33"/>
  <c r="BI27" i="33"/>
  <c r="BH27" i="33"/>
  <c r="BG27" i="33"/>
  <c r="BF27" i="33"/>
  <c r="BE27" i="33"/>
  <c r="BD27" i="33"/>
  <c r="BC27" i="33"/>
  <c r="BB27" i="33"/>
  <c r="BA27" i="33"/>
  <c r="AZ27" i="33"/>
  <c r="AY27" i="33"/>
  <c r="AX27" i="33"/>
  <c r="AW27" i="33"/>
  <c r="AV27" i="33"/>
  <c r="AU27" i="33"/>
  <c r="AT27" i="33"/>
  <c r="AS27" i="33"/>
  <c r="AR27" i="33"/>
  <c r="AQ27" i="33"/>
  <c r="AP27" i="33"/>
  <c r="AO27" i="33"/>
  <c r="AN27" i="33"/>
  <c r="AM27" i="33"/>
  <c r="AL27" i="33"/>
  <c r="AK27" i="33"/>
  <c r="BP27" i="33"/>
  <c r="BO26" i="33"/>
  <c r="BN26" i="33"/>
  <c r="BM26" i="33"/>
  <c r="BL26" i="33"/>
  <c r="BK26" i="33"/>
  <c r="BJ26" i="33"/>
  <c r="BI26" i="33"/>
  <c r="BH26" i="33"/>
  <c r="BG26" i="33"/>
  <c r="BF26" i="33"/>
  <c r="BE26" i="33"/>
  <c r="BD26" i="33"/>
  <c r="BC26" i="33"/>
  <c r="BB26" i="33"/>
  <c r="BA26" i="33"/>
  <c r="AZ26" i="33"/>
  <c r="AY26" i="33"/>
  <c r="AX26" i="33"/>
  <c r="AW26" i="33"/>
  <c r="AV26" i="33"/>
  <c r="AU26" i="33"/>
  <c r="AT26" i="33"/>
  <c r="AS26" i="33"/>
  <c r="AR26" i="33"/>
  <c r="AQ26" i="33"/>
  <c r="AP26" i="33"/>
  <c r="AO26" i="33"/>
  <c r="AN26" i="33"/>
  <c r="AM26" i="33"/>
  <c r="AL26" i="33"/>
  <c r="AK26" i="33"/>
  <c r="AI26" i="33"/>
  <c r="BP26" i="33" s="1"/>
  <c r="BO25" i="33"/>
  <c r="BN25" i="33"/>
  <c r="BM25" i="33"/>
  <c r="BL25" i="33"/>
  <c r="BK25" i="33"/>
  <c r="BJ25" i="33"/>
  <c r="BI25" i="33"/>
  <c r="BH25" i="33"/>
  <c r="BG25" i="33"/>
  <c r="BF25" i="33"/>
  <c r="BE25" i="33"/>
  <c r="BD25" i="33"/>
  <c r="BC25" i="33"/>
  <c r="BB25" i="33"/>
  <c r="BA25" i="33"/>
  <c r="AZ25" i="33"/>
  <c r="AY25" i="33"/>
  <c r="AX25" i="33"/>
  <c r="AW25" i="33"/>
  <c r="AV25" i="33"/>
  <c r="AU25" i="33"/>
  <c r="AT25" i="33"/>
  <c r="AS25" i="33"/>
  <c r="AR25" i="33"/>
  <c r="AQ25" i="33"/>
  <c r="AP25" i="33"/>
  <c r="AO25" i="33"/>
  <c r="AN25" i="33"/>
  <c r="AM25" i="33"/>
  <c r="AL25" i="33"/>
  <c r="AK25" i="33"/>
  <c r="BP25" i="33"/>
  <c r="BO24" i="33"/>
  <c r="BN24" i="33"/>
  <c r="BM24" i="33"/>
  <c r="BL24" i="33"/>
  <c r="BK24" i="33"/>
  <c r="BJ24" i="33"/>
  <c r="BI24" i="33"/>
  <c r="BH24" i="33"/>
  <c r="BG24" i="33"/>
  <c r="BF24" i="33"/>
  <c r="BE24" i="33"/>
  <c r="BD24" i="33"/>
  <c r="BC24" i="33"/>
  <c r="BB24" i="33"/>
  <c r="BA24" i="33"/>
  <c r="AZ24" i="33"/>
  <c r="AY24" i="33"/>
  <c r="AX24" i="33"/>
  <c r="AW24" i="33"/>
  <c r="AV24" i="33"/>
  <c r="AU24" i="33"/>
  <c r="AT24" i="33"/>
  <c r="AS24" i="33"/>
  <c r="AQ24" i="33"/>
  <c r="AP24" i="33"/>
  <c r="AO24" i="33"/>
  <c r="AN24" i="33"/>
  <c r="AM24" i="33"/>
  <c r="AK24" i="33"/>
  <c r="AD32" i="33"/>
  <c r="X32" i="33"/>
  <c r="W32" i="33"/>
  <c r="J32" i="33"/>
  <c r="I63" i="33"/>
  <c r="J63" i="33" s="1"/>
  <c r="K63" i="33" s="1"/>
  <c r="L63" i="33" s="1"/>
  <c r="M63" i="33" s="1"/>
  <c r="N63" i="33" s="1"/>
  <c r="O63" i="33" s="1"/>
  <c r="P63" i="33" s="1"/>
  <c r="Q63" i="33" s="1"/>
  <c r="R63" i="33" s="1"/>
  <c r="S63" i="33" s="1"/>
  <c r="T63" i="33" s="1"/>
  <c r="U63" i="33" s="1"/>
  <c r="V63" i="33" s="1"/>
  <c r="AL24" i="33"/>
  <c r="BO23" i="33"/>
  <c r="BN23" i="33"/>
  <c r="BM23" i="33"/>
  <c r="BL23" i="33"/>
  <c r="BK23" i="33"/>
  <c r="BJ23" i="33"/>
  <c r="BI23" i="33"/>
  <c r="BH23" i="33"/>
  <c r="BG23" i="33"/>
  <c r="BF23" i="33"/>
  <c r="BE23" i="33"/>
  <c r="BD23" i="33"/>
  <c r="BC23" i="33"/>
  <c r="BB23" i="33"/>
  <c r="BA23" i="33"/>
  <c r="AZ23" i="33"/>
  <c r="AY23" i="33"/>
  <c r="AX23" i="33"/>
  <c r="AW23" i="33"/>
  <c r="AV23" i="33"/>
  <c r="AU23" i="33"/>
  <c r="AT23" i="33"/>
  <c r="AS23" i="33"/>
  <c r="AR23" i="33"/>
  <c r="AQ23" i="33"/>
  <c r="AP23" i="33"/>
  <c r="AO23" i="33"/>
  <c r="AN23" i="33"/>
  <c r="AM23" i="33"/>
  <c r="AL23" i="33"/>
  <c r="AK23" i="33"/>
  <c r="BP23" i="33"/>
  <c r="BO22" i="33"/>
  <c r="BN22" i="33"/>
  <c r="BM22" i="33"/>
  <c r="BL22" i="33"/>
  <c r="BK22" i="33"/>
  <c r="BJ22" i="33"/>
  <c r="BI22" i="33"/>
  <c r="BH22" i="33"/>
  <c r="BG22" i="33"/>
  <c r="BF22" i="33"/>
  <c r="BE22" i="33"/>
  <c r="BD22" i="33"/>
  <c r="BC22" i="33"/>
  <c r="BB22" i="33"/>
  <c r="BA22" i="33"/>
  <c r="AZ22" i="33"/>
  <c r="AY22" i="33"/>
  <c r="AX22" i="33"/>
  <c r="AW22" i="33"/>
  <c r="AV22" i="33"/>
  <c r="AU22" i="33"/>
  <c r="AT22" i="33"/>
  <c r="AS22" i="33"/>
  <c r="AR22" i="33"/>
  <c r="AQ22" i="33"/>
  <c r="AP22" i="33"/>
  <c r="AO22" i="33"/>
  <c r="AN22" i="33"/>
  <c r="AM22" i="33"/>
  <c r="AL22" i="33"/>
  <c r="AK22" i="33"/>
  <c r="BP22" i="33"/>
  <c r="BO21" i="33"/>
  <c r="BN21" i="33"/>
  <c r="BM21" i="33"/>
  <c r="BL21" i="33"/>
  <c r="BK21" i="33"/>
  <c r="BJ21" i="33"/>
  <c r="BI21" i="33"/>
  <c r="BH21" i="33"/>
  <c r="BG21" i="33"/>
  <c r="BF21" i="33"/>
  <c r="BE21" i="33"/>
  <c r="BD21" i="33"/>
  <c r="BC21" i="33"/>
  <c r="BB21" i="33"/>
  <c r="BA21" i="33"/>
  <c r="AZ21" i="33"/>
  <c r="AY21" i="33"/>
  <c r="AX21" i="33"/>
  <c r="AW21" i="33"/>
  <c r="AV21" i="33"/>
  <c r="AU21" i="33"/>
  <c r="AT21" i="33"/>
  <c r="AS21" i="33"/>
  <c r="AR21" i="33"/>
  <c r="AQ21" i="33"/>
  <c r="AP21" i="33"/>
  <c r="AO21" i="33"/>
  <c r="AN21" i="33"/>
  <c r="AM21" i="33"/>
  <c r="AL21" i="33"/>
  <c r="AK21" i="33"/>
  <c r="BP21" i="33"/>
  <c r="BO20" i="33"/>
  <c r="BN20" i="33"/>
  <c r="BM20" i="33"/>
  <c r="BL20" i="33"/>
  <c r="BK20" i="33"/>
  <c r="BJ20" i="33"/>
  <c r="BI20" i="33"/>
  <c r="BH20" i="33"/>
  <c r="BG20" i="33"/>
  <c r="BF20" i="33"/>
  <c r="BE20" i="33"/>
  <c r="BD20" i="33"/>
  <c r="BC20" i="33"/>
  <c r="BB20" i="33"/>
  <c r="BA20" i="33"/>
  <c r="AZ20" i="33"/>
  <c r="AY20" i="33"/>
  <c r="AX20" i="33"/>
  <c r="AW20" i="33"/>
  <c r="AV20" i="33"/>
  <c r="AU20" i="33"/>
  <c r="AT20" i="33"/>
  <c r="AS20" i="33"/>
  <c r="AR20" i="33"/>
  <c r="AQ20" i="33"/>
  <c r="AP20" i="33"/>
  <c r="AO20" i="33"/>
  <c r="AN20" i="33"/>
  <c r="AM20" i="33"/>
  <c r="AL20" i="33"/>
  <c r="AK20" i="33"/>
  <c r="BP20" i="33"/>
  <c r="BO19" i="33"/>
  <c r="BN19" i="33"/>
  <c r="BM19" i="33"/>
  <c r="BL19" i="33"/>
  <c r="BK19" i="33"/>
  <c r="BJ19" i="33"/>
  <c r="BI19" i="33"/>
  <c r="BH19" i="33"/>
  <c r="BG19" i="33"/>
  <c r="BF19" i="33"/>
  <c r="BE19" i="33"/>
  <c r="BD19" i="33"/>
  <c r="BC19" i="33"/>
  <c r="BB19" i="33"/>
  <c r="BA19" i="33"/>
  <c r="AZ19" i="33"/>
  <c r="AY19" i="33"/>
  <c r="AX19" i="33"/>
  <c r="AW19" i="33"/>
  <c r="AV19" i="33"/>
  <c r="AU19" i="33"/>
  <c r="AT19" i="33"/>
  <c r="AS19" i="33"/>
  <c r="AR19" i="33"/>
  <c r="AQ19" i="33"/>
  <c r="AP19" i="33"/>
  <c r="AO19" i="33"/>
  <c r="AN19" i="33"/>
  <c r="AM19" i="33"/>
  <c r="AL19" i="33"/>
  <c r="AK19" i="33"/>
  <c r="BP19" i="33"/>
  <c r="BO18" i="33"/>
  <c r="BN18" i="33"/>
  <c r="BM18" i="33"/>
  <c r="BL18" i="33"/>
  <c r="BK18" i="33"/>
  <c r="BJ18" i="33"/>
  <c r="BI18" i="33"/>
  <c r="BH18" i="33"/>
  <c r="BG18" i="33"/>
  <c r="BF18" i="33"/>
  <c r="BE18" i="33"/>
  <c r="BD18" i="33"/>
  <c r="BC18" i="33"/>
  <c r="BB18" i="33"/>
  <c r="BA18" i="33"/>
  <c r="AZ18" i="33"/>
  <c r="AY18" i="33"/>
  <c r="AX18" i="33"/>
  <c r="AW18" i="33"/>
  <c r="AV18" i="33"/>
  <c r="AU18" i="33"/>
  <c r="AT18" i="33"/>
  <c r="AS18" i="33"/>
  <c r="AR18" i="33"/>
  <c r="AQ18" i="33"/>
  <c r="AP18" i="33"/>
  <c r="AO18" i="33"/>
  <c r="AN18" i="33"/>
  <c r="AM18" i="33"/>
  <c r="AL18" i="33"/>
  <c r="AK18" i="33"/>
  <c r="BP18" i="33"/>
  <c r="BO17" i="33"/>
  <c r="BN17" i="33"/>
  <c r="BM17" i="33"/>
  <c r="BL17" i="33"/>
  <c r="BK17" i="33"/>
  <c r="BJ17" i="33"/>
  <c r="BI17" i="33"/>
  <c r="BH17" i="33"/>
  <c r="BG17" i="33"/>
  <c r="BF17" i="33"/>
  <c r="BE17" i="33"/>
  <c r="BD17" i="33"/>
  <c r="BC17" i="33"/>
  <c r="BB17" i="33"/>
  <c r="BA17" i="33"/>
  <c r="AZ17" i="33"/>
  <c r="AY17" i="33"/>
  <c r="AX17" i="33"/>
  <c r="AW17" i="33"/>
  <c r="AV17" i="33"/>
  <c r="AU17" i="33"/>
  <c r="AT17" i="33"/>
  <c r="AS17" i="33"/>
  <c r="AR17" i="33"/>
  <c r="AQ17" i="33"/>
  <c r="AP17" i="33"/>
  <c r="AO17" i="33"/>
  <c r="AN17" i="33"/>
  <c r="AM17" i="33"/>
  <c r="AL17" i="33"/>
  <c r="AK17" i="33"/>
  <c r="BP17" i="33"/>
  <c r="BO16" i="33"/>
  <c r="BN16" i="33"/>
  <c r="BM16" i="33"/>
  <c r="BL16" i="33"/>
  <c r="BK16" i="33"/>
  <c r="BJ16" i="33"/>
  <c r="BI16" i="33"/>
  <c r="BH16" i="33"/>
  <c r="BG16" i="33"/>
  <c r="BF16" i="33"/>
  <c r="BE16" i="33"/>
  <c r="BD16" i="33"/>
  <c r="BC16" i="33"/>
  <c r="BB16" i="33"/>
  <c r="BA16" i="33"/>
  <c r="AZ16" i="33"/>
  <c r="AY16" i="33"/>
  <c r="AX16" i="33"/>
  <c r="AW16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BP16" i="33"/>
  <c r="BO15" i="33"/>
  <c r="BN15" i="33"/>
  <c r="BM15" i="33"/>
  <c r="BL15" i="33"/>
  <c r="BK15" i="33"/>
  <c r="BJ15" i="33"/>
  <c r="BI15" i="33"/>
  <c r="BH15" i="33"/>
  <c r="BG15" i="33"/>
  <c r="BF15" i="33"/>
  <c r="BE15" i="33"/>
  <c r="BD15" i="33"/>
  <c r="BC15" i="33"/>
  <c r="BB15" i="33"/>
  <c r="BA15" i="33"/>
  <c r="AZ15" i="33"/>
  <c r="AY15" i="33"/>
  <c r="AX15" i="33"/>
  <c r="AW15" i="33"/>
  <c r="AV15" i="33"/>
  <c r="AU15" i="33"/>
  <c r="AT15" i="33"/>
  <c r="AS15" i="33"/>
  <c r="AR15" i="33"/>
  <c r="AQ15" i="33"/>
  <c r="AP15" i="33"/>
  <c r="AO15" i="33"/>
  <c r="AN15" i="33"/>
  <c r="AM15" i="33"/>
  <c r="AL15" i="33"/>
  <c r="AK15" i="33"/>
  <c r="BP15" i="33"/>
  <c r="BO14" i="33"/>
  <c r="BN14" i="33"/>
  <c r="BM14" i="33"/>
  <c r="BL14" i="33"/>
  <c r="BK14" i="33"/>
  <c r="BJ14" i="33"/>
  <c r="BI14" i="33"/>
  <c r="BH14" i="33"/>
  <c r="BG14" i="33"/>
  <c r="BF14" i="33"/>
  <c r="BE14" i="33"/>
  <c r="BD14" i="33"/>
  <c r="BC14" i="33"/>
  <c r="BB14" i="33"/>
  <c r="BA14" i="33"/>
  <c r="AZ14" i="33"/>
  <c r="AY14" i="33"/>
  <c r="AX14" i="33"/>
  <c r="AW14" i="33"/>
  <c r="AV14" i="33"/>
  <c r="AU14" i="33"/>
  <c r="AT14" i="33"/>
  <c r="AS14" i="33"/>
  <c r="AR14" i="33"/>
  <c r="AQ14" i="33"/>
  <c r="AP14" i="33"/>
  <c r="AO14" i="33"/>
  <c r="AN14" i="33"/>
  <c r="AM14" i="33"/>
  <c r="AL14" i="33"/>
  <c r="AK14" i="33"/>
  <c r="BP14" i="33"/>
  <c r="BO13" i="33"/>
  <c r="BN13" i="33"/>
  <c r="BM13" i="33"/>
  <c r="BL13" i="33"/>
  <c r="BK13" i="33"/>
  <c r="BJ13" i="33"/>
  <c r="BI13" i="33"/>
  <c r="BH13" i="33"/>
  <c r="BG13" i="33"/>
  <c r="BF13" i="33"/>
  <c r="BE13" i="33"/>
  <c r="BD13" i="33"/>
  <c r="BC13" i="33"/>
  <c r="BB13" i="33"/>
  <c r="BA13" i="33"/>
  <c r="AZ13" i="33"/>
  <c r="AY13" i="33"/>
  <c r="AX13" i="33"/>
  <c r="AW13" i="33"/>
  <c r="AV13" i="33"/>
  <c r="AU13" i="33"/>
  <c r="AT13" i="33"/>
  <c r="AS13" i="33"/>
  <c r="AR13" i="33"/>
  <c r="AQ13" i="33"/>
  <c r="AP13" i="33"/>
  <c r="AO13" i="33"/>
  <c r="AN13" i="33"/>
  <c r="AM13" i="33"/>
  <c r="AL13" i="33"/>
  <c r="AK13" i="33"/>
  <c r="BP13" i="33"/>
  <c r="BO12" i="33"/>
  <c r="BN12" i="33"/>
  <c r="BM12" i="33"/>
  <c r="BL12" i="33"/>
  <c r="BK12" i="33"/>
  <c r="BJ12" i="33"/>
  <c r="BI12" i="33"/>
  <c r="BH12" i="33"/>
  <c r="BG12" i="33"/>
  <c r="BF12" i="33"/>
  <c r="BE12" i="33"/>
  <c r="BD12" i="33"/>
  <c r="BC12" i="33"/>
  <c r="BB12" i="33"/>
  <c r="BA12" i="33"/>
  <c r="AZ12" i="33"/>
  <c r="AY12" i="33"/>
  <c r="AX12" i="33"/>
  <c r="AW12" i="33"/>
  <c r="AV12" i="33"/>
  <c r="AU12" i="33"/>
  <c r="AT12" i="33"/>
  <c r="AS12" i="33"/>
  <c r="AR12" i="33"/>
  <c r="AQ12" i="33"/>
  <c r="AP12" i="33"/>
  <c r="AO12" i="33"/>
  <c r="AN12" i="33"/>
  <c r="AM12" i="33"/>
  <c r="AL12" i="33"/>
  <c r="BP12" i="33"/>
  <c r="BO11" i="33"/>
  <c r="BN11" i="33"/>
  <c r="BM11" i="33"/>
  <c r="BL11" i="33"/>
  <c r="BK11" i="33"/>
  <c r="BJ11" i="33"/>
  <c r="BI11" i="33"/>
  <c r="BH11" i="33"/>
  <c r="BG11" i="33"/>
  <c r="BF11" i="33"/>
  <c r="BE11" i="33"/>
  <c r="BD11" i="33"/>
  <c r="BC11" i="33"/>
  <c r="BB11" i="33"/>
  <c r="BA11" i="33"/>
  <c r="AZ11" i="33"/>
  <c r="AY11" i="33"/>
  <c r="AX11" i="33"/>
  <c r="AW11" i="33"/>
  <c r="AV11" i="33"/>
  <c r="AU11" i="33"/>
  <c r="AT11" i="33"/>
  <c r="AS11" i="33"/>
  <c r="AR11" i="33"/>
  <c r="AQ11" i="33"/>
  <c r="AP11" i="33"/>
  <c r="AO11" i="33"/>
  <c r="AN11" i="33"/>
  <c r="AM11" i="33"/>
  <c r="AL11" i="33"/>
  <c r="AK11" i="33"/>
  <c r="BP11" i="33"/>
  <c r="BO10" i="33"/>
  <c r="BN10" i="33"/>
  <c r="BM10" i="33"/>
  <c r="BL10" i="33"/>
  <c r="BK10" i="33"/>
  <c r="BJ10" i="33"/>
  <c r="BI10" i="33"/>
  <c r="BH10" i="33"/>
  <c r="BG10" i="33"/>
  <c r="BF10" i="33"/>
  <c r="BE10" i="33"/>
  <c r="BD10" i="33"/>
  <c r="BC10" i="33"/>
  <c r="BB10" i="33"/>
  <c r="BA10" i="33"/>
  <c r="AZ10" i="33"/>
  <c r="AY10" i="33"/>
  <c r="AX10" i="33"/>
  <c r="AW10" i="33"/>
  <c r="AV10" i="33"/>
  <c r="AU10" i="33"/>
  <c r="AT10" i="33"/>
  <c r="AS10" i="33"/>
  <c r="AR10" i="33"/>
  <c r="AQ10" i="33"/>
  <c r="AP10" i="33"/>
  <c r="AO10" i="33"/>
  <c r="AN10" i="33"/>
  <c r="AM10" i="33"/>
  <c r="AL10" i="33"/>
  <c r="AK10" i="33"/>
  <c r="BP10" i="33"/>
  <c r="BO9" i="33"/>
  <c r="BN9" i="33"/>
  <c r="BM9" i="33"/>
  <c r="BL9" i="33"/>
  <c r="BK9" i="33"/>
  <c r="BJ9" i="33"/>
  <c r="BI9" i="33"/>
  <c r="BH9" i="33"/>
  <c r="BG9" i="33"/>
  <c r="BF9" i="33"/>
  <c r="BE9" i="33"/>
  <c r="BD9" i="33"/>
  <c r="BC9" i="33"/>
  <c r="BB9" i="33"/>
  <c r="BA9" i="33"/>
  <c r="AZ9" i="33"/>
  <c r="AY9" i="33"/>
  <c r="AX9" i="33"/>
  <c r="AW9" i="33"/>
  <c r="AV9" i="33"/>
  <c r="AU9" i="33"/>
  <c r="AT9" i="33"/>
  <c r="AS9" i="33"/>
  <c r="AR9" i="33"/>
  <c r="AQ9" i="33"/>
  <c r="AP9" i="33"/>
  <c r="AO9" i="33"/>
  <c r="AN9" i="33"/>
  <c r="AM9" i="33"/>
  <c r="AL9" i="33"/>
  <c r="AK9" i="33"/>
  <c r="BP9" i="33"/>
  <c r="BO8" i="33"/>
  <c r="BN8" i="33"/>
  <c r="BM8" i="33"/>
  <c r="BL8" i="33"/>
  <c r="BK8" i="33"/>
  <c r="BJ8" i="33"/>
  <c r="BI8" i="33"/>
  <c r="BH8" i="33"/>
  <c r="BG8" i="33"/>
  <c r="BF8" i="33"/>
  <c r="BE8" i="33"/>
  <c r="BD8" i="33"/>
  <c r="BC8" i="33"/>
  <c r="BB8" i="33"/>
  <c r="BA8" i="33"/>
  <c r="AZ8" i="33"/>
  <c r="AY8" i="33"/>
  <c r="AX8" i="33"/>
  <c r="AW8" i="33"/>
  <c r="AV8" i="33"/>
  <c r="AU8" i="33"/>
  <c r="AT8" i="33"/>
  <c r="AS8" i="33"/>
  <c r="AR8" i="33"/>
  <c r="AQ8" i="33"/>
  <c r="AP8" i="33"/>
  <c r="AO8" i="33"/>
  <c r="AN8" i="33"/>
  <c r="AM8" i="33"/>
  <c r="AL8" i="33"/>
  <c r="AK8" i="33"/>
  <c r="BP8" i="33"/>
  <c r="BO7" i="33"/>
  <c r="BN7" i="33"/>
  <c r="BM7" i="33"/>
  <c r="BL7" i="33"/>
  <c r="BK7" i="33"/>
  <c r="BJ7" i="33"/>
  <c r="BI7" i="33"/>
  <c r="BH7" i="33"/>
  <c r="BG7" i="33"/>
  <c r="BF7" i="33"/>
  <c r="BE7" i="33"/>
  <c r="BD7" i="33"/>
  <c r="BC7" i="33"/>
  <c r="BB7" i="33"/>
  <c r="BA7" i="33"/>
  <c r="AZ7" i="33"/>
  <c r="AY7" i="33"/>
  <c r="AX7" i="33"/>
  <c r="AW7" i="33"/>
  <c r="AV7" i="33"/>
  <c r="AU7" i="33"/>
  <c r="AT7" i="33"/>
  <c r="AS7" i="33"/>
  <c r="AR7" i="33"/>
  <c r="AQ7" i="33"/>
  <c r="AP7" i="33"/>
  <c r="AO7" i="33"/>
  <c r="AN7" i="33"/>
  <c r="AM7" i="33"/>
  <c r="AL7" i="33"/>
  <c r="AK7" i="33"/>
  <c r="BP7" i="33"/>
  <c r="BO6" i="33"/>
  <c r="BN6" i="33"/>
  <c r="BM6" i="33"/>
  <c r="BL6" i="33"/>
  <c r="BK6" i="33"/>
  <c r="BJ6" i="33"/>
  <c r="BI6" i="33"/>
  <c r="BH6" i="33"/>
  <c r="BG6" i="33"/>
  <c r="BF6" i="33"/>
  <c r="BE6" i="33"/>
  <c r="BD6" i="33"/>
  <c r="BC6" i="33"/>
  <c r="BB6" i="33"/>
  <c r="BA6" i="33"/>
  <c r="AZ6" i="33"/>
  <c r="AY6" i="33"/>
  <c r="AX6" i="33"/>
  <c r="AW6" i="33"/>
  <c r="AV6" i="33"/>
  <c r="AU6" i="33"/>
  <c r="AT6" i="33"/>
  <c r="AS6" i="33"/>
  <c r="AR6" i="33"/>
  <c r="AQ6" i="33"/>
  <c r="AP6" i="33"/>
  <c r="AO6" i="33"/>
  <c r="AN6" i="33"/>
  <c r="AM6" i="33"/>
  <c r="AL6" i="33"/>
  <c r="AK6" i="33"/>
  <c r="BP6" i="33"/>
  <c r="BO5" i="33"/>
  <c r="BN5" i="33"/>
  <c r="BM5" i="33"/>
  <c r="BL5" i="33"/>
  <c r="BK5" i="33"/>
  <c r="BJ5" i="33"/>
  <c r="BI5" i="33"/>
  <c r="BH5" i="33"/>
  <c r="BG5" i="33"/>
  <c r="BF5" i="33"/>
  <c r="BE5" i="33"/>
  <c r="BD5" i="33"/>
  <c r="BC5" i="33"/>
  <c r="BB5" i="33"/>
  <c r="BA5" i="33"/>
  <c r="AZ5" i="33"/>
  <c r="AY5" i="33"/>
  <c r="AX5" i="33"/>
  <c r="AW5" i="33"/>
  <c r="AV5" i="33"/>
  <c r="AU5" i="33"/>
  <c r="AT5" i="33"/>
  <c r="AS5" i="33"/>
  <c r="AR5" i="33"/>
  <c r="AQ5" i="33"/>
  <c r="AP5" i="33"/>
  <c r="AO5" i="33"/>
  <c r="AN5" i="33"/>
  <c r="AM5" i="33"/>
  <c r="AL5" i="33"/>
  <c r="AK5" i="33"/>
  <c r="I128" i="17" l="1"/>
  <c r="J127" i="17"/>
  <c r="BP5" i="33"/>
  <c r="D32" i="33"/>
  <c r="D63" i="33"/>
  <c r="E63" i="33" s="1"/>
  <c r="F63" i="33" s="1"/>
  <c r="AR24" i="33"/>
  <c r="I32" i="33"/>
  <c r="J128" i="17" l="1"/>
  <c r="K127" i="17"/>
  <c r="BP24" i="33"/>
  <c r="AI32" i="33"/>
  <c r="K128" i="17" l="1"/>
  <c r="L127" i="17"/>
  <c r="AI36" i="33"/>
  <c r="AI35" i="33"/>
  <c r="AI34" i="33"/>
  <c r="AI33" i="33"/>
  <c r="M127" i="17" l="1"/>
  <c r="L128" i="17"/>
  <c r="R234" i="14"/>
  <c r="H234" i="14"/>
  <c r="R233" i="14"/>
  <c r="H233" i="14"/>
  <c r="R232" i="14"/>
  <c r="H232" i="14"/>
  <c r="AD8" i="14"/>
  <c r="H231" i="14"/>
  <c r="R231" i="14"/>
  <c r="AD24" i="30"/>
  <c r="N127" i="17" l="1"/>
  <c r="M128" i="17"/>
  <c r="R230" i="14"/>
  <c r="H230" i="14"/>
  <c r="AB8" i="14"/>
  <c r="R229" i="14"/>
  <c r="H229" i="14"/>
  <c r="O127" i="17" l="1"/>
  <c r="N128" i="17"/>
  <c r="AC8" i="14"/>
  <c r="AA8" i="14"/>
  <c r="R228" i="14"/>
  <c r="H228" i="14"/>
  <c r="P127" i="17" l="1"/>
  <c r="O128" i="17"/>
  <c r="R227" i="14"/>
  <c r="H227" i="14"/>
  <c r="Q127" i="17" l="1"/>
  <c r="P128" i="17"/>
  <c r="Z8" i="14"/>
  <c r="Y8" i="14"/>
  <c r="R226" i="14"/>
  <c r="H226" i="14"/>
  <c r="X24" i="30"/>
  <c r="X8" i="14"/>
  <c r="R225" i="14"/>
  <c r="H225" i="14"/>
  <c r="W8" i="14"/>
  <c r="R224" i="14"/>
  <c r="H224" i="14"/>
  <c r="W24" i="30"/>
  <c r="R127" i="17" l="1"/>
  <c r="Q128" i="17"/>
  <c r="R223" i="14"/>
  <c r="H223" i="14"/>
  <c r="U8" i="14"/>
  <c r="T8" i="14"/>
  <c r="H222" i="14"/>
  <c r="R222" i="14"/>
  <c r="S127" i="17" l="1"/>
  <c r="S128" i="17" s="1"/>
  <c r="R128" i="17"/>
  <c r="V8" i="14"/>
  <c r="R221" i="14"/>
  <c r="H221" i="14"/>
  <c r="S8" i="14"/>
  <c r="R8" i="14"/>
  <c r="R220" i="14"/>
  <c r="H220" i="14"/>
  <c r="R219" i="14" l="1"/>
  <c r="H219" i="14"/>
  <c r="Q8" i="14"/>
  <c r="R218" i="14"/>
  <c r="H218" i="14"/>
  <c r="H217" i="14" l="1"/>
  <c r="R217" i="14"/>
  <c r="P8" i="14" l="1"/>
  <c r="O8" i="14" l="1"/>
  <c r="R216" i="14"/>
  <c r="H216" i="14"/>
  <c r="H215" i="14"/>
  <c r="R215" i="14"/>
  <c r="M8" i="14"/>
  <c r="L8" i="14"/>
  <c r="R214" i="14"/>
  <c r="H214" i="14"/>
  <c r="H213" i="14"/>
  <c r="R213" i="14"/>
  <c r="K8" i="14"/>
  <c r="R212" i="14"/>
  <c r="J8" i="14"/>
  <c r="F211" i="14"/>
  <c r="I211" i="14"/>
  <c r="H212" i="14"/>
  <c r="H211" i="14"/>
  <c r="R211" i="14"/>
  <c r="J24" i="30"/>
  <c r="I8" i="14"/>
  <c r="H210" i="14"/>
  <c r="R210" i="14"/>
  <c r="I24" i="30"/>
  <c r="N8" i="14" l="1"/>
  <c r="H8" i="14"/>
  <c r="H209" i="14"/>
  <c r="R209" i="14"/>
  <c r="G8" i="14"/>
  <c r="R208" i="14"/>
  <c r="H208" i="14"/>
  <c r="F8" i="14"/>
  <c r="H207" i="14"/>
  <c r="R207" i="14"/>
  <c r="E8" i="14" l="1"/>
  <c r="H206" i="14"/>
  <c r="R206" i="14"/>
  <c r="D24" i="30"/>
  <c r="D7" i="14"/>
  <c r="AI7" i="14" s="1"/>
  <c r="J19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H205" i="14"/>
  <c r="I67" i="30"/>
  <c r="J67" i="30" s="1"/>
  <c r="K67" i="30" s="1"/>
  <c r="L67" i="30" s="1"/>
  <c r="M67" i="30" s="1"/>
  <c r="N67" i="30" s="1"/>
  <c r="O67" i="30" s="1"/>
  <c r="P67" i="30" s="1"/>
  <c r="Q67" i="30" s="1"/>
  <c r="R67" i="30" s="1"/>
  <c r="S67" i="30" s="1"/>
  <c r="T67" i="30" s="1"/>
  <c r="U67" i="30" s="1"/>
  <c r="V67" i="30" s="1"/>
  <c r="D67" i="30"/>
  <c r="E67" i="30" s="1"/>
  <c r="F67" i="30" s="1"/>
  <c r="I66" i="30"/>
  <c r="J66" i="30" s="1"/>
  <c r="K66" i="30" s="1"/>
  <c r="L66" i="30" s="1"/>
  <c r="M66" i="30" s="1"/>
  <c r="N66" i="30" s="1"/>
  <c r="O66" i="30" s="1"/>
  <c r="P66" i="30" s="1"/>
  <c r="Q66" i="30" s="1"/>
  <c r="R66" i="30" s="1"/>
  <c r="S66" i="30" s="1"/>
  <c r="T66" i="30" s="1"/>
  <c r="U66" i="30" s="1"/>
  <c r="V66" i="30" s="1"/>
  <c r="D66" i="30"/>
  <c r="E66" i="30" s="1"/>
  <c r="F66" i="30" s="1"/>
  <c r="I65" i="30"/>
  <c r="J65" i="30" s="1"/>
  <c r="K65" i="30" s="1"/>
  <c r="L65" i="30" s="1"/>
  <c r="M65" i="30" s="1"/>
  <c r="N65" i="30" s="1"/>
  <c r="O65" i="30" s="1"/>
  <c r="P65" i="30" s="1"/>
  <c r="Q65" i="30" s="1"/>
  <c r="R65" i="30" s="1"/>
  <c r="S65" i="30" s="1"/>
  <c r="T65" i="30" s="1"/>
  <c r="U65" i="30" s="1"/>
  <c r="V65" i="30" s="1"/>
  <c r="D65" i="30"/>
  <c r="E65" i="30" s="1"/>
  <c r="F65" i="30" s="1"/>
  <c r="I64" i="30"/>
  <c r="J64" i="30" s="1"/>
  <c r="K64" i="30" s="1"/>
  <c r="L64" i="30" s="1"/>
  <c r="M64" i="30" s="1"/>
  <c r="N64" i="30" s="1"/>
  <c r="O64" i="30" s="1"/>
  <c r="P64" i="30" s="1"/>
  <c r="Q64" i="30" s="1"/>
  <c r="R64" i="30" s="1"/>
  <c r="S64" i="30" s="1"/>
  <c r="T64" i="30" s="1"/>
  <c r="U64" i="30" s="1"/>
  <c r="V64" i="30" s="1"/>
  <c r="D64" i="30"/>
  <c r="E64" i="30" s="1"/>
  <c r="F64" i="30" s="1"/>
  <c r="I63" i="30"/>
  <c r="J63" i="30" s="1"/>
  <c r="K63" i="30" s="1"/>
  <c r="I62" i="30"/>
  <c r="J62" i="30" s="1"/>
  <c r="K62" i="30" s="1"/>
  <c r="L62" i="30" s="1"/>
  <c r="M62" i="30" s="1"/>
  <c r="N62" i="30" s="1"/>
  <c r="O62" i="30" s="1"/>
  <c r="P62" i="30" s="1"/>
  <c r="Q62" i="30" s="1"/>
  <c r="R62" i="30" s="1"/>
  <c r="S62" i="30" s="1"/>
  <c r="T62" i="30" s="1"/>
  <c r="U62" i="30" s="1"/>
  <c r="V62" i="30" s="1"/>
  <c r="D62" i="30"/>
  <c r="E62" i="30" s="1"/>
  <c r="F62" i="30" s="1"/>
  <c r="I61" i="30"/>
  <c r="J61" i="30" s="1"/>
  <c r="K61" i="30" s="1"/>
  <c r="L61" i="30" s="1"/>
  <c r="M61" i="30" s="1"/>
  <c r="N61" i="30" s="1"/>
  <c r="O61" i="30" s="1"/>
  <c r="P61" i="30" s="1"/>
  <c r="Q61" i="30" s="1"/>
  <c r="R61" i="30" s="1"/>
  <c r="S61" i="30" s="1"/>
  <c r="T61" i="30" s="1"/>
  <c r="U61" i="30" s="1"/>
  <c r="V61" i="30" s="1"/>
  <c r="D61" i="30"/>
  <c r="E61" i="30" s="1"/>
  <c r="F61" i="30" s="1"/>
  <c r="I60" i="30"/>
  <c r="J60" i="30" s="1"/>
  <c r="K60" i="30" s="1"/>
  <c r="L60" i="30" s="1"/>
  <c r="M60" i="30" s="1"/>
  <c r="N60" i="30" s="1"/>
  <c r="O60" i="30" s="1"/>
  <c r="P60" i="30" s="1"/>
  <c r="Q60" i="30" s="1"/>
  <c r="R60" i="30" s="1"/>
  <c r="S60" i="30" s="1"/>
  <c r="T60" i="30" s="1"/>
  <c r="U60" i="30" s="1"/>
  <c r="V60" i="30" s="1"/>
  <c r="D60" i="30"/>
  <c r="E60" i="30" s="1"/>
  <c r="F60" i="30" s="1"/>
  <c r="I59" i="30"/>
  <c r="J59" i="30" s="1"/>
  <c r="K59" i="30" s="1"/>
  <c r="L59" i="30" s="1"/>
  <c r="M59" i="30" s="1"/>
  <c r="N59" i="30" s="1"/>
  <c r="O59" i="30" s="1"/>
  <c r="P59" i="30" s="1"/>
  <c r="Q59" i="30" s="1"/>
  <c r="R59" i="30" s="1"/>
  <c r="S59" i="30" s="1"/>
  <c r="T59" i="30" s="1"/>
  <c r="U59" i="30" s="1"/>
  <c r="V59" i="30" s="1"/>
  <c r="D59" i="30"/>
  <c r="E59" i="30" s="1"/>
  <c r="F59" i="30" s="1"/>
  <c r="I58" i="30"/>
  <c r="J58" i="30" s="1"/>
  <c r="K58" i="30" s="1"/>
  <c r="L58" i="30" s="1"/>
  <c r="M58" i="30" s="1"/>
  <c r="N58" i="30" s="1"/>
  <c r="O58" i="30" s="1"/>
  <c r="P58" i="30" s="1"/>
  <c r="Q58" i="30" s="1"/>
  <c r="R58" i="30" s="1"/>
  <c r="S58" i="30" s="1"/>
  <c r="T58" i="30" s="1"/>
  <c r="U58" i="30" s="1"/>
  <c r="V58" i="30" s="1"/>
  <c r="D58" i="30"/>
  <c r="E58" i="30" s="1"/>
  <c r="F58" i="30" s="1"/>
  <c r="I57" i="30"/>
  <c r="J57" i="30" s="1"/>
  <c r="K57" i="30" s="1"/>
  <c r="L57" i="30" s="1"/>
  <c r="M57" i="30" s="1"/>
  <c r="N57" i="30" s="1"/>
  <c r="O57" i="30" s="1"/>
  <c r="P57" i="30" s="1"/>
  <c r="Q57" i="30" s="1"/>
  <c r="R57" i="30" s="1"/>
  <c r="S57" i="30" s="1"/>
  <c r="T57" i="30" s="1"/>
  <c r="U57" i="30" s="1"/>
  <c r="V57" i="30" s="1"/>
  <c r="D57" i="30"/>
  <c r="E57" i="30" s="1"/>
  <c r="F57" i="30" s="1"/>
  <c r="I56" i="30"/>
  <c r="J56" i="30" s="1"/>
  <c r="K56" i="30" s="1"/>
  <c r="L56" i="30" s="1"/>
  <c r="M56" i="30" s="1"/>
  <c r="N56" i="30" s="1"/>
  <c r="O56" i="30" s="1"/>
  <c r="P56" i="30" s="1"/>
  <c r="Q56" i="30" s="1"/>
  <c r="R56" i="30" s="1"/>
  <c r="S56" i="30" s="1"/>
  <c r="T56" i="30" s="1"/>
  <c r="U56" i="30" s="1"/>
  <c r="V56" i="30" s="1"/>
  <c r="D56" i="30"/>
  <c r="E56" i="30" s="1"/>
  <c r="F56" i="30" s="1"/>
  <c r="I55" i="30"/>
  <c r="J55" i="30" s="1"/>
  <c r="K55" i="30" s="1"/>
  <c r="L55" i="30" s="1"/>
  <c r="M55" i="30" s="1"/>
  <c r="N55" i="30" s="1"/>
  <c r="O55" i="30" s="1"/>
  <c r="P55" i="30" s="1"/>
  <c r="Q55" i="30" s="1"/>
  <c r="R55" i="30" s="1"/>
  <c r="S55" i="30" s="1"/>
  <c r="T55" i="30" s="1"/>
  <c r="U55" i="30" s="1"/>
  <c r="V55" i="30" s="1"/>
  <c r="D55" i="30"/>
  <c r="E55" i="30" s="1"/>
  <c r="F55" i="30" s="1"/>
  <c r="I54" i="30"/>
  <c r="J54" i="30" s="1"/>
  <c r="K54" i="30" s="1"/>
  <c r="L54" i="30" s="1"/>
  <c r="M54" i="30" s="1"/>
  <c r="N54" i="30" s="1"/>
  <c r="O54" i="30" s="1"/>
  <c r="P54" i="30" s="1"/>
  <c r="Q54" i="30" s="1"/>
  <c r="R54" i="30" s="1"/>
  <c r="S54" i="30" s="1"/>
  <c r="T54" i="30" s="1"/>
  <c r="U54" i="30" s="1"/>
  <c r="V54" i="30" s="1"/>
  <c r="D54" i="30"/>
  <c r="E54" i="30" s="1"/>
  <c r="F54" i="30" s="1"/>
  <c r="I53" i="30"/>
  <c r="J53" i="30" s="1"/>
  <c r="K53" i="30" s="1"/>
  <c r="L53" i="30" s="1"/>
  <c r="M53" i="30" s="1"/>
  <c r="N53" i="30" s="1"/>
  <c r="O53" i="30" s="1"/>
  <c r="P53" i="30" s="1"/>
  <c r="Q53" i="30" s="1"/>
  <c r="R53" i="30" s="1"/>
  <c r="S53" i="30" s="1"/>
  <c r="T53" i="30" s="1"/>
  <c r="U53" i="30" s="1"/>
  <c r="V53" i="30" s="1"/>
  <c r="D53" i="30"/>
  <c r="E53" i="30" s="1"/>
  <c r="F53" i="30" s="1"/>
  <c r="I52" i="30"/>
  <c r="J52" i="30" s="1"/>
  <c r="K52" i="30" s="1"/>
  <c r="L52" i="30" s="1"/>
  <c r="M52" i="30" s="1"/>
  <c r="N52" i="30" s="1"/>
  <c r="O52" i="30" s="1"/>
  <c r="P52" i="30" s="1"/>
  <c r="Q52" i="30" s="1"/>
  <c r="R52" i="30" s="1"/>
  <c r="S52" i="30" s="1"/>
  <c r="T52" i="30" s="1"/>
  <c r="U52" i="30" s="1"/>
  <c r="V52" i="30" s="1"/>
  <c r="D52" i="30"/>
  <c r="E52" i="30" s="1"/>
  <c r="F52" i="30" s="1"/>
  <c r="I51" i="30"/>
  <c r="J51" i="30" s="1"/>
  <c r="K51" i="30" s="1"/>
  <c r="L51" i="30" s="1"/>
  <c r="M51" i="30" s="1"/>
  <c r="N51" i="30" s="1"/>
  <c r="O51" i="30" s="1"/>
  <c r="P51" i="30" s="1"/>
  <c r="Q51" i="30" s="1"/>
  <c r="R51" i="30" s="1"/>
  <c r="S51" i="30" s="1"/>
  <c r="T51" i="30" s="1"/>
  <c r="U51" i="30" s="1"/>
  <c r="V51" i="30" s="1"/>
  <c r="D51" i="30"/>
  <c r="E51" i="30" s="1"/>
  <c r="F51" i="30" s="1"/>
  <c r="I50" i="30"/>
  <c r="J50" i="30" s="1"/>
  <c r="K50" i="30" s="1"/>
  <c r="L50" i="30" s="1"/>
  <c r="M50" i="30" s="1"/>
  <c r="N50" i="30" s="1"/>
  <c r="O50" i="30" s="1"/>
  <c r="P50" i="30" s="1"/>
  <c r="Q50" i="30" s="1"/>
  <c r="R50" i="30" s="1"/>
  <c r="S50" i="30" s="1"/>
  <c r="T50" i="30" s="1"/>
  <c r="U50" i="30" s="1"/>
  <c r="V50" i="30" s="1"/>
  <c r="D50" i="30"/>
  <c r="E50" i="30" s="1"/>
  <c r="F50" i="30" s="1"/>
  <c r="I49" i="30"/>
  <c r="J49" i="30" s="1"/>
  <c r="K49" i="30" s="1"/>
  <c r="L49" i="30" s="1"/>
  <c r="M49" i="30" s="1"/>
  <c r="N49" i="30" s="1"/>
  <c r="O49" i="30" s="1"/>
  <c r="P49" i="30" s="1"/>
  <c r="Q49" i="30" s="1"/>
  <c r="R49" i="30" s="1"/>
  <c r="S49" i="30" s="1"/>
  <c r="T49" i="30" s="1"/>
  <c r="U49" i="30" s="1"/>
  <c r="V49" i="30" s="1"/>
  <c r="D49" i="30"/>
  <c r="E49" i="30" s="1"/>
  <c r="F49" i="30" s="1"/>
  <c r="I48" i="30"/>
  <c r="J48" i="30" s="1"/>
  <c r="K48" i="30" s="1"/>
  <c r="L48" i="30" s="1"/>
  <c r="M48" i="30" s="1"/>
  <c r="N48" i="30" s="1"/>
  <c r="O48" i="30" s="1"/>
  <c r="P48" i="30" s="1"/>
  <c r="Q48" i="30" s="1"/>
  <c r="R48" i="30" s="1"/>
  <c r="S48" i="30" s="1"/>
  <c r="T48" i="30" s="1"/>
  <c r="U48" i="30" s="1"/>
  <c r="V48" i="30" s="1"/>
  <c r="D48" i="30"/>
  <c r="E48" i="30" s="1"/>
  <c r="F48" i="30" s="1"/>
  <c r="I47" i="30"/>
  <c r="J47" i="30" s="1"/>
  <c r="K47" i="30" s="1"/>
  <c r="L47" i="30" s="1"/>
  <c r="M47" i="30" s="1"/>
  <c r="N47" i="30" s="1"/>
  <c r="O47" i="30" s="1"/>
  <c r="P47" i="30" s="1"/>
  <c r="Q47" i="30" s="1"/>
  <c r="R47" i="30" s="1"/>
  <c r="S47" i="30" s="1"/>
  <c r="T47" i="30" s="1"/>
  <c r="U47" i="30" s="1"/>
  <c r="V47" i="30" s="1"/>
  <c r="D47" i="30"/>
  <c r="E47" i="30" s="1"/>
  <c r="F47" i="30" s="1"/>
  <c r="I46" i="30"/>
  <c r="J46" i="30" s="1"/>
  <c r="K46" i="30" s="1"/>
  <c r="L46" i="30" s="1"/>
  <c r="M46" i="30" s="1"/>
  <c r="N46" i="30" s="1"/>
  <c r="O46" i="30" s="1"/>
  <c r="P46" i="30" s="1"/>
  <c r="Q46" i="30" s="1"/>
  <c r="R46" i="30" s="1"/>
  <c r="S46" i="30" s="1"/>
  <c r="T46" i="30" s="1"/>
  <c r="U46" i="30" s="1"/>
  <c r="V46" i="30" s="1"/>
  <c r="D46" i="30"/>
  <c r="E46" i="30" s="1"/>
  <c r="F46" i="30" s="1"/>
  <c r="H45" i="30"/>
  <c r="I45" i="30" s="1"/>
  <c r="J45" i="30" s="1"/>
  <c r="K45" i="30" s="1"/>
  <c r="L45" i="30" s="1"/>
  <c r="M45" i="30" s="1"/>
  <c r="N45" i="30" s="1"/>
  <c r="O45" i="30" s="1"/>
  <c r="P45" i="30" s="1"/>
  <c r="Q45" i="30" s="1"/>
  <c r="R45" i="30" s="1"/>
  <c r="S45" i="30" s="1"/>
  <c r="T45" i="30" s="1"/>
  <c r="U45" i="30" s="1"/>
  <c r="V45" i="30" s="1"/>
  <c r="G45" i="30"/>
  <c r="D45" i="30"/>
  <c r="E45" i="30" s="1"/>
  <c r="F45" i="30" s="1"/>
  <c r="AL44" i="30"/>
  <c r="I44" i="30"/>
  <c r="J44" i="30" s="1"/>
  <c r="K44" i="30" s="1"/>
  <c r="L44" i="30" s="1"/>
  <c r="M44" i="30" s="1"/>
  <c r="N44" i="30" s="1"/>
  <c r="O44" i="30" s="1"/>
  <c r="P44" i="30" s="1"/>
  <c r="Q44" i="30" s="1"/>
  <c r="R44" i="30" s="1"/>
  <c r="S44" i="30" s="1"/>
  <c r="T44" i="30" s="1"/>
  <c r="U44" i="30" s="1"/>
  <c r="V44" i="30" s="1"/>
  <c r="D44" i="30"/>
  <c r="E44" i="30" s="1"/>
  <c r="F44" i="30" s="1"/>
  <c r="AG42" i="30"/>
  <c r="AA42" i="30"/>
  <c r="Z42" i="30"/>
  <c r="T42" i="30"/>
  <c r="S42" i="30"/>
  <c r="M42" i="30"/>
  <c r="L42" i="30"/>
  <c r="F42" i="30"/>
  <c r="E42" i="30"/>
  <c r="AF40" i="30"/>
  <c r="AF41" i="30" s="1"/>
  <c r="O40" i="30"/>
  <c r="AE39" i="30"/>
  <c r="AC39" i="30"/>
  <c r="T37" i="30"/>
  <c r="N36" i="30"/>
  <c r="L36" i="30"/>
  <c r="AI32" i="30"/>
  <c r="AG32" i="30"/>
  <c r="AF32" i="30"/>
  <c r="AE32" i="30"/>
  <c r="AC32" i="30"/>
  <c r="Z32" i="30"/>
  <c r="Y32" i="30"/>
  <c r="X32" i="30"/>
  <c r="W32" i="30"/>
  <c r="V32" i="30"/>
  <c r="U32" i="30"/>
  <c r="T32" i="30"/>
  <c r="S32" i="30"/>
  <c r="R32" i="30"/>
  <c r="Q32" i="30"/>
  <c r="P32" i="30"/>
  <c r="O32" i="30"/>
  <c r="N32" i="30"/>
  <c r="M32" i="30"/>
  <c r="K32" i="30"/>
  <c r="J32" i="30"/>
  <c r="I32" i="30"/>
  <c r="G32" i="30"/>
  <c r="BN31" i="30"/>
  <c r="BM31" i="30"/>
  <c r="BL31" i="30"/>
  <c r="BK31" i="30"/>
  <c r="BJ31" i="30"/>
  <c r="BI31" i="30"/>
  <c r="BH31" i="30"/>
  <c r="BG31" i="30"/>
  <c r="BF31" i="30"/>
  <c r="BE31" i="30"/>
  <c r="BD31" i="30"/>
  <c r="BC31" i="30"/>
  <c r="BB31" i="30"/>
  <c r="BA31" i="30"/>
  <c r="AZ31" i="30"/>
  <c r="AY31" i="30"/>
  <c r="AX31" i="30"/>
  <c r="AW31" i="30"/>
  <c r="AV31" i="30"/>
  <c r="AU31" i="30"/>
  <c r="AT31" i="30"/>
  <c r="AS31" i="30"/>
  <c r="AR31" i="30"/>
  <c r="AQ31" i="30"/>
  <c r="AP31" i="30"/>
  <c r="AO31" i="30"/>
  <c r="AN31" i="30"/>
  <c r="AM31" i="30"/>
  <c r="AL31" i="30"/>
  <c r="AK31" i="30"/>
  <c r="AH31" i="30"/>
  <c r="BN30" i="30"/>
  <c r="BM30" i="30"/>
  <c r="BL30" i="30"/>
  <c r="BK30" i="30"/>
  <c r="BJ30" i="30"/>
  <c r="BI30" i="30"/>
  <c r="BH30" i="30"/>
  <c r="BG30" i="30"/>
  <c r="BF30" i="30"/>
  <c r="BE30" i="30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AO30" i="30"/>
  <c r="AN30" i="30"/>
  <c r="AM30" i="30"/>
  <c r="AL30" i="30"/>
  <c r="AK30" i="30"/>
  <c r="AJ30" i="30"/>
  <c r="AH30" i="30"/>
  <c r="BN29" i="30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AO29" i="30"/>
  <c r="AN29" i="30"/>
  <c r="AM29" i="30"/>
  <c r="AL29" i="30"/>
  <c r="AK29" i="30"/>
  <c r="AJ29" i="30"/>
  <c r="AH29" i="30"/>
  <c r="BN28" i="30"/>
  <c r="BM28" i="30"/>
  <c r="BL28" i="30"/>
  <c r="BK28" i="30"/>
  <c r="BJ28" i="30"/>
  <c r="BI28" i="30"/>
  <c r="BH28" i="30"/>
  <c r="BG28" i="30"/>
  <c r="BF28" i="30"/>
  <c r="BE28" i="30"/>
  <c r="BD28" i="30"/>
  <c r="BC28" i="30"/>
  <c r="BB28" i="30"/>
  <c r="BA28" i="30"/>
  <c r="AZ28" i="30"/>
  <c r="AY28" i="30"/>
  <c r="AX28" i="30"/>
  <c r="AW28" i="30"/>
  <c r="AV28" i="30"/>
  <c r="AU28" i="30"/>
  <c r="AT28" i="30"/>
  <c r="AS28" i="30"/>
  <c r="AR28" i="30"/>
  <c r="AQ28" i="30"/>
  <c r="AP28" i="30"/>
  <c r="AO28" i="30"/>
  <c r="AN28" i="30"/>
  <c r="AM28" i="30"/>
  <c r="AL28" i="30"/>
  <c r="AK28" i="30"/>
  <c r="AJ28" i="30"/>
  <c r="AH28" i="30"/>
  <c r="BN27" i="30"/>
  <c r="BM27" i="30"/>
  <c r="BL27" i="30"/>
  <c r="BK27" i="30"/>
  <c r="BJ27" i="30"/>
  <c r="BI27" i="30"/>
  <c r="BH27" i="30"/>
  <c r="BG27" i="30"/>
  <c r="BF27" i="30"/>
  <c r="BE27" i="30"/>
  <c r="BD27" i="30"/>
  <c r="BC27" i="30"/>
  <c r="BB27" i="30"/>
  <c r="BA27" i="30"/>
  <c r="AZ27" i="30"/>
  <c r="AY27" i="30"/>
  <c r="AX27" i="30"/>
  <c r="AW27" i="30"/>
  <c r="AV27" i="30"/>
  <c r="AU27" i="30"/>
  <c r="AT27" i="30"/>
  <c r="AS27" i="30"/>
  <c r="AR27" i="30"/>
  <c r="AQ27" i="30"/>
  <c r="AP27" i="30"/>
  <c r="AO27" i="30"/>
  <c r="AN27" i="30"/>
  <c r="AM27" i="30"/>
  <c r="AL27" i="30"/>
  <c r="AK27" i="30"/>
  <c r="AJ27" i="30"/>
  <c r="BN26" i="30"/>
  <c r="BM26" i="30"/>
  <c r="BL26" i="30"/>
  <c r="BK26" i="30"/>
  <c r="BJ26" i="30"/>
  <c r="BI26" i="30"/>
  <c r="BH26" i="30"/>
  <c r="BG26" i="30"/>
  <c r="BF26" i="30"/>
  <c r="BE26" i="30"/>
  <c r="BD26" i="30"/>
  <c r="BC26" i="30"/>
  <c r="BB26" i="30"/>
  <c r="BA26" i="30"/>
  <c r="AZ26" i="30"/>
  <c r="AY26" i="30"/>
  <c r="AX26" i="30"/>
  <c r="AW26" i="30"/>
  <c r="AV26" i="30"/>
  <c r="AU26" i="30"/>
  <c r="AT26" i="30"/>
  <c r="AS26" i="30"/>
  <c r="AR26" i="30"/>
  <c r="AQ26" i="30"/>
  <c r="AP26" i="30"/>
  <c r="AO26" i="30"/>
  <c r="AN26" i="30"/>
  <c r="AM26" i="30"/>
  <c r="AL26" i="30"/>
  <c r="AK26" i="30"/>
  <c r="AJ26" i="30"/>
  <c r="AH26" i="30"/>
  <c r="BN25" i="30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BN24" i="30"/>
  <c r="BM24" i="30"/>
  <c r="BL24" i="30"/>
  <c r="BK24" i="30"/>
  <c r="BJ24" i="30"/>
  <c r="BI24" i="30"/>
  <c r="BH24" i="30"/>
  <c r="BG24" i="30"/>
  <c r="BF24" i="30"/>
  <c r="BE24" i="30"/>
  <c r="BD24" i="30"/>
  <c r="BC24" i="30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AN24" i="30"/>
  <c r="AK24" i="30"/>
  <c r="AJ24" i="30"/>
  <c r="AD32" i="30"/>
  <c r="AB32" i="30"/>
  <c r="AA32" i="30"/>
  <c r="L32" i="30"/>
  <c r="BN23" i="30"/>
  <c r="BM23" i="30"/>
  <c r="BL23" i="30"/>
  <c r="BK23" i="30"/>
  <c r="BJ23" i="30"/>
  <c r="BI23" i="30"/>
  <c r="BH23" i="30"/>
  <c r="BG23" i="30"/>
  <c r="BF23" i="30"/>
  <c r="BE23" i="30"/>
  <c r="BD23" i="30"/>
  <c r="BC23" i="30"/>
  <c r="BB23" i="30"/>
  <c r="BA23" i="30"/>
  <c r="AZ23" i="30"/>
  <c r="AY23" i="30"/>
  <c r="AX23" i="30"/>
  <c r="AW23" i="30"/>
  <c r="AV23" i="30"/>
  <c r="AU23" i="30"/>
  <c r="AT23" i="30"/>
  <c r="AS23" i="30"/>
  <c r="AR23" i="30"/>
  <c r="AQ23" i="30"/>
  <c r="AP23" i="30"/>
  <c r="AO23" i="30"/>
  <c r="AN23" i="30"/>
  <c r="AM23" i="30"/>
  <c r="AL23" i="30"/>
  <c r="AK23" i="30"/>
  <c r="AJ23" i="30"/>
  <c r="AH23" i="30"/>
  <c r="BN22" i="30"/>
  <c r="BM22" i="30"/>
  <c r="BL22" i="30"/>
  <c r="BK22" i="30"/>
  <c r="BJ22" i="30"/>
  <c r="BI22" i="30"/>
  <c r="BH22" i="30"/>
  <c r="BG22" i="30"/>
  <c r="BF22" i="30"/>
  <c r="BE22" i="30"/>
  <c r="BD22" i="30"/>
  <c r="BC22" i="30"/>
  <c r="BB22" i="30"/>
  <c r="BA22" i="30"/>
  <c r="AZ22" i="30"/>
  <c r="AY22" i="30"/>
  <c r="AX22" i="30"/>
  <c r="AW22" i="30"/>
  <c r="AV22" i="30"/>
  <c r="AU22" i="30"/>
  <c r="AT22" i="30"/>
  <c r="AS22" i="30"/>
  <c r="AR22" i="30"/>
  <c r="AQ22" i="30"/>
  <c r="AP22" i="30"/>
  <c r="AO22" i="30"/>
  <c r="AN22" i="30"/>
  <c r="AM22" i="30"/>
  <c r="AL22" i="30"/>
  <c r="AK22" i="30"/>
  <c r="AJ22" i="30"/>
  <c r="AH22" i="30"/>
  <c r="BN21" i="30"/>
  <c r="BM21" i="30"/>
  <c r="BL21" i="30"/>
  <c r="BK21" i="30"/>
  <c r="BJ21" i="30"/>
  <c r="BI21" i="30"/>
  <c r="BH21" i="30"/>
  <c r="BG21" i="30"/>
  <c r="BF21" i="30"/>
  <c r="BE21" i="30"/>
  <c r="BD21" i="30"/>
  <c r="BC21" i="30"/>
  <c r="BB21" i="30"/>
  <c r="BA21" i="30"/>
  <c r="AZ21" i="30"/>
  <c r="AY21" i="30"/>
  <c r="AX21" i="30"/>
  <c r="AW21" i="30"/>
  <c r="AV21" i="30"/>
  <c r="AU21" i="30"/>
  <c r="AT21" i="30"/>
  <c r="AS21" i="30"/>
  <c r="AR21" i="30"/>
  <c r="AQ21" i="30"/>
  <c r="AP21" i="30"/>
  <c r="AO21" i="30"/>
  <c r="AN21" i="30"/>
  <c r="AM21" i="30"/>
  <c r="AL21" i="30"/>
  <c r="AK21" i="30"/>
  <c r="AJ21" i="30"/>
  <c r="AH21" i="30"/>
  <c r="BN20" i="30"/>
  <c r="BM20" i="30"/>
  <c r="BL20" i="30"/>
  <c r="BK20" i="30"/>
  <c r="BJ20" i="30"/>
  <c r="BI20" i="30"/>
  <c r="BH20" i="30"/>
  <c r="BG20" i="30"/>
  <c r="BF20" i="30"/>
  <c r="BE20" i="30"/>
  <c r="BD20" i="30"/>
  <c r="BC20" i="30"/>
  <c r="BB20" i="30"/>
  <c r="BA20" i="30"/>
  <c r="AZ20" i="30"/>
  <c r="AY20" i="30"/>
  <c r="AX20" i="30"/>
  <c r="AW20" i="30"/>
  <c r="AV20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H20" i="30"/>
  <c r="BN19" i="30"/>
  <c r="BM19" i="30"/>
  <c r="BL19" i="30"/>
  <c r="BK19" i="30"/>
  <c r="BJ19" i="30"/>
  <c r="BI19" i="30"/>
  <c r="BH19" i="30"/>
  <c r="BG19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T19" i="30"/>
  <c r="AS19" i="30"/>
  <c r="AR19" i="30"/>
  <c r="AQ19" i="30"/>
  <c r="AP19" i="30"/>
  <c r="AO19" i="30"/>
  <c r="AN19" i="30"/>
  <c r="AM19" i="30"/>
  <c r="AL19" i="30"/>
  <c r="AK19" i="30"/>
  <c r="AJ19" i="30"/>
  <c r="AH19" i="30"/>
  <c r="BN18" i="30"/>
  <c r="BM18" i="30"/>
  <c r="BL18" i="30"/>
  <c r="BK18" i="30"/>
  <c r="BJ18" i="30"/>
  <c r="BI18" i="30"/>
  <c r="BH18" i="30"/>
  <c r="BG18" i="30"/>
  <c r="BF18" i="30"/>
  <c r="BE18" i="30"/>
  <c r="BD18" i="30"/>
  <c r="BC18" i="30"/>
  <c r="BB18" i="30"/>
  <c r="BA18" i="30"/>
  <c r="AZ18" i="30"/>
  <c r="AY18" i="30"/>
  <c r="AX18" i="30"/>
  <c r="AW18" i="30"/>
  <c r="AV18" i="30"/>
  <c r="AU18" i="30"/>
  <c r="AT18" i="30"/>
  <c r="AS18" i="30"/>
  <c r="AR18" i="30"/>
  <c r="AQ18" i="30"/>
  <c r="AP18" i="30"/>
  <c r="AO18" i="30"/>
  <c r="AN18" i="30"/>
  <c r="AM18" i="30"/>
  <c r="AL18" i="30"/>
  <c r="AK18" i="30"/>
  <c r="AJ18" i="30"/>
  <c r="AH18" i="30"/>
  <c r="BN17" i="30"/>
  <c r="BM17" i="30"/>
  <c r="BL17" i="30"/>
  <c r="BK17" i="30"/>
  <c r="BJ17" i="30"/>
  <c r="BI17" i="30"/>
  <c r="BH17" i="30"/>
  <c r="BG17" i="30"/>
  <c r="BF17" i="30"/>
  <c r="BE17" i="30"/>
  <c r="BD17" i="30"/>
  <c r="BC17" i="30"/>
  <c r="BB17" i="30"/>
  <c r="BA17" i="30"/>
  <c r="AZ17" i="30"/>
  <c r="AY17" i="30"/>
  <c r="AX17" i="30"/>
  <c r="AW17" i="30"/>
  <c r="AV17" i="30"/>
  <c r="AU17" i="30"/>
  <c r="AT17" i="30"/>
  <c r="AS17" i="30"/>
  <c r="AR17" i="30"/>
  <c r="AQ17" i="30"/>
  <c r="AP17" i="30"/>
  <c r="AO17" i="30"/>
  <c r="AN17" i="30"/>
  <c r="AM17" i="30"/>
  <c r="AL17" i="30"/>
  <c r="AK17" i="30"/>
  <c r="AJ17" i="30"/>
  <c r="AH17" i="30"/>
  <c r="BN16" i="30"/>
  <c r="BM16" i="30"/>
  <c r="BL16" i="30"/>
  <c r="BK16" i="30"/>
  <c r="BJ16" i="30"/>
  <c r="BI16" i="30"/>
  <c r="BH16" i="30"/>
  <c r="BG16" i="30"/>
  <c r="BF16" i="30"/>
  <c r="BE16" i="30"/>
  <c r="BD16" i="30"/>
  <c r="BC16" i="30"/>
  <c r="BB16" i="30"/>
  <c r="BA16" i="30"/>
  <c r="AZ16" i="30"/>
  <c r="AY16" i="30"/>
  <c r="AX16" i="30"/>
  <c r="AW16" i="30"/>
  <c r="AV16" i="30"/>
  <c r="AU16" i="30"/>
  <c r="AT16" i="30"/>
  <c r="AS16" i="30"/>
  <c r="AR16" i="30"/>
  <c r="AQ16" i="30"/>
  <c r="AP16" i="30"/>
  <c r="AO16" i="30"/>
  <c r="AN16" i="30"/>
  <c r="AM16" i="30"/>
  <c r="AL16" i="30"/>
  <c r="AK16" i="30"/>
  <c r="AJ16" i="30"/>
  <c r="AH16" i="30"/>
  <c r="BN15" i="30"/>
  <c r="BM15" i="30"/>
  <c r="BL15" i="30"/>
  <c r="BK15" i="30"/>
  <c r="BJ15" i="30"/>
  <c r="BI15" i="30"/>
  <c r="BH15" i="30"/>
  <c r="BG15" i="30"/>
  <c r="BF15" i="30"/>
  <c r="BE15" i="30"/>
  <c r="BD15" i="30"/>
  <c r="BC15" i="30"/>
  <c r="BB15" i="30"/>
  <c r="BA15" i="30"/>
  <c r="AZ15" i="30"/>
  <c r="AY15" i="30"/>
  <c r="AX15" i="30"/>
  <c r="AW15" i="30"/>
  <c r="AV15" i="30"/>
  <c r="AU15" i="30"/>
  <c r="AT15" i="30"/>
  <c r="AS15" i="30"/>
  <c r="AR15" i="30"/>
  <c r="AQ15" i="30"/>
  <c r="AP15" i="30"/>
  <c r="AO15" i="30"/>
  <c r="AN15" i="30"/>
  <c r="AM15" i="30"/>
  <c r="AL15" i="30"/>
  <c r="AK15" i="30"/>
  <c r="AJ15" i="30"/>
  <c r="AH15" i="30"/>
  <c r="BN14" i="30"/>
  <c r="BM14" i="30"/>
  <c r="BL14" i="30"/>
  <c r="BK14" i="30"/>
  <c r="BJ14" i="30"/>
  <c r="BI14" i="30"/>
  <c r="BH14" i="30"/>
  <c r="BG14" i="30"/>
  <c r="BF14" i="30"/>
  <c r="BE14" i="30"/>
  <c r="BD14" i="30"/>
  <c r="BC14" i="30"/>
  <c r="BB14" i="30"/>
  <c r="BA14" i="30"/>
  <c r="AZ14" i="30"/>
  <c r="AY14" i="30"/>
  <c r="AX14" i="30"/>
  <c r="AW14" i="30"/>
  <c r="AV14" i="30"/>
  <c r="AU14" i="30"/>
  <c r="AT14" i="30"/>
  <c r="AS14" i="30"/>
  <c r="AR14" i="30"/>
  <c r="AQ14" i="30"/>
  <c r="AP14" i="30"/>
  <c r="AO14" i="30"/>
  <c r="AN14" i="30"/>
  <c r="AM14" i="30"/>
  <c r="AL14" i="30"/>
  <c r="AK14" i="30"/>
  <c r="AJ14" i="30"/>
  <c r="AH14" i="30"/>
  <c r="BN13" i="30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H13" i="30"/>
  <c r="BN12" i="30"/>
  <c r="BM12" i="30"/>
  <c r="BL12" i="30"/>
  <c r="BK12" i="30"/>
  <c r="BJ12" i="30"/>
  <c r="BI12" i="30"/>
  <c r="BH12" i="30"/>
  <c r="BG12" i="30"/>
  <c r="BF12" i="30"/>
  <c r="BE12" i="30"/>
  <c r="BD12" i="30"/>
  <c r="BC12" i="30"/>
  <c r="BB12" i="30"/>
  <c r="BA12" i="30"/>
  <c r="AZ12" i="30"/>
  <c r="AY12" i="30"/>
  <c r="AX12" i="30"/>
  <c r="AW12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H12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H11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AW10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H10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Q9" i="30"/>
  <c r="AP9" i="30"/>
  <c r="AO9" i="30"/>
  <c r="AN9" i="30"/>
  <c r="AM9" i="30"/>
  <c r="AL9" i="30"/>
  <c r="AK9" i="30"/>
  <c r="AJ9" i="30"/>
  <c r="AH9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AW8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AH8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AS7" i="30"/>
  <c r="AR7" i="30"/>
  <c r="AQ7" i="30"/>
  <c r="AP7" i="30"/>
  <c r="AO7" i="30"/>
  <c r="AN7" i="30"/>
  <c r="AM7" i="30"/>
  <c r="AL7" i="30"/>
  <c r="AK7" i="30"/>
  <c r="AJ7" i="30"/>
  <c r="AH7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AS6" i="30"/>
  <c r="AR6" i="30"/>
  <c r="AQ6" i="30"/>
  <c r="AP6" i="30"/>
  <c r="AO6" i="30"/>
  <c r="AN6" i="30"/>
  <c r="AM6" i="30"/>
  <c r="AL6" i="30"/>
  <c r="AK6" i="30"/>
  <c r="AJ6" i="30"/>
  <c r="AH6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AQ5" i="30"/>
  <c r="AP5" i="30"/>
  <c r="AO5" i="30"/>
  <c r="AN5" i="30"/>
  <c r="AM5" i="30"/>
  <c r="AL5" i="30"/>
  <c r="AK5" i="30"/>
  <c r="AJ5" i="30"/>
  <c r="AH5" i="30"/>
  <c r="H204" i="14"/>
  <c r="H203" i="14"/>
  <c r="H202" i="14"/>
  <c r="H201" i="14"/>
  <c r="H200" i="14"/>
  <c r="AD24" i="29"/>
  <c r="J167" i="14"/>
  <c r="H199" i="14"/>
  <c r="H198" i="14"/>
  <c r="AB24" i="29"/>
  <c r="H197" i="14"/>
  <c r="AA24" i="29"/>
  <c r="H196" i="14"/>
  <c r="BO10" i="30" l="1"/>
  <c r="Q19" i="17"/>
  <c r="Q20" i="17" s="1"/>
  <c r="Q25" i="17"/>
  <c r="Q26" i="17" s="1"/>
  <c r="BO25" i="30"/>
  <c r="Q73" i="17"/>
  <c r="BO29" i="30"/>
  <c r="Q70" i="17"/>
  <c r="BO26" i="30"/>
  <c r="Q76" i="17"/>
  <c r="BO22" i="30"/>
  <c r="Q55" i="17"/>
  <c r="BO28" i="30"/>
  <c r="Q67" i="17"/>
  <c r="BO27" i="30"/>
  <c r="Q64" i="17"/>
  <c r="BO23" i="30"/>
  <c r="Q58" i="17"/>
  <c r="BO15" i="30"/>
  <c r="Q34" i="17"/>
  <c r="BO13" i="30"/>
  <c r="Q28" i="17"/>
  <c r="Q29" i="17" s="1"/>
  <c r="BO9" i="30"/>
  <c r="Q16" i="17"/>
  <c r="Q17" i="17" s="1"/>
  <c r="BO16" i="30"/>
  <c r="Q37" i="17"/>
  <c r="BO17" i="30"/>
  <c r="Q40" i="17"/>
  <c r="BO18" i="30"/>
  <c r="Q43" i="17"/>
  <c r="BO14" i="30"/>
  <c r="Q31" i="17"/>
  <c r="BO19" i="30"/>
  <c r="Q46" i="17"/>
  <c r="BO20" i="30"/>
  <c r="Q49" i="17"/>
  <c r="BO21" i="30"/>
  <c r="Q52" i="17"/>
  <c r="BO30" i="30"/>
  <c r="Q82" i="17"/>
  <c r="BO31" i="30"/>
  <c r="Q79" i="17"/>
  <c r="Q4" i="17"/>
  <c r="Q5" i="17" s="1"/>
  <c r="BO8" i="30"/>
  <c r="Q13" i="17"/>
  <c r="Q14" i="17" s="1"/>
  <c r="BO11" i="30"/>
  <c r="Q22" i="17"/>
  <c r="Q23" i="17" s="1"/>
  <c r="BO6" i="30"/>
  <c r="Q7" i="17"/>
  <c r="Q8" i="17" s="1"/>
  <c r="BO7" i="30"/>
  <c r="Q10" i="17"/>
  <c r="Q11" i="17" s="1"/>
  <c r="D8" i="14"/>
  <c r="AI8" i="14"/>
  <c r="BO12" i="30"/>
  <c r="D63" i="30"/>
  <c r="E63" i="30" s="1"/>
  <c r="F63" i="30" s="1"/>
  <c r="D32" i="30"/>
  <c r="AH24" i="30"/>
  <c r="Q61" i="17" s="1"/>
  <c r="E32" i="30"/>
  <c r="F32" i="30"/>
  <c r="AM24" i="30"/>
  <c r="AL24" i="30"/>
  <c r="BO5" i="30"/>
  <c r="H32" i="30"/>
  <c r="AO24" i="30"/>
  <c r="L63" i="30"/>
  <c r="M63" i="30" s="1"/>
  <c r="N63" i="30" s="1"/>
  <c r="O63" i="30" s="1"/>
  <c r="P63" i="30" s="1"/>
  <c r="Q63" i="30" s="1"/>
  <c r="R63" i="30" s="1"/>
  <c r="S63" i="30" s="1"/>
  <c r="T63" i="30" s="1"/>
  <c r="U63" i="30" s="1"/>
  <c r="V63" i="30" s="1"/>
  <c r="H195" i="14"/>
  <c r="H194" i="14"/>
  <c r="BO24" i="30" l="1"/>
  <c r="AH32" i="30"/>
  <c r="R193" i="14"/>
  <c r="H193" i="14"/>
  <c r="AH36" i="30" l="1"/>
  <c r="AH35" i="30"/>
  <c r="AH34" i="30"/>
  <c r="AH33" i="30"/>
  <c r="H192" i="14"/>
  <c r="R192" i="14"/>
  <c r="H191" i="14"/>
  <c r="R191" i="14"/>
  <c r="U32" i="29"/>
  <c r="H190" i="14"/>
  <c r="R190" i="14"/>
  <c r="H189" i="14"/>
  <c r="R189" i="14"/>
  <c r="H188" i="14"/>
  <c r="R188" i="14"/>
  <c r="R187" i="14" l="1"/>
  <c r="H187" i="14"/>
  <c r="H186" i="14" l="1"/>
  <c r="R186" i="14"/>
  <c r="R185" i="14" l="1"/>
  <c r="H185" i="14"/>
  <c r="R184" i="14"/>
  <c r="H184" i="14"/>
  <c r="R183" i="14"/>
  <c r="H183" i="14"/>
  <c r="R182" i="14"/>
  <c r="H182" i="14"/>
  <c r="L24" i="29"/>
  <c r="R181" i="14" l="1"/>
  <c r="H181" i="14"/>
  <c r="R180" i="14"/>
  <c r="H180" i="14"/>
  <c r="R175" i="14"/>
  <c r="R176" i="14"/>
  <c r="R177" i="14"/>
  <c r="R178" i="14"/>
  <c r="R179" i="14"/>
  <c r="H179" i="14"/>
  <c r="H178" i="14"/>
  <c r="H24" i="29"/>
  <c r="H177" i="14" l="1"/>
  <c r="H176" i="14"/>
  <c r="F24" i="29"/>
  <c r="H175" i="14"/>
  <c r="E24" i="29"/>
  <c r="R174" i="14" l="1"/>
  <c r="H174" i="14"/>
  <c r="I67" i="29"/>
  <c r="J67" i="29" s="1"/>
  <c r="K67" i="29" s="1"/>
  <c r="L67" i="29" s="1"/>
  <c r="M67" i="29" s="1"/>
  <c r="N67" i="29" s="1"/>
  <c r="O67" i="29" s="1"/>
  <c r="P67" i="29" s="1"/>
  <c r="Q67" i="29" s="1"/>
  <c r="R67" i="29" s="1"/>
  <c r="S67" i="29" s="1"/>
  <c r="T67" i="29" s="1"/>
  <c r="U67" i="29" s="1"/>
  <c r="V67" i="29" s="1"/>
  <c r="D67" i="29"/>
  <c r="E67" i="29" s="1"/>
  <c r="F67" i="29" s="1"/>
  <c r="I66" i="29"/>
  <c r="J66" i="29" s="1"/>
  <c r="K66" i="29" s="1"/>
  <c r="L66" i="29" s="1"/>
  <c r="M66" i="29" s="1"/>
  <c r="N66" i="29" s="1"/>
  <c r="O66" i="29" s="1"/>
  <c r="P66" i="29" s="1"/>
  <c r="Q66" i="29" s="1"/>
  <c r="R66" i="29" s="1"/>
  <c r="S66" i="29" s="1"/>
  <c r="T66" i="29" s="1"/>
  <c r="U66" i="29" s="1"/>
  <c r="V66" i="29" s="1"/>
  <c r="D66" i="29"/>
  <c r="E66" i="29" s="1"/>
  <c r="F66" i="29" s="1"/>
  <c r="I65" i="29"/>
  <c r="J65" i="29" s="1"/>
  <c r="K65" i="29" s="1"/>
  <c r="L65" i="29" s="1"/>
  <c r="M65" i="29" s="1"/>
  <c r="N65" i="29" s="1"/>
  <c r="O65" i="29" s="1"/>
  <c r="P65" i="29" s="1"/>
  <c r="Q65" i="29" s="1"/>
  <c r="R65" i="29" s="1"/>
  <c r="S65" i="29" s="1"/>
  <c r="T65" i="29" s="1"/>
  <c r="U65" i="29" s="1"/>
  <c r="V65" i="29" s="1"/>
  <c r="D65" i="29"/>
  <c r="E65" i="29" s="1"/>
  <c r="F65" i="29" s="1"/>
  <c r="I64" i="29"/>
  <c r="J64" i="29" s="1"/>
  <c r="K64" i="29" s="1"/>
  <c r="L64" i="29" s="1"/>
  <c r="M64" i="29" s="1"/>
  <c r="N64" i="29" s="1"/>
  <c r="O64" i="29" s="1"/>
  <c r="P64" i="29" s="1"/>
  <c r="Q64" i="29" s="1"/>
  <c r="R64" i="29" s="1"/>
  <c r="S64" i="29" s="1"/>
  <c r="T64" i="29" s="1"/>
  <c r="U64" i="29" s="1"/>
  <c r="V64" i="29" s="1"/>
  <c r="D64" i="29"/>
  <c r="E64" i="29" s="1"/>
  <c r="F64" i="29" s="1"/>
  <c r="D63" i="29"/>
  <c r="E63" i="29" s="1"/>
  <c r="F63" i="29" s="1"/>
  <c r="I62" i="29"/>
  <c r="J62" i="29" s="1"/>
  <c r="K62" i="29" s="1"/>
  <c r="L62" i="29" s="1"/>
  <c r="M62" i="29" s="1"/>
  <c r="N62" i="29" s="1"/>
  <c r="O62" i="29" s="1"/>
  <c r="P62" i="29" s="1"/>
  <c r="Q62" i="29" s="1"/>
  <c r="R62" i="29" s="1"/>
  <c r="S62" i="29" s="1"/>
  <c r="T62" i="29" s="1"/>
  <c r="U62" i="29" s="1"/>
  <c r="V62" i="29" s="1"/>
  <c r="D62" i="29"/>
  <c r="E62" i="29" s="1"/>
  <c r="F62" i="29" s="1"/>
  <c r="I61" i="29"/>
  <c r="J61" i="29" s="1"/>
  <c r="K61" i="29" s="1"/>
  <c r="L61" i="29" s="1"/>
  <c r="M61" i="29" s="1"/>
  <c r="N61" i="29" s="1"/>
  <c r="O61" i="29" s="1"/>
  <c r="P61" i="29" s="1"/>
  <c r="Q61" i="29" s="1"/>
  <c r="R61" i="29" s="1"/>
  <c r="S61" i="29" s="1"/>
  <c r="T61" i="29" s="1"/>
  <c r="U61" i="29" s="1"/>
  <c r="V61" i="29" s="1"/>
  <c r="D61" i="29"/>
  <c r="E61" i="29" s="1"/>
  <c r="F61" i="29" s="1"/>
  <c r="I60" i="29"/>
  <c r="J60" i="29" s="1"/>
  <c r="K60" i="29" s="1"/>
  <c r="L60" i="29" s="1"/>
  <c r="M60" i="29" s="1"/>
  <c r="N60" i="29" s="1"/>
  <c r="O60" i="29" s="1"/>
  <c r="P60" i="29" s="1"/>
  <c r="Q60" i="29" s="1"/>
  <c r="R60" i="29" s="1"/>
  <c r="S60" i="29" s="1"/>
  <c r="T60" i="29" s="1"/>
  <c r="U60" i="29" s="1"/>
  <c r="V60" i="29" s="1"/>
  <c r="D60" i="29"/>
  <c r="E60" i="29" s="1"/>
  <c r="F60" i="29" s="1"/>
  <c r="I59" i="29"/>
  <c r="J59" i="29" s="1"/>
  <c r="K59" i="29" s="1"/>
  <c r="L59" i="29" s="1"/>
  <c r="M59" i="29" s="1"/>
  <c r="N59" i="29" s="1"/>
  <c r="O59" i="29" s="1"/>
  <c r="P59" i="29" s="1"/>
  <c r="Q59" i="29" s="1"/>
  <c r="R59" i="29" s="1"/>
  <c r="S59" i="29" s="1"/>
  <c r="T59" i="29" s="1"/>
  <c r="U59" i="29" s="1"/>
  <c r="V59" i="29" s="1"/>
  <c r="D59" i="29"/>
  <c r="E59" i="29" s="1"/>
  <c r="F59" i="29" s="1"/>
  <c r="I58" i="29"/>
  <c r="J58" i="29" s="1"/>
  <c r="K58" i="29" s="1"/>
  <c r="L58" i="29" s="1"/>
  <c r="M58" i="29" s="1"/>
  <c r="N58" i="29" s="1"/>
  <c r="O58" i="29" s="1"/>
  <c r="P58" i="29" s="1"/>
  <c r="Q58" i="29" s="1"/>
  <c r="R58" i="29" s="1"/>
  <c r="S58" i="29" s="1"/>
  <c r="T58" i="29" s="1"/>
  <c r="U58" i="29" s="1"/>
  <c r="V58" i="29" s="1"/>
  <c r="D58" i="29"/>
  <c r="E58" i="29" s="1"/>
  <c r="F58" i="29" s="1"/>
  <c r="I57" i="29"/>
  <c r="J57" i="29" s="1"/>
  <c r="K57" i="29" s="1"/>
  <c r="L57" i="29" s="1"/>
  <c r="M57" i="29" s="1"/>
  <c r="N57" i="29" s="1"/>
  <c r="O57" i="29" s="1"/>
  <c r="P57" i="29" s="1"/>
  <c r="Q57" i="29" s="1"/>
  <c r="R57" i="29" s="1"/>
  <c r="S57" i="29" s="1"/>
  <c r="T57" i="29" s="1"/>
  <c r="U57" i="29" s="1"/>
  <c r="V57" i="29" s="1"/>
  <c r="D57" i="29"/>
  <c r="E57" i="29" s="1"/>
  <c r="F57" i="29" s="1"/>
  <c r="I56" i="29"/>
  <c r="J56" i="29" s="1"/>
  <c r="K56" i="29" s="1"/>
  <c r="L56" i="29" s="1"/>
  <c r="M56" i="29" s="1"/>
  <c r="N56" i="29" s="1"/>
  <c r="O56" i="29" s="1"/>
  <c r="P56" i="29" s="1"/>
  <c r="Q56" i="29" s="1"/>
  <c r="R56" i="29" s="1"/>
  <c r="S56" i="29" s="1"/>
  <c r="T56" i="29" s="1"/>
  <c r="U56" i="29" s="1"/>
  <c r="V56" i="29" s="1"/>
  <c r="D56" i="29"/>
  <c r="E56" i="29" s="1"/>
  <c r="F56" i="29" s="1"/>
  <c r="I55" i="29"/>
  <c r="J55" i="29" s="1"/>
  <c r="K55" i="29" s="1"/>
  <c r="L55" i="29" s="1"/>
  <c r="M55" i="29" s="1"/>
  <c r="N55" i="29" s="1"/>
  <c r="O55" i="29" s="1"/>
  <c r="P55" i="29" s="1"/>
  <c r="Q55" i="29" s="1"/>
  <c r="R55" i="29" s="1"/>
  <c r="S55" i="29" s="1"/>
  <c r="T55" i="29" s="1"/>
  <c r="U55" i="29" s="1"/>
  <c r="V55" i="29" s="1"/>
  <c r="D55" i="29"/>
  <c r="E55" i="29" s="1"/>
  <c r="F55" i="29" s="1"/>
  <c r="I54" i="29"/>
  <c r="J54" i="29" s="1"/>
  <c r="K54" i="29" s="1"/>
  <c r="L54" i="29" s="1"/>
  <c r="M54" i="29" s="1"/>
  <c r="N54" i="29" s="1"/>
  <c r="O54" i="29" s="1"/>
  <c r="P54" i="29" s="1"/>
  <c r="Q54" i="29" s="1"/>
  <c r="R54" i="29" s="1"/>
  <c r="S54" i="29" s="1"/>
  <c r="T54" i="29" s="1"/>
  <c r="U54" i="29" s="1"/>
  <c r="V54" i="29" s="1"/>
  <c r="D54" i="29"/>
  <c r="E54" i="29" s="1"/>
  <c r="F54" i="29" s="1"/>
  <c r="I53" i="29"/>
  <c r="J53" i="29" s="1"/>
  <c r="K53" i="29" s="1"/>
  <c r="L53" i="29" s="1"/>
  <c r="M53" i="29" s="1"/>
  <c r="N53" i="29" s="1"/>
  <c r="O53" i="29" s="1"/>
  <c r="P53" i="29" s="1"/>
  <c r="Q53" i="29" s="1"/>
  <c r="R53" i="29" s="1"/>
  <c r="S53" i="29" s="1"/>
  <c r="T53" i="29" s="1"/>
  <c r="U53" i="29" s="1"/>
  <c r="V53" i="29" s="1"/>
  <c r="D53" i="29"/>
  <c r="E53" i="29" s="1"/>
  <c r="F53" i="29" s="1"/>
  <c r="I52" i="29"/>
  <c r="J52" i="29" s="1"/>
  <c r="K52" i="29" s="1"/>
  <c r="L52" i="29" s="1"/>
  <c r="M52" i="29" s="1"/>
  <c r="N52" i="29" s="1"/>
  <c r="O52" i="29" s="1"/>
  <c r="P52" i="29" s="1"/>
  <c r="Q52" i="29" s="1"/>
  <c r="R52" i="29" s="1"/>
  <c r="S52" i="29" s="1"/>
  <c r="T52" i="29" s="1"/>
  <c r="U52" i="29" s="1"/>
  <c r="V52" i="29" s="1"/>
  <c r="D52" i="29"/>
  <c r="E52" i="29" s="1"/>
  <c r="F52" i="29" s="1"/>
  <c r="I51" i="29"/>
  <c r="J51" i="29" s="1"/>
  <c r="K51" i="29" s="1"/>
  <c r="L51" i="29" s="1"/>
  <c r="M51" i="29" s="1"/>
  <c r="N51" i="29" s="1"/>
  <c r="O51" i="29" s="1"/>
  <c r="P51" i="29" s="1"/>
  <c r="Q51" i="29" s="1"/>
  <c r="R51" i="29" s="1"/>
  <c r="S51" i="29" s="1"/>
  <c r="T51" i="29" s="1"/>
  <c r="U51" i="29" s="1"/>
  <c r="V51" i="29" s="1"/>
  <c r="D51" i="29"/>
  <c r="E51" i="29" s="1"/>
  <c r="F51" i="29" s="1"/>
  <c r="I50" i="29"/>
  <c r="J50" i="29" s="1"/>
  <c r="K50" i="29" s="1"/>
  <c r="L50" i="29" s="1"/>
  <c r="M50" i="29" s="1"/>
  <c r="N50" i="29" s="1"/>
  <c r="O50" i="29" s="1"/>
  <c r="P50" i="29" s="1"/>
  <c r="Q50" i="29" s="1"/>
  <c r="R50" i="29" s="1"/>
  <c r="S50" i="29" s="1"/>
  <c r="T50" i="29" s="1"/>
  <c r="U50" i="29" s="1"/>
  <c r="V50" i="29" s="1"/>
  <c r="D50" i="29"/>
  <c r="E50" i="29" s="1"/>
  <c r="F50" i="29" s="1"/>
  <c r="I49" i="29"/>
  <c r="J49" i="29" s="1"/>
  <c r="K49" i="29" s="1"/>
  <c r="L49" i="29" s="1"/>
  <c r="M49" i="29" s="1"/>
  <c r="N49" i="29" s="1"/>
  <c r="O49" i="29" s="1"/>
  <c r="P49" i="29" s="1"/>
  <c r="Q49" i="29" s="1"/>
  <c r="R49" i="29" s="1"/>
  <c r="S49" i="29" s="1"/>
  <c r="T49" i="29" s="1"/>
  <c r="U49" i="29" s="1"/>
  <c r="V49" i="29" s="1"/>
  <c r="D49" i="29"/>
  <c r="E49" i="29" s="1"/>
  <c r="F49" i="29" s="1"/>
  <c r="I48" i="29"/>
  <c r="J48" i="29" s="1"/>
  <c r="K48" i="29" s="1"/>
  <c r="L48" i="29" s="1"/>
  <c r="M48" i="29" s="1"/>
  <c r="N48" i="29" s="1"/>
  <c r="O48" i="29" s="1"/>
  <c r="P48" i="29" s="1"/>
  <c r="Q48" i="29" s="1"/>
  <c r="R48" i="29" s="1"/>
  <c r="S48" i="29" s="1"/>
  <c r="T48" i="29" s="1"/>
  <c r="U48" i="29" s="1"/>
  <c r="V48" i="29" s="1"/>
  <c r="D48" i="29"/>
  <c r="E48" i="29" s="1"/>
  <c r="F48" i="29" s="1"/>
  <c r="I47" i="29"/>
  <c r="J47" i="29" s="1"/>
  <c r="K47" i="29" s="1"/>
  <c r="L47" i="29" s="1"/>
  <c r="M47" i="29" s="1"/>
  <c r="N47" i="29" s="1"/>
  <c r="O47" i="29" s="1"/>
  <c r="P47" i="29" s="1"/>
  <c r="Q47" i="29" s="1"/>
  <c r="R47" i="29" s="1"/>
  <c r="S47" i="29" s="1"/>
  <c r="T47" i="29" s="1"/>
  <c r="U47" i="29" s="1"/>
  <c r="V47" i="29" s="1"/>
  <c r="D47" i="29"/>
  <c r="E47" i="29" s="1"/>
  <c r="F47" i="29" s="1"/>
  <c r="I46" i="29"/>
  <c r="J46" i="29" s="1"/>
  <c r="K46" i="29" s="1"/>
  <c r="L46" i="29" s="1"/>
  <c r="M46" i="29" s="1"/>
  <c r="N46" i="29" s="1"/>
  <c r="O46" i="29" s="1"/>
  <c r="P46" i="29" s="1"/>
  <c r="Q46" i="29" s="1"/>
  <c r="R46" i="29" s="1"/>
  <c r="S46" i="29" s="1"/>
  <c r="T46" i="29" s="1"/>
  <c r="U46" i="29" s="1"/>
  <c r="V46" i="29" s="1"/>
  <c r="D46" i="29"/>
  <c r="E46" i="29" s="1"/>
  <c r="F46" i="29" s="1"/>
  <c r="H45" i="29"/>
  <c r="I45" i="29" s="1"/>
  <c r="J45" i="29" s="1"/>
  <c r="K45" i="29" s="1"/>
  <c r="L45" i="29" s="1"/>
  <c r="M45" i="29" s="1"/>
  <c r="N45" i="29" s="1"/>
  <c r="O45" i="29" s="1"/>
  <c r="P45" i="29" s="1"/>
  <c r="Q45" i="29" s="1"/>
  <c r="R45" i="29" s="1"/>
  <c r="S45" i="29" s="1"/>
  <c r="T45" i="29" s="1"/>
  <c r="U45" i="29" s="1"/>
  <c r="V45" i="29" s="1"/>
  <c r="G45" i="29"/>
  <c r="D45" i="29"/>
  <c r="E45" i="29" s="1"/>
  <c r="F45" i="29" s="1"/>
  <c r="AM44" i="29"/>
  <c r="I44" i="29"/>
  <c r="J44" i="29" s="1"/>
  <c r="K44" i="29" s="1"/>
  <c r="L44" i="29" s="1"/>
  <c r="M44" i="29" s="1"/>
  <c r="N44" i="29" s="1"/>
  <c r="O44" i="29" s="1"/>
  <c r="P44" i="29" s="1"/>
  <c r="Q44" i="29" s="1"/>
  <c r="R44" i="29" s="1"/>
  <c r="S44" i="29" s="1"/>
  <c r="T44" i="29" s="1"/>
  <c r="U44" i="29" s="1"/>
  <c r="V44" i="29" s="1"/>
  <c r="D44" i="29"/>
  <c r="E44" i="29" s="1"/>
  <c r="F44" i="29" s="1"/>
  <c r="AG42" i="29"/>
  <c r="AA42" i="29"/>
  <c r="Z42" i="29"/>
  <c r="T42" i="29"/>
  <c r="S42" i="29"/>
  <c r="M42" i="29"/>
  <c r="L42" i="29"/>
  <c r="F42" i="29"/>
  <c r="E42" i="29"/>
  <c r="AF41" i="29"/>
  <c r="AF40" i="29"/>
  <c r="O40" i="29"/>
  <c r="AE39" i="29"/>
  <c r="AC39" i="29"/>
  <c r="T37" i="29"/>
  <c r="N36" i="29"/>
  <c r="L36" i="29"/>
  <c r="AJ32" i="29"/>
  <c r="AH32" i="29"/>
  <c r="AG32" i="29"/>
  <c r="AF32" i="29"/>
  <c r="AE32" i="29"/>
  <c r="AD32" i="29"/>
  <c r="AC32" i="29"/>
  <c r="AB32" i="29"/>
  <c r="Z32" i="29"/>
  <c r="Y32" i="29"/>
  <c r="X32" i="29"/>
  <c r="W32" i="29"/>
  <c r="T32" i="29"/>
  <c r="S32" i="29"/>
  <c r="R32" i="29"/>
  <c r="P32" i="29"/>
  <c r="O32" i="29"/>
  <c r="N32" i="29"/>
  <c r="M32" i="29"/>
  <c r="L32" i="29"/>
  <c r="K32" i="29"/>
  <c r="J32" i="29"/>
  <c r="H32" i="29"/>
  <c r="G32" i="29"/>
  <c r="F32" i="29"/>
  <c r="E32" i="29"/>
  <c r="D32" i="29"/>
  <c r="BO31" i="29"/>
  <c r="BN31" i="29"/>
  <c r="BM31" i="29"/>
  <c r="BL31" i="29"/>
  <c r="BK31" i="29"/>
  <c r="BJ31" i="29"/>
  <c r="BI31" i="29"/>
  <c r="BH31" i="29"/>
  <c r="BG31" i="29"/>
  <c r="BF31" i="29"/>
  <c r="BE31" i="29"/>
  <c r="BD31" i="29"/>
  <c r="BC31" i="29"/>
  <c r="BB31" i="29"/>
  <c r="BA31" i="29"/>
  <c r="AZ31" i="29"/>
  <c r="AY31" i="29"/>
  <c r="AX31" i="29"/>
  <c r="AW31" i="29"/>
  <c r="AV31" i="29"/>
  <c r="AU31" i="29"/>
  <c r="AT31" i="29"/>
  <c r="AS31" i="29"/>
  <c r="AR31" i="29"/>
  <c r="AQ31" i="29"/>
  <c r="AP31" i="29"/>
  <c r="AO31" i="29"/>
  <c r="AN31" i="29"/>
  <c r="AM31" i="29"/>
  <c r="AL31" i="29"/>
  <c r="AI31" i="29"/>
  <c r="BO30" i="29"/>
  <c r="BN30" i="29"/>
  <c r="BM30" i="29"/>
  <c r="BL30" i="29"/>
  <c r="BK30" i="29"/>
  <c r="BJ30" i="29"/>
  <c r="BI30" i="29"/>
  <c r="BH30" i="29"/>
  <c r="BG30" i="29"/>
  <c r="BF30" i="29"/>
  <c r="BE30" i="29"/>
  <c r="BD30" i="29"/>
  <c r="BC30" i="29"/>
  <c r="BB30" i="29"/>
  <c r="BA30" i="29"/>
  <c r="AZ30" i="29"/>
  <c r="AY30" i="29"/>
  <c r="AX30" i="29"/>
  <c r="AW30" i="29"/>
  <c r="AV30" i="29"/>
  <c r="AU30" i="29"/>
  <c r="AT30" i="29"/>
  <c r="AS30" i="29"/>
  <c r="AR30" i="29"/>
  <c r="AQ30" i="29"/>
  <c r="AP30" i="29"/>
  <c r="AO30" i="29"/>
  <c r="AN30" i="29"/>
  <c r="AM30" i="29"/>
  <c r="AL30" i="29"/>
  <c r="AK30" i="29"/>
  <c r="AI30" i="29"/>
  <c r="BO29" i="29"/>
  <c r="BN29" i="29"/>
  <c r="BM29" i="29"/>
  <c r="BL29" i="29"/>
  <c r="BK29" i="29"/>
  <c r="BJ29" i="29"/>
  <c r="BI29" i="29"/>
  <c r="BH29" i="29"/>
  <c r="BG29" i="29"/>
  <c r="BF29" i="29"/>
  <c r="BE29" i="29"/>
  <c r="BD29" i="29"/>
  <c r="BC29" i="29"/>
  <c r="BB29" i="29"/>
  <c r="BA29" i="29"/>
  <c r="AZ29" i="29"/>
  <c r="AY29" i="29"/>
  <c r="AX29" i="29"/>
  <c r="AW29" i="29"/>
  <c r="AV29" i="29"/>
  <c r="AU29" i="29"/>
  <c r="AT29" i="29"/>
  <c r="AS29" i="29"/>
  <c r="AR29" i="29"/>
  <c r="AQ29" i="29"/>
  <c r="AP29" i="29"/>
  <c r="AO29" i="29"/>
  <c r="AN29" i="29"/>
  <c r="AM29" i="29"/>
  <c r="AL29" i="29"/>
  <c r="AK29" i="29"/>
  <c r="AI29" i="29"/>
  <c r="BO28" i="29"/>
  <c r="BN28" i="29"/>
  <c r="BM28" i="29"/>
  <c r="BL28" i="29"/>
  <c r="BK28" i="29"/>
  <c r="BJ28" i="29"/>
  <c r="BI28" i="29"/>
  <c r="BH28" i="29"/>
  <c r="BG28" i="29"/>
  <c r="BF28" i="29"/>
  <c r="BE28" i="29"/>
  <c r="BD28" i="29"/>
  <c r="BC28" i="29"/>
  <c r="BB28" i="29"/>
  <c r="BA28" i="29"/>
  <c r="AZ28" i="29"/>
  <c r="AY28" i="29"/>
  <c r="AX28" i="29"/>
  <c r="AW28" i="29"/>
  <c r="AV28" i="29"/>
  <c r="AU28" i="29"/>
  <c r="AT28" i="29"/>
  <c r="AS28" i="29"/>
  <c r="AR28" i="29"/>
  <c r="AQ28" i="29"/>
  <c r="AP28" i="29"/>
  <c r="AO28" i="29"/>
  <c r="AN28" i="29"/>
  <c r="AM28" i="29"/>
  <c r="AL28" i="29"/>
  <c r="AK28" i="29"/>
  <c r="AI28" i="29"/>
  <c r="BO27" i="29"/>
  <c r="BN27" i="29"/>
  <c r="BM27" i="29"/>
  <c r="BL27" i="29"/>
  <c r="BK27" i="29"/>
  <c r="BJ27" i="29"/>
  <c r="BI27" i="29"/>
  <c r="BH27" i="29"/>
  <c r="BG27" i="29"/>
  <c r="BF27" i="29"/>
  <c r="BE27" i="29"/>
  <c r="BD27" i="29"/>
  <c r="BC27" i="29"/>
  <c r="BB27" i="29"/>
  <c r="BA27" i="29"/>
  <c r="AZ27" i="29"/>
  <c r="AY27" i="29"/>
  <c r="AX27" i="29"/>
  <c r="AW27" i="29"/>
  <c r="AV27" i="29"/>
  <c r="AU27" i="29"/>
  <c r="AT27" i="29"/>
  <c r="AS27" i="29"/>
  <c r="AR27" i="29"/>
  <c r="AQ27" i="29"/>
  <c r="AP27" i="29"/>
  <c r="AO27" i="29"/>
  <c r="AN27" i="29"/>
  <c r="AM27" i="29"/>
  <c r="AL27" i="29"/>
  <c r="AK27" i="29"/>
  <c r="AI27" i="29"/>
  <c r="BO26" i="29"/>
  <c r="BN26" i="29"/>
  <c r="BM26" i="29"/>
  <c r="BL26" i="29"/>
  <c r="BK26" i="29"/>
  <c r="BJ26" i="29"/>
  <c r="BI26" i="29"/>
  <c r="BH26" i="29"/>
  <c r="BG26" i="29"/>
  <c r="BF26" i="29"/>
  <c r="BE26" i="29"/>
  <c r="BD26" i="29"/>
  <c r="BC26" i="29"/>
  <c r="BB26" i="29"/>
  <c r="BA26" i="29"/>
  <c r="AZ26" i="29"/>
  <c r="AY26" i="29"/>
  <c r="AX26" i="29"/>
  <c r="AW26" i="29"/>
  <c r="AV26" i="29"/>
  <c r="AU26" i="29"/>
  <c r="AT26" i="29"/>
  <c r="AS26" i="29"/>
  <c r="AR26" i="29"/>
  <c r="AQ26" i="29"/>
  <c r="AP26" i="29"/>
  <c r="AO26" i="29"/>
  <c r="AN26" i="29"/>
  <c r="AM26" i="29"/>
  <c r="AL26" i="29"/>
  <c r="AK26" i="29"/>
  <c r="AI26" i="29"/>
  <c r="BO25" i="29"/>
  <c r="BN25" i="29"/>
  <c r="BM25" i="29"/>
  <c r="BL25" i="29"/>
  <c r="BK25" i="29"/>
  <c r="BJ25" i="29"/>
  <c r="BI25" i="29"/>
  <c r="BH25" i="29"/>
  <c r="BG25" i="29"/>
  <c r="BF25" i="29"/>
  <c r="BE25" i="29"/>
  <c r="BD25" i="29"/>
  <c r="BC25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I25" i="29"/>
  <c r="BO24" i="29"/>
  <c r="BN24" i="29"/>
  <c r="BM24" i="29"/>
  <c r="BL24" i="29"/>
  <c r="BK24" i="29"/>
  <c r="BJ24" i="29"/>
  <c r="BH24" i="29"/>
  <c r="BG24" i="29"/>
  <c r="BF24" i="29"/>
  <c r="BE24" i="29"/>
  <c r="BD24" i="29"/>
  <c r="BC24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V32" i="29"/>
  <c r="Q32" i="29"/>
  <c r="I63" i="29"/>
  <c r="J63" i="29" s="1"/>
  <c r="K63" i="29" s="1"/>
  <c r="L63" i="29" s="1"/>
  <c r="M63" i="29" s="1"/>
  <c r="N63" i="29" s="1"/>
  <c r="O63" i="29" s="1"/>
  <c r="P63" i="29" s="1"/>
  <c r="Q63" i="29" s="1"/>
  <c r="R63" i="29" s="1"/>
  <c r="S63" i="29" s="1"/>
  <c r="T63" i="29" s="1"/>
  <c r="U63" i="29" s="1"/>
  <c r="V63" i="29" s="1"/>
  <c r="AI24" i="29"/>
  <c r="BO23" i="29"/>
  <c r="BN23" i="29"/>
  <c r="BM23" i="29"/>
  <c r="BL23" i="29"/>
  <c r="BK23" i="29"/>
  <c r="BJ23" i="29"/>
  <c r="BI23" i="29"/>
  <c r="BH23" i="29"/>
  <c r="BG23" i="29"/>
  <c r="BF23" i="29"/>
  <c r="BE23" i="29"/>
  <c r="BD23" i="29"/>
  <c r="BC23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I23" i="29"/>
  <c r="BO22" i="29"/>
  <c r="BN22" i="29"/>
  <c r="BM22" i="29"/>
  <c r="BL22" i="29"/>
  <c r="BK22" i="29"/>
  <c r="BJ22" i="29"/>
  <c r="BI22" i="29"/>
  <c r="BH22" i="29"/>
  <c r="BG22" i="29"/>
  <c r="BF22" i="29"/>
  <c r="BE22" i="29"/>
  <c r="BD22" i="29"/>
  <c r="BC22" i="29"/>
  <c r="BB22" i="29"/>
  <c r="BA22" i="29"/>
  <c r="AZ22" i="29"/>
  <c r="AY22" i="29"/>
  <c r="AX22" i="29"/>
  <c r="AW22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I22" i="29"/>
  <c r="BO21" i="29"/>
  <c r="BN21" i="29"/>
  <c r="BM21" i="29"/>
  <c r="BL21" i="29"/>
  <c r="BK21" i="29"/>
  <c r="BJ21" i="29"/>
  <c r="BI21" i="29"/>
  <c r="BH21" i="29"/>
  <c r="BG21" i="29"/>
  <c r="BF21" i="29"/>
  <c r="BE21" i="29"/>
  <c r="BD21" i="29"/>
  <c r="BC21" i="29"/>
  <c r="BB21" i="29"/>
  <c r="BA21" i="29"/>
  <c r="AZ21" i="29"/>
  <c r="AY21" i="29"/>
  <c r="AX21" i="29"/>
  <c r="AW21" i="29"/>
  <c r="AV21" i="29"/>
  <c r="AU21" i="29"/>
  <c r="AT21" i="29"/>
  <c r="AS21" i="29"/>
  <c r="AR21" i="29"/>
  <c r="AQ21" i="29"/>
  <c r="AP21" i="29"/>
  <c r="AO21" i="29"/>
  <c r="AN21" i="29"/>
  <c r="AM21" i="29"/>
  <c r="AL21" i="29"/>
  <c r="AK21" i="29"/>
  <c r="AI21" i="29"/>
  <c r="BO20" i="29"/>
  <c r="BN20" i="29"/>
  <c r="BM20" i="29"/>
  <c r="BL20" i="29"/>
  <c r="BK20" i="29"/>
  <c r="BJ20" i="29"/>
  <c r="BI20" i="29"/>
  <c r="BH20" i="29"/>
  <c r="BG20" i="29"/>
  <c r="BF20" i="29"/>
  <c r="BE20" i="29"/>
  <c r="BD20" i="29"/>
  <c r="BC20" i="29"/>
  <c r="BB20" i="29"/>
  <c r="BA20" i="29"/>
  <c r="AZ20" i="29"/>
  <c r="AY20" i="29"/>
  <c r="AX20" i="29"/>
  <c r="AW20" i="29"/>
  <c r="AV20" i="29"/>
  <c r="AU20" i="29"/>
  <c r="AT20" i="29"/>
  <c r="AS20" i="29"/>
  <c r="AR20" i="29"/>
  <c r="AQ20" i="29"/>
  <c r="AP20" i="29"/>
  <c r="AO20" i="29"/>
  <c r="AN20" i="29"/>
  <c r="AM20" i="29"/>
  <c r="AL20" i="29"/>
  <c r="AK20" i="29"/>
  <c r="AI20" i="29"/>
  <c r="BO19" i="29"/>
  <c r="BN19" i="29"/>
  <c r="BM19" i="29"/>
  <c r="BL19" i="29"/>
  <c r="BK19" i="29"/>
  <c r="BJ19" i="29"/>
  <c r="BI19" i="29"/>
  <c r="BH19" i="29"/>
  <c r="BG19" i="29"/>
  <c r="BF19" i="29"/>
  <c r="BE19" i="29"/>
  <c r="BD19" i="29"/>
  <c r="BC19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I19" i="29"/>
  <c r="BO18" i="29"/>
  <c r="BN18" i="29"/>
  <c r="BM18" i="29"/>
  <c r="BL18" i="29"/>
  <c r="BK18" i="29"/>
  <c r="BJ18" i="29"/>
  <c r="BI18" i="29"/>
  <c r="BH18" i="29"/>
  <c r="BG18" i="29"/>
  <c r="BF18" i="29"/>
  <c r="BE18" i="29"/>
  <c r="BD18" i="29"/>
  <c r="BC18" i="29"/>
  <c r="BB18" i="29"/>
  <c r="BA18" i="29"/>
  <c r="AZ18" i="29"/>
  <c r="AY18" i="29"/>
  <c r="AX18" i="29"/>
  <c r="AW18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I18" i="29"/>
  <c r="BO17" i="29"/>
  <c r="BN17" i="29"/>
  <c r="BM17" i="29"/>
  <c r="BL17" i="29"/>
  <c r="BK17" i="29"/>
  <c r="BJ17" i="29"/>
  <c r="BI17" i="29"/>
  <c r="BH17" i="29"/>
  <c r="BG17" i="29"/>
  <c r="BF17" i="29"/>
  <c r="BE17" i="29"/>
  <c r="BD17" i="29"/>
  <c r="BC17" i="29"/>
  <c r="BB17" i="29"/>
  <c r="BA17" i="29"/>
  <c r="AZ17" i="29"/>
  <c r="AY17" i="29"/>
  <c r="AX17" i="29"/>
  <c r="AW17" i="29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I17" i="29"/>
  <c r="BO16" i="29"/>
  <c r="BN16" i="29"/>
  <c r="BM16" i="29"/>
  <c r="BL16" i="29"/>
  <c r="BK16" i="29"/>
  <c r="BJ16" i="29"/>
  <c r="BI16" i="29"/>
  <c r="BH16" i="29"/>
  <c r="BG16" i="29"/>
  <c r="BF16" i="29"/>
  <c r="BE16" i="29"/>
  <c r="BD16" i="29"/>
  <c r="BC16" i="29"/>
  <c r="BB16" i="29"/>
  <c r="BA16" i="29"/>
  <c r="AZ16" i="29"/>
  <c r="AY16" i="29"/>
  <c r="AX16" i="29"/>
  <c r="AW16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I16" i="29"/>
  <c r="BO15" i="29"/>
  <c r="BN15" i="29"/>
  <c r="BM15" i="29"/>
  <c r="BL15" i="29"/>
  <c r="BK15" i="29"/>
  <c r="BJ15" i="29"/>
  <c r="BI15" i="29"/>
  <c r="BH15" i="29"/>
  <c r="BG15" i="29"/>
  <c r="BF15" i="29"/>
  <c r="BE15" i="29"/>
  <c r="BD15" i="29"/>
  <c r="BC15" i="29"/>
  <c r="BB15" i="29"/>
  <c r="BA15" i="29"/>
  <c r="AZ15" i="29"/>
  <c r="AY15" i="29"/>
  <c r="AX15" i="29"/>
  <c r="AW15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I15" i="29"/>
  <c r="BO14" i="29"/>
  <c r="BN14" i="29"/>
  <c r="BM14" i="29"/>
  <c r="BL14" i="29"/>
  <c r="BK14" i="29"/>
  <c r="BJ14" i="29"/>
  <c r="BI14" i="29"/>
  <c r="BH14" i="29"/>
  <c r="BG14" i="29"/>
  <c r="BF14" i="29"/>
  <c r="BE14" i="29"/>
  <c r="BD14" i="29"/>
  <c r="BC14" i="29"/>
  <c r="BB14" i="29"/>
  <c r="BA14" i="29"/>
  <c r="AZ14" i="29"/>
  <c r="AY14" i="29"/>
  <c r="AX14" i="29"/>
  <c r="AW14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I14" i="29"/>
  <c r="BO13" i="29"/>
  <c r="BN13" i="29"/>
  <c r="BM13" i="29"/>
  <c r="BL13" i="29"/>
  <c r="BK13" i="29"/>
  <c r="BJ13" i="29"/>
  <c r="BI13" i="29"/>
  <c r="BH13" i="29"/>
  <c r="BG13" i="29"/>
  <c r="BF13" i="29"/>
  <c r="BE13" i="29"/>
  <c r="BD13" i="29"/>
  <c r="BC13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I13" i="29"/>
  <c r="BO12" i="29"/>
  <c r="BN12" i="29"/>
  <c r="BM12" i="29"/>
  <c r="BL12" i="29"/>
  <c r="BK12" i="29"/>
  <c r="BJ12" i="29"/>
  <c r="BI12" i="29"/>
  <c r="BH12" i="29"/>
  <c r="BG12" i="29"/>
  <c r="BF12" i="29"/>
  <c r="BE12" i="29"/>
  <c r="BD12" i="29"/>
  <c r="BC12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AO12" i="29"/>
  <c r="AN12" i="29"/>
  <c r="AM12" i="29"/>
  <c r="AL12" i="29"/>
  <c r="AI12" i="29"/>
  <c r="BO11" i="29"/>
  <c r="BN11" i="29"/>
  <c r="BM11" i="29"/>
  <c r="BL11" i="29"/>
  <c r="BK11" i="29"/>
  <c r="BJ11" i="29"/>
  <c r="BI11" i="29"/>
  <c r="BH11" i="29"/>
  <c r="BG11" i="29"/>
  <c r="BF11" i="29"/>
  <c r="BE11" i="29"/>
  <c r="BD11" i="29"/>
  <c r="BC11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I11" i="29"/>
  <c r="BO10" i="29"/>
  <c r="BN10" i="29"/>
  <c r="BM10" i="29"/>
  <c r="BL10" i="29"/>
  <c r="BK10" i="29"/>
  <c r="BJ10" i="29"/>
  <c r="BI10" i="29"/>
  <c r="BH10" i="29"/>
  <c r="BG10" i="29"/>
  <c r="BF10" i="29"/>
  <c r="BE10" i="29"/>
  <c r="BD10" i="29"/>
  <c r="BC10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I10" i="29"/>
  <c r="BO9" i="29"/>
  <c r="BN9" i="29"/>
  <c r="BM9" i="29"/>
  <c r="BL9" i="29"/>
  <c r="BK9" i="29"/>
  <c r="BJ9" i="29"/>
  <c r="BI9" i="29"/>
  <c r="BH9" i="29"/>
  <c r="BG9" i="29"/>
  <c r="BF9" i="29"/>
  <c r="BE9" i="29"/>
  <c r="BD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I9" i="29"/>
  <c r="BO8" i="29"/>
  <c r="BN8" i="29"/>
  <c r="BM8" i="29"/>
  <c r="BL8" i="29"/>
  <c r="BK8" i="29"/>
  <c r="BJ8" i="29"/>
  <c r="BI8" i="29"/>
  <c r="BH8" i="29"/>
  <c r="BG8" i="29"/>
  <c r="BF8" i="29"/>
  <c r="BE8" i="29"/>
  <c r="BD8" i="29"/>
  <c r="BC8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I8" i="29"/>
  <c r="BO7" i="29"/>
  <c r="BN7" i="29"/>
  <c r="BM7" i="29"/>
  <c r="BL7" i="29"/>
  <c r="BK7" i="29"/>
  <c r="BJ7" i="29"/>
  <c r="BI7" i="29"/>
  <c r="BH7" i="29"/>
  <c r="BG7" i="29"/>
  <c r="BF7" i="29"/>
  <c r="BE7" i="29"/>
  <c r="BD7" i="29"/>
  <c r="BC7" i="29"/>
  <c r="BB7" i="29"/>
  <c r="BA7" i="29"/>
  <c r="AZ7" i="29"/>
  <c r="AY7" i="29"/>
  <c r="AX7" i="29"/>
  <c r="AW7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I7" i="29"/>
  <c r="BO6" i="29"/>
  <c r="BN6" i="29"/>
  <c r="BM6" i="29"/>
  <c r="BL6" i="29"/>
  <c r="BK6" i="29"/>
  <c r="BJ6" i="29"/>
  <c r="BI6" i="29"/>
  <c r="BH6" i="29"/>
  <c r="BG6" i="29"/>
  <c r="BF6" i="29"/>
  <c r="BE6" i="29"/>
  <c r="BD6" i="29"/>
  <c r="BC6" i="29"/>
  <c r="BB6" i="29"/>
  <c r="BA6" i="29"/>
  <c r="AZ6" i="29"/>
  <c r="AY6" i="29"/>
  <c r="AX6" i="29"/>
  <c r="AW6" i="29"/>
  <c r="AV6" i="29"/>
  <c r="AU6" i="29"/>
  <c r="AT6" i="29"/>
  <c r="AS6" i="29"/>
  <c r="AR6" i="29"/>
  <c r="AQ6" i="29"/>
  <c r="AP6" i="29"/>
  <c r="AO6" i="29"/>
  <c r="AN6" i="29"/>
  <c r="AM6" i="29"/>
  <c r="AL6" i="29"/>
  <c r="AK6" i="29"/>
  <c r="AI6" i="29"/>
  <c r="BO5" i="29"/>
  <c r="BN5" i="29"/>
  <c r="BM5" i="29"/>
  <c r="BL5" i="29"/>
  <c r="BK5" i="29"/>
  <c r="BJ5" i="29"/>
  <c r="BI5" i="29"/>
  <c r="BH5" i="29"/>
  <c r="BG5" i="29"/>
  <c r="BF5" i="29"/>
  <c r="BE5" i="29"/>
  <c r="BD5" i="29"/>
  <c r="BC5" i="29"/>
  <c r="BB5" i="29"/>
  <c r="BA5" i="29"/>
  <c r="AZ5" i="29"/>
  <c r="AY5" i="29"/>
  <c r="AX5" i="29"/>
  <c r="AW5" i="29"/>
  <c r="AV5" i="29"/>
  <c r="AU5" i="29"/>
  <c r="AT5" i="29"/>
  <c r="AS5" i="29"/>
  <c r="AR5" i="29"/>
  <c r="AQ5" i="29"/>
  <c r="AP5" i="29"/>
  <c r="AO5" i="29"/>
  <c r="AN5" i="29"/>
  <c r="AM5" i="29"/>
  <c r="AL5" i="29"/>
  <c r="AK5" i="29"/>
  <c r="AI5" i="29"/>
  <c r="R173" i="14"/>
  <c r="H173" i="14"/>
  <c r="BP10" i="29" l="1"/>
  <c r="P19" i="17"/>
  <c r="BP12" i="29"/>
  <c r="P25" i="17"/>
  <c r="BP25" i="29"/>
  <c r="P73" i="17"/>
  <c r="BP24" i="29"/>
  <c r="P61" i="17"/>
  <c r="BP26" i="29"/>
  <c r="P76" i="17"/>
  <c r="BP22" i="29"/>
  <c r="P55" i="17"/>
  <c r="BP29" i="29"/>
  <c r="P70" i="17"/>
  <c r="BP13" i="29"/>
  <c r="P28" i="17"/>
  <c r="BP28" i="29"/>
  <c r="P67" i="17"/>
  <c r="BP23" i="29"/>
  <c r="P58" i="17"/>
  <c r="BP9" i="29"/>
  <c r="P16" i="17"/>
  <c r="BP15" i="29"/>
  <c r="P34" i="17"/>
  <c r="BP27" i="29"/>
  <c r="P64" i="17"/>
  <c r="BP16" i="29"/>
  <c r="P37" i="17"/>
  <c r="BP20" i="29"/>
  <c r="P49" i="17"/>
  <c r="BP19" i="29"/>
  <c r="P46" i="17"/>
  <c r="BP14" i="29"/>
  <c r="P31" i="17"/>
  <c r="BP18" i="29"/>
  <c r="P43" i="17"/>
  <c r="BP17" i="29"/>
  <c r="P40" i="17"/>
  <c r="BP21" i="29"/>
  <c r="P52" i="17"/>
  <c r="BP30" i="29"/>
  <c r="P82" i="17"/>
  <c r="BP31" i="29"/>
  <c r="P79" i="17"/>
  <c r="P4" i="17"/>
  <c r="BP8" i="29"/>
  <c r="P13" i="17"/>
  <c r="BP7" i="29"/>
  <c r="P10" i="17"/>
  <c r="BP11" i="29"/>
  <c r="P22" i="17"/>
  <c r="BP6" i="29"/>
  <c r="P7" i="17"/>
  <c r="AA32" i="29"/>
  <c r="BI24" i="29"/>
  <c r="AI32" i="29"/>
  <c r="BP5" i="29"/>
  <c r="I32" i="29"/>
  <c r="R172" i="14"/>
  <c r="H172" i="14"/>
  <c r="R171" i="14"/>
  <c r="H171" i="14"/>
  <c r="H170" i="14"/>
  <c r="R170" i="14"/>
  <c r="AI36" i="29" l="1"/>
  <c r="AI35" i="29"/>
  <c r="AI34" i="29"/>
  <c r="AI33" i="29"/>
  <c r="R169" i="14"/>
  <c r="H169" i="14"/>
  <c r="H168" i="14"/>
  <c r="R168" i="14"/>
  <c r="X60" i="17" l="1"/>
  <c r="R167" i="14"/>
  <c r="H167" i="14"/>
  <c r="AA24" i="28"/>
  <c r="R166" i="14"/>
  <c r="H166" i="14"/>
  <c r="R165" i="14" l="1"/>
  <c r="H165" i="14"/>
  <c r="H164" i="14" l="1"/>
  <c r="R164" i="14"/>
  <c r="H163" i="14" l="1"/>
  <c r="R163" i="14"/>
  <c r="R162" i="14"/>
  <c r="H162" i="14"/>
  <c r="V24" i="28"/>
  <c r="R161" i="14"/>
  <c r="H161" i="14"/>
  <c r="H160" i="14"/>
  <c r="R160" i="14"/>
  <c r="H159" i="14" l="1"/>
  <c r="R159" i="14"/>
  <c r="R158" i="14" l="1"/>
  <c r="H158" i="14"/>
  <c r="O58" i="7"/>
  <c r="H157" i="14"/>
  <c r="R157" i="14"/>
  <c r="R156" i="14"/>
  <c r="H156" i="14"/>
  <c r="Q24" i="28"/>
  <c r="R155" i="14"/>
  <c r="H155" i="14"/>
  <c r="H154" i="14"/>
  <c r="R154" i="14"/>
  <c r="H153" i="14"/>
  <c r="R153" i="14"/>
  <c r="H152" i="14"/>
  <c r="R152" i="14"/>
  <c r="R151" i="14"/>
  <c r="H151" i="14"/>
  <c r="H150" i="14" l="1"/>
  <c r="R150" i="14"/>
  <c r="H149" i="14"/>
  <c r="R149" i="14"/>
  <c r="R148" i="14"/>
  <c r="H148" i="14"/>
  <c r="I24" i="28"/>
  <c r="H147" i="14"/>
  <c r="R147" i="14"/>
  <c r="H24" i="28"/>
  <c r="H146" i="14" l="1"/>
  <c r="R146" i="14"/>
  <c r="H145" i="14" l="1"/>
  <c r="R145" i="14"/>
  <c r="H144" i="14" l="1"/>
  <c r="R144" i="14"/>
  <c r="R143" i="14" l="1"/>
  <c r="H143" i="14"/>
  <c r="O86" i="17"/>
  <c r="AH32" i="28"/>
  <c r="AI6" i="28"/>
  <c r="AI7" i="28"/>
  <c r="AI8" i="28"/>
  <c r="AI9" i="28"/>
  <c r="AI10" i="28"/>
  <c r="AI11" i="28"/>
  <c r="AI12" i="28"/>
  <c r="AI13" i="28"/>
  <c r="AI14" i="28"/>
  <c r="AI15" i="28"/>
  <c r="AI16" i="28"/>
  <c r="AI17" i="28"/>
  <c r="AI18" i="28"/>
  <c r="AI19" i="28"/>
  <c r="AI20" i="28"/>
  <c r="AI21" i="28"/>
  <c r="AI22" i="28"/>
  <c r="AI23" i="28"/>
  <c r="AI24" i="28"/>
  <c r="AI25" i="28"/>
  <c r="AI26" i="28"/>
  <c r="AI27" i="28"/>
  <c r="AI28" i="28"/>
  <c r="AI29" i="28"/>
  <c r="AI30" i="28"/>
  <c r="AI31" i="28"/>
  <c r="AI5" i="28"/>
  <c r="I67" i="28"/>
  <c r="J67" i="28" s="1"/>
  <c r="K67" i="28" s="1"/>
  <c r="L67" i="28" s="1"/>
  <c r="M67" i="28" s="1"/>
  <c r="N67" i="28" s="1"/>
  <c r="O67" i="28" s="1"/>
  <c r="P67" i="28" s="1"/>
  <c r="Q67" i="28" s="1"/>
  <c r="R67" i="28" s="1"/>
  <c r="S67" i="28" s="1"/>
  <c r="T67" i="28" s="1"/>
  <c r="U67" i="28" s="1"/>
  <c r="V67" i="28" s="1"/>
  <c r="D67" i="28"/>
  <c r="E67" i="28" s="1"/>
  <c r="F67" i="28" s="1"/>
  <c r="I66" i="28"/>
  <c r="J66" i="28" s="1"/>
  <c r="K66" i="28" s="1"/>
  <c r="L66" i="28" s="1"/>
  <c r="M66" i="28" s="1"/>
  <c r="N66" i="28" s="1"/>
  <c r="O66" i="28" s="1"/>
  <c r="P66" i="28" s="1"/>
  <c r="Q66" i="28" s="1"/>
  <c r="R66" i="28" s="1"/>
  <c r="S66" i="28" s="1"/>
  <c r="T66" i="28" s="1"/>
  <c r="U66" i="28" s="1"/>
  <c r="V66" i="28" s="1"/>
  <c r="D66" i="28"/>
  <c r="E66" i="28" s="1"/>
  <c r="F66" i="28" s="1"/>
  <c r="I65" i="28"/>
  <c r="J65" i="28" s="1"/>
  <c r="K65" i="28" s="1"/>
  <c r="L65" i="28" s="1"/>
  <c r="M65" i="28" s="1"/>
  <c r="N65" i="28" s="1"/>
  <c r="O65" i="28" s="1"/>
  <c r="P65" i="28" s="1"/>
  <c r="Q65" i="28" s="1"/>
  <c r="R65" i="28" s="1"/>
  <c r="S65" i="28" s="1"/>
  <c r="T65" i="28" s="1"/>
  <c r="U65" i="28" s="1"/>
  <c r="V65" i="28" s="1"/>
  <c r="D65" i="28"/>
  <c r="E65" i="28" s="1"/>
  <c r="F65" i="28" s="1"/>
  <c r="I64" i="28"/>
  <c r="J64" i="28" s="1"/>
  <c r="K64" i="28" s="1"/>
  <c r="L64" i="28" s="1"/>
  <c r="M64" i="28" s="1"/>
  <c r="N64" i="28" s="1"/>
  <c r="O64" i="28" s="1"/>
  <c r="P64" i="28" s="1"/>
  <c r="Q64" i="28" s="1"/>
  <c r="R64" i="28" s="1"/>
  <c r="S64" i="28" s="1"/>
  <c r="T64" i="28" s="1"/>
  <c r="U64" i="28" s="1"/>
  <c r="V64" i="28" s="1"/>
  <c r="D64" i="28"/>
  <c r="E64" i="28" s="1"/>
  <c r="F64" i="28" s="1"/>
  <c r="I63" i="28"/>
  <c r="J63" i="28" s="1"/>
  <c r="I62" i="28"/>
  <c r="J62" i="28" s="1"/>
  <c r="K62" i="28" s="1"/>
  <c r="L62" i="28" s="1"/>
  <c r="M62" i="28" s="1"/>
  <c r="N62" i="28" s="1"/>
  <c r="O62" i="28" s="1"/>
  <c r="P62" i="28" s="1"/>
  <c r="Q62" i="28" s="1"/>
  <c r="R62" i="28" s="1"/>
  <c r="S62" i="28" s="1"/>
  <c r="T62" i="28" s="1"/>
  <c r="U62" i="28" s="1"/>
  <c r="V62" i="28" s="1"/>
  <c r="D62" i="28"/>
  <c r="E62" i="28" s="1"/>
  <c r="F62" i="28" s="1"/>
  <c r="I61" i="28"/>
  <c r="J61" i="28" s="1"/>
  <c r="K61" i="28" s="1"/>
  <c r="L61" i="28" s="1"/>
  <c r="M61" i="28" s="1"/>
  <c r="N61" i="28" s="1"/>
  <c r="O61" i="28" s="1"/>
  <c r="P61" i="28" s="1"/>
  <c r="Q61" i="28" s="1"/>
  <c r="R61" i="28" s="1"/>
  <c r="S61" i="28" s="1"/>
  <c r="T61" i="28" s="1"/>
  <c r="U61" i="28" s="1"/>
  <c r="V61" i="28" s="1"/>
  <c r="D61" i="28"/>
  <c r="E61" i="28" s="1"/>
  <c r="F61" i="28" s="1"/>
  <c r="I60" i="28"/>
  <c r="J60" i="28" s="1"/>
  <c r="K60" i="28" s="1"/>
  <c r="L60" i="28" s="1"/>
  <c r="M60" i="28" s="1"/>
  <c r="N60" i="28" s="1"/>
  <c r="O60" i="28" s="1"/>
  <c r="P60" i="28" s="1"/>
  <c r="Q60" i="28" s="1"/>
  <c r="R60" i="28" s="1"/>
  <c r="S60" i="28" s="1"/>
  <c r="T60" i="28" s="1"/>
  <c r="U60" i="28" s="1"/>
  <c r="V60" i="28" s="1"/>
  <c r="D60" i="28"/>
  <c r="E60" i="28" s="1"/>
  <c r="F60" i="28" s="1"/>
  <c r="I59" i="28"/>
  <c r="J59" i="28" s="1"/>
  <c r="K59" i="28" s="1"/>
  <c r="L59" i="28" s="1"/>
  <c r="M59" i="28" s="1"/>
  <c r="N59" i="28" s="1"/>
  <c r="O59" i="28" s="1"/>
  <c r="P59" i="28" s="1"/>
  <c r="Q59" i="28" s="1"/>
  <c r="R59" i="28" s="1"/>
  <c r="S59" i="28" s="1"/>
  <c r="T59" i="28" s="1"/>
  <c r="U59" i="28" s="1"/>
  <c r="V59" i="28" s="1"/>
  <c r="D59" i="28"/>
  <c r="E59" i="28" s="1"/>
  <c r="F59" i="28" s="1"/>
  <c r="I58" i="28"/>
  <c r="J58" i="28" s="1"/>
  <c r="K58" i="28" s="1"/>
  <c r="L58" i="28" s="1"/>
  <c r="M58" i="28" s="1"/>
  <c r="N58" i="28" s="1"/>
  <c r="O58" i="28" s="1"/>
  <c r="P58" i="28" s="1"/>
  <c r="Q58" i="28" s="1"/>
  <c r="R58" i="28" s="1"/>
  <c r="S58" i="28" s="1"/>
  <c r="T58" i="28" s="1"/>
  <c r="U58" i="28" s="1"/>
  <c r="V58" i="28" s="1"/>
  <c r="D58" i="28"/>
  <c r="E58" i="28" s="1"/>
  <c r="F58" i="28" s="1"/>
  <c r="I57" i="28"/>
  <c r="J57" i="28" s="1"/>
  <c r="K57" i="28" s="1"/>
  <c r="L57" i="28" s="1"/>
  <c r="M57" i="28" s="1"/>
  <c r="N57" i="28" s="1"/>
  <c r="O57" i="28" s="1"/>
  <c r="P57" i="28" s="1"/>
  <c r="Q57" i="28" s="1"/>
  <c r="R57" i="28" s="1"/>
  <c r="S57" i="28" s="1"/>
  <c r="T57" i="28" s="1"/>
  <c r="U57" i="28" s="1"/>
  <c r="V57" i="28" s="1"/>
  <c r="D57" i="28"/>
  <c r="E57" i="28" s="1"/>
  <c r="F57" i="28" s="1"/>
  <c r="I56" i="28"/>
  <c r="J56" i="28" s="1"/>
  <c r="K56" i="28" s="1"/>
  <c r="L56" i="28" s="1"/>
  <c r="M56" i="28" s="1"/>
  <c r="N56" i="28" s="1"/>
  <c r="O56" i="28" s="1"/>
  <c r="P56" i="28" s="1"/>
  <c r="Q56" i="28" s="1"/>
  <c r="R56" i="28" s="1"/>
  <c r="S56" i="28" s="1"/>
  <c r="T56" i="28" s="1"/>
  <c r="U56" i="28" s="1"/>
  <c r="V56" i="28" s="1"/>
  <c r="D56" i="28"/>
  <c r="E56" i="28" s="1"/>
  <c r="F56" i="28" s="1"/>
  <c r="I55" i="28"/>
  <c r="J55" i="28" s="1"/>
  <c r="K55" i="28" s="1"/>
  <c r="L55" i="28" s="1"/>
  <c r="M55" i="28" s="1"/>
  <c r="N55" i="28" s="1"/>
  <c r="O55" i="28" s="1"/>
  <c r="P55" i="28" s="1"/>
  <c r="Q55" i="28" s="1"/>
  <c r="R55" i="28" s="1"/>
  <c r="S55" i="28" s="1"/>
  <c r="T55" i="28" s="1"/>
  <c r="U55" i="28" s="1"/>
  <c r="V55" i="28" s="1"/>
  <c r="D55" i="28"/>
  <c r="E55" i="28" s="1"/>
  <c r="F55" i="28" s="1"/>
  <c r="I54" i="28"/>
  <c r="J54" i="28" s="1"/>
  <c r="K54" i="28" s="1"/>
  <c r="L54" i="28" s="1"/>
  <c r="M54" i="28" s="1"/>
  <c r="N54" i="28" s="1"/>
  <c r="O54" i="28" s="1"/>
  <c r="P54" i="28" s="1"/>
  <c r="Q54" i="28" s="1"/>
  <c r="R54" i="28" s="1"/>
  <c r="S54" i="28" s="1"/>
  <c r="T54" i="28" s="1"/>
  <c r="U54" i="28" s="1"/>
  <c r="V54" i="28" s="1"/>
  <c r="D54" i="28"/>
  <c r="E54" i="28" s="1"/>
  <c r="F54" i="28" s="1"/>
  <c r="I53" i="28"/>
  <c r="J53" i="28" s="1"/>
  <c r="K53" i="28" s="1"/>
  <c r="L53" i="28" s="1"/>
  <c r="M53" i="28" s="1"/>
  <c r="N53" i="28" s="1"/>
  <c r="O53" i="28" s="1"/>
  <c r="P53" i="28" s="1"/>
  <c r="Q53" i="28" s="1"/>
  <c r="R53" i="28" s="1"/>
  <c r="S53" i="28" s="1"/>
  <c r="T53" i="28" s="1"/>
  <c r="U53" i="28" s="1"/>
  <c r="V53" i="28" s="1"/>
  <c r="D53" i="28"/>
  <c r="E53" i="28" s="1"/>
  <c r="F53" i="28" s="1"/>
  <c r="I52" i="28"/>
  <c r="J52" i="28" s="1"/>
  <c r="K52" i="28" s="1"/>
  <c r="L52" i="28" s="1"/>
  <c r="M52" i="28" s="1"/>
  <c r="N52" i="28" s="1"/>
  <c r="O52" i="28" s="1"/>
  <c r="P52" i="28" s="1"/>
  <c r="Q52" i="28" s="1"/>
  <c r="R52" i="28" s="1"/>
  <c r="S52" i="28" s="1"/>
  <c r="T52" i="28" s="1"/>
  <c r="U52" i="28" s="1"/>
  <c r="V52" i="28" s="1"/>
  <c r="D52" i="28"/>
  <c r="E52" i="28" s="1"/>
  <c r="F52" i="28" s="1"/>
  <c r="I51" i="28"/>
  <c r="J51" i="28" s="1"/>
  <c r="K51" i="28" s="1"/>
  <c r="L51" i="28" s="1"/>
  <c r="M51" i="28" s="1"/>
  <c r="N51" i="28" s="1"/>
  <c r="O51" i="28" s="1"/>
  <c r="P51" i="28" s="1"/>
  <c r="Q51" i="28" s="1"/>
  <c r="R51" i="28" s="1"/>
  <c r="S51" i="28" s="1"/>
  <c r="T51" i="28" s="1"/>
  <c r="U51" i="28" s="1"/>
  <c r="V51" i="28" s="1"/>
  <c r="D51" i="28"/>
  <c r="E51" i="28" s="1"/>
  <c r="F51" i="28" s="1"/>
  <c r="I50" i="28"/>
  <c r="J50" i="28" s="1"/>
  <c r="K50" i="28" s="1"/>
  <c r="L50" i="28" s="1"/>
  <c r="M50" i="28" s="1"/>
  <c r="N50" i="28" s="1"/>
  <c r="O50" i="28" s="1"/>
  <c r="P50" i="28" s="1"/>
  <c r="Q50" i="28" s="1"/>
  <c r="R50" i="28" s="1"/>
  <c r="S50" i="28" s="1"/>
  <c r="T50" i="28" s="1"/>
  <c r="U50" i="28" s="1"/>
  <c r="V50" i="28" s="1"/>
  <c r="D50" i="28"/>
  <c r="E50" i="28" s="1"/>
  <c r="F50" i="28" s="1"/>
  <c r="I49" i="28"/>
  <c r="J49" i="28" s="1"/>
  <c r="K49" i="28" s="1"/>
  <c r="L49" i="28" s="1"/>
  <c r="M49" i="28" s="1"/>
  <c r="N49" i="28" s="1"/>
  <c r="O49" i="28" s="1"/>
  <c r="P49" i="28" s="1"/>
  <c r="Q49" i="28" s="1"/>
  <c r="R49" i="28" s="1"/>
  <c r="S49" i="28" s="1"/>
  <c r="T49" i="28" s="1"/>
  <c r="U49" i="28" s="1"/>
  <c r="V49" i="28" s="1"/>
  <c r="D49" i="28"/>
  <c r="E49" i="28" s="1"/>
  <c r="F49" i="28" s="1"/>
  <c r="I48" i="28"/>
  <c r="J48" i="28" s="1"/>
  <c r="K48" i="28" s="1"/>
  <c r="L48" i="28" s="1"/>
  <c r="M48" i="28" s="1"/>
  <c r="N48" i="28" s="1"/>
  <c r="O48" i="28" s="1"/>
  <c r="P48" i="28" s="1"/>
  <c r="Q48" i="28" s="1"/>
  <c r="R48" i="28" s="1"/>
  <c r="S48" i="28" s="1"/>
  <c r="T48" i="28" s="1"/>
  <c r="U48" i="28" s="1"/>
  <c r="V48" i="28" s="1"/>
  <c r="D48" i="28"/>
  <c r="E48" i="28" s="1"/>
  <c r="F48" i="28" s="1"/>
  <c r="I47" i="28"/>
  <c r="J47" i="28" s="1"/>
  <c r="K47" i="28" s="1"/>
  <c r="L47" i="28" s="1"/>
  <c r="M47" i="28" s="1"/>
  <c r="N47" i="28" s="1"/>
  <c r="O47" i="28" s="1"/>
  <c r="P47" i="28" s="1"/>
  <c r="Q47" i="28" s="1"/>
  <c r="R47" i="28" s="1"/>
  <c r="S47" i="28" s="1"/>
  <c r="T47" i="28" s="1"/>
  <c r="U47" i="28" s="1"/>
  <c r="V47" i="28" s="1"/>
  <c r="D47" i="28"/>
  <c r="E47" i="28" s="1"/>
  <c r="F47" i="28" s="1"/>
  <c r="I46" i="28"/>
  <c r="J46" i="28" s="1"/>
  <c r="K46" i="28" s="1"/>
  <c r="L46" i="28" s="1"/>
  <c r="M46" i="28" s="1"/>
  <c r="N46" i="28" s="1"/>
  <c r="O46" i="28" s="1"/>
  <c r="P46" i="28" s="1"/>
  <c r="Q46" i="28" s="1"/>
  <c r="R46" i="28" s="1"/>
  <c r="S46" i="28" s="1"/>
  <c r="T46" i="28" s="1"/>
  <c r="U46" i="28" s="1"/>
  <c r="V46" i="28" s="1"/>
  <c r="D46" i="28"/>
  <c r="E46" i="28" s="1"/>
  <c r="F46" i="28" s="1"/>
  <c r="H45" i="28"/>
  <c r="I45" i="28" s="1"/>
  <c r="J45" i="28" s="1"/>
  <c r="K45" i="28" s="1"/>
  <c r="L45" i="28" s="1"/>
  <c r="M45" i="28" s="1"/>
  <c r="N45" i="28" s="1"/>
  <c r="O45" i="28" s="1"/>
  <c r="P45" i="28" s="1"/>
  <c r="Q45" i="28" s="1"/>
  <c r="R45" i="28" s="1"/>
  <c r="S45" i="28" s="1"/>
  <c r="T45" i="28" s="1"/>
  <c r="U45" i="28" s="1"/>
  <c r="V45" i="28" s="1"/>
  <c r="G45" i="28"/>
  <c r="D45" i="28"/>
  <c r="E45" i="28" s="1"/>
  <c r="F45" i="28" s="1"/>
  <c r="AM44" i="28"/>
  <c r="I44" i="28"/>
  <c r="J44" i="28" s="1"/>
  <c r="K44" i="28" s="1"/>
  <c r="L44" i="28" s="1"/>
  <c r="M44" i="28" s="1"/>
  <c r="N44" i="28" s="1"/>
  <c r="O44" i="28" s="1"/>
  <c r="P44" i="28" s="1"/>
  <c r="Q44" i="28" s="1"/>
  <c r="R44" i="28" s="1"/>
  <c r="S44" i="28" s="1"/>
  <c r="T44" i="28" s="1"/>
  <c r="U44" i="28" s="1"/>
  <c r="V44" i="28" s="1"/>
  <c r="D44" i="28"/>
  <c r="E44" i="28" s="1"/>
  <c r="F44" i="28" s="1"/>
  <c r="AG42" i="28"/>
  <c r="AA42" i="28"/>
  <c r="Z42" i="28"/>
  <c r="T42" i="28"/>
  <c r="S42" i="28"/>
  <c r="M42" i="28"/>
  <c r="L42" i="28"/>
  <c r="F42" i="28"/>
  <c r="E42" i="28"/>
  <c r="AF40" i="28"/>
  <c r="AF41" i="28" s="1"/>
  <c r="O40" i="28"/>
  <c r="AE39" i="28"/>
  <c r="AC39" i="28"/>
  <c r="T37" i="28"/>
  <c r="N36" i="28"/>
  <c r="L36" i="28"/>
  <c r="AJ32" i="28"/>
  <c r="AG32" i="28"/>
  <c r="AE32" i="28"/>
  <c r="AC32" i="28"/>
  <c r="AA32" i="28"/>
  <c r="Z32" i="28"/>
  <c r="Y32" i="28"/>
  <c r="X32" i="28"/>
  <c r="W32" i="28"/>
  <c r="V32" i="28"/>
  <c r="T32" i="28"/>
  <c r="S32" i="28"/>
  <c r="R32" i="28"/>
  <c r="Q32" i="28"/>
  <c r="P32" i="28"/>
  <c r="O32" i="28"/>
  <c r="N32" i="28"/>
  <c r="M32" i="28"/>
  <c r="L32" i="28"/>
  <c r="J32" i="28"/>
  <c r="I32" i="28"/>
  <c r="H32" i="28"/>
  <c r="G32" i="28"/>
  <c r="F32" i="28"/>
  <c r="BO31" i="28"/>
  <c r="BN31" i="28"/>
  <c r="BM31" i="28"/>
  <c r="BL31" i="28"/>
  <c r="BK31" i="28"/>
  <c r="BJ31" i="28"/>
  <c r="BI31" i="28"/>
  <c r="BH31" i="28"/>
  <c r="BG31" i="28"/>
  <c r="BF31" i="28"/>
  <c r="BE31" i="28"/>
  <c r="BD31" i="28"/>
  <c r="BC31" i="28"/>
  <c r="BB31" i="28"/>
  <c r="BA31" i="28"/>
  <c r="AZ31" i="28"/>
  <c r="AY31" i="28"/>
  <c r="AX31" i="28"/>
  <c r="AW31" i="28"/>
  <c r="AV31" i="28"/>
  <c r="AU31" i="28"/>
  <c r="AT31" i="28"/>
  <c r="AS31" i="28"/>
  <c r="AR31" i="28"/>
  <c r="AQ31" i="28"/>
  <c r="AP31" i="28"/>
  <c r="AO31" i="28"/>
  <c r="AN31" i="28"/>
  <c r="AM31" i="28"/>
  <c r="AL31" i="28"/>
  <c r="BO30" i="28"/>
  <c r="BN30" i="28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O30" i="28"/>
  <c r="AN30" i="28"/>
  <c r="AM30" i="28"/>
  <c r="AL30" i="28"/>
  <c r="AK30" i="28"/>
  <c r="BO29" i="28"/>
  <c r="BN29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O29" i="28"/>
  <c r="AN29" i="28"/>
  <c r="AM29" i="28"/>
  <c r="AL29" i="28"/>
  <c r="AK29" i="28"/>
  <c r="BO28" i="28"/>
  <c r="BN28" i="28"/>
  <c r="BM28" i="28"/>
  <c r="BL28" i="28"/>
  <c r="BK28" i="28"/>
  <c r="BJ28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BO27" i="28"/>
  <c r="BN27" i="28"/>
  <c r="BM27" i="28"/>
  <c r="BL27" i="28"/>
  <c r="BK27" i="28"/>
  <c r="BJ27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BO26" i="28"/>
  <c r="BN26" i="28"/>
  <c r="BM26" i="28"/>
  <c r="BL26" i="28"/>
  <c r="BK26" i="28"/>
  <c r="BJ26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AN26" i="28"/>
  <c r="AM26" i="28"/>
  <c r="AL26" i="28"/>
  <c r="AK26" i="28"/>
  <c r="BO25" i="28"/>
  <c r="BN25" i="28"/>
  <c r="BM25" i="28"/>
  <c r="BL25" i="28"/>
  <c r="BK25" i="28"/>
  <c r="BJ25" i="28"/>
  <c r="BI25" i="28"/>
  <c r="BH25" i="28"/>
  <c r="BG25" i="28"/>
  <c r="BF25" i="28"/>
  <c r="BE25" i="28"/>
  <c r="BD25" i="28"/>
  <c r="BC25" i="28"/>
  <c r="BB25" i="28"/>
  <c r="BA25" i="28"/>
  <c r="AZ25" i="28"/>
  <c r="AY25" i="28"/>
  <c r="AX25" i="28"/>
  <c r="AW25" i="28"/>
  <c r="AV25" i="28"/>
  <c r="AU25" i="28"/>
  <c r="AT25" i="28"/>
  <c r="AS25" i="28"/>
  <c r="AR25" i="28"/>
  <c r="AQ25" i="28"/>
  <c r="AP25" i="28"/>
  <c r="AO25" i="28"/>
  <c r="AN25" i="28"/>
  <c r="AM25" i="28"/>
  <c r="AL25" i="28"/>
  <c r="AK25" i="28"/>
  <c r="BO24" i="28"/>
  <c r="BM24" i="28"/>
  <c r="BK24" i="28"/>
  <c r="BJ24" i="28"/>
  <c r="BI24" i="28"/>
  <c r="BH24" i="28"/>
  <c r="BG24" i="28"/>
  <c r="BF24" i="28"/>
  <c r="BE24" i="28"/>
  <c r="BD24" i="28"/>
  <c r="BC24" i="28"/>
  <c r="BB24" i="28"/>
  <c r="BA24" i="28"/>
  <c r="AZ24" i="28"/>
  <c r="AY24" i="28"/>
  <c r="AX24" i="28"/>
  <c r="AW24" i="28"/>
  <c r="AV24" i="28"/>
  <c r="AU24" i="28"/>
  <c r="AT24" i="28"/>
  <c r="AR24" i="28"/>
  <c r="AQ24" i="28"/>
  <c r="AP24" i="28"/>
  <c r="AO24" i="28"/>
  <c r="AN24" i="28"/>
  <c r="AL24" i="28"/>
  <c r="AK24" i="28"/>
  <c r="AF32" i="28"/>
  <c r="AD32" i="28"/>
  <c r="AB32" i="28"/>
  <c r="U32" i="28"/>
  <c r="K32" i="28"/>
  <c r="D63" i="28"/>
  <c r="E63" i="28" s="1"/>
  <c r="F63" i="28" s="1"/>
  <c r="BO23" i="28"/>
  <c r="BN23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O23" i="28"/>
  <c r="AN23" i="28"/>
  <c r="AM23" i="28"/>
  <c r="AL23" i="28"/>
  <c r="AK23" i="28"/>
  <c r="BO22" i="28"/>
  <c r="BN22" i="28"/>
  <c r="BM22" i="28"/>
  <c r="BL22" i="28"/>
  <c r="BK22" i="28"/>
  <c r="BJ22" i="28"/>
  <c r="BI22" i="28"/>
  <c r="BH22" i="28"/>
  <c r="BG22" i="28"/>
  <c r="BF22" i="28"/>
  <c r="BE22" i="28"/>
  <c r="BD22" i="28"/>
  <c r="BC22" i="28"/>
  <c r="BB22" i="28"/>
  <c r="BA22" i="28"/>
  <c r="AZ22" i="28"/>
  <c r="AY22" i="28"/>
  <c r="AX22" i="28"/>
  <c r="AW22" i="28"/>
  <c r="AV22" i="28"/>
  <c r="AU22" i="28"/>
  <c r="AT22" i="28"/>
  <c r="AS22" i="28"/>
  <c r="AR22" i="28"/>
  <c r="AQ22" i="28"/>
  <c r="AP22" i="28"/>
  <c r="AO22" i="28"/>
  <c r="AN22" i="28"/>
  <c r="AM22" i="28"/>
  <c r="AL22" i="28"/>
  <c r="AK22" i="28"/>
  <c r="BO21" i="28"/>
  <c r="BN21" i="28"/>
  <c r="BM21" i="28"/>
  <c r="BL21" i="28"/>
  <c r="BK21" i="28"/>
  <c r="BJ21" i="28"/>
  <c r="BI21" i="28"/>
  <c r="BH21" i="28"/>
  <c r="BG21" i="28"/>
  <c r="BF21" i="28"/>
  <c r="BE21" i="28"/>
  <c r="BD21" i="28"/>
  <c r="BC21" i="28"/>
  <c r="BB21" i="28"/>
  <c r="BA21" i="28"/>
  <c r="AZ21" i="28"/>
  <c r="AY21" i="28"/>
  <c r="AX21" i="28"/>
  <c r="AW21" i="28"/>
  <c r="AV21" i="28"/>
  <c r="AU21" i="28"/>
  <c r="AT21" i="28"/>
  <c r="AS21" i="28"/>
  <c r="AR21" i="28"/>
  <c r="AQ21" i="28"/>
  <c r="AP21" i="28"/>
  <c r="AO21" i="28"/>
  <c r="AN21" i="28"/>
  <c r="AM21" i="28"/>
  <c r="AL21" i="28"/>
  <c r="AK21" i="28"/>
  <c r="BO20" i="28"/>
  <c r="BN20" i="28"/>
  <c r="BM20" i="28"/>
  <c r="BL20" i="28"/>
  <c r="BK20" i="28"/>
  <c r="BJ20" i="28"/>
  <c r="BI20" i="28"/>
  <c r="BH20" i="28"/>
  <c r="BG20" i="28"/>
  <c r="BF20" i="28"/>
  <c r="BE20" i="28"/>
  <c r="BD20" i="28"/>
  <c r="BC20" i="28"/>
  <c r="BB20" i="28"/>
  <c r="BA20" i="28"/>
  <c r="AZ20" i="28"/>
  <c r="AY20" i="28"/>
  <c r="AX20" i="28"/>
  <c r="AW20" i="28"/>
  <c r="AV20" i="28"/>
  <c r="AU20" i="28"/>
  <c r="AT20" i="28"/>
  <c r="AS20" i="28"/>
  <c r="AR20" i="28"/>
  <c r="AQ20" i="28"/>
  <c r="AP20" i="28"/>
  <c r="AO20" i="28"/>
  <c r="AN20" i="28"/>
  <c r="AM20" i="28"/>
  <c r="AL20" i="28"/>
  <c r="AK20" i="28"/>
  <c r="BO19" i="28"/>
  <c r="BN19" i="28"/>
  <c r="BM19" i="28"/>
  <c r="BL19" i="28"/>
  <c r="BK19" i="28"/>
  <c r="BJ19" i="28"/>
  <c r="BI19" i="28"/>
  <c r="BH19" i="28"/>
  <c r="BG19" i="28"/>
  <c r="BF19" i="28"/>
  <c r="BE19" i="28"/>
  <c r="BD19" i="28"/>
  <c r="BC19" i="28"/>
  <c r="BB19" i="28"/>
  <c r="BA19" i="28"/>
  <c r="AZ19" i="28"/>
  <c r="AY19" i="28"/>
  <c r="AX19" i="28"/>
  <c r="AW19" i="28"/>
  <c r="AV19" i="28"/>
  <c r="AU19" i="28"/>
  <c r="AT19" i="28"/>
  <c r="AS19" i="28"/>
  <c r="AR19" i="28"/>
  <c r="AQ19" i="28"/>
  <c r="AP19" i="28"/>
  <c r="AO19" i="28"/>
  <c r="AN19" i="28"/>
  <c r="AM19" i="28"/>
  <c r="AL19" i="28"/>
  <c r="AK19" i="28"/>
  <c r="BO18" i="28"/>
  <c r="BN18" i="28"/>
  <c r="BM18" i="28"/>
  <c r="BL18" i="28"/>
  <c r="BK18" i="28"/>
  <c r="BJ18" i="28"/>
  <c r="BI18" i="28"/>
  <c r="BH18" i="28"/>
  <c r="BG18" i="28"/>
  <c r="BF18" i="28"/>
  <c r="BE18" i="28"/>
  <c r="BD18" i="28"/>
  <c r="BC18" i="28"/>
  <c r="BB18" i="28"/>
  <c r="BA18" i="28"/>
  <c r="AZ18" i="28"/>
  <c r="AY18" i="28"/>
  <c r="AX18" i="28"/>
  <c r="AW18" i="28"/>
  <c r="AV18" i="28"/>
  <c r="AU18" i="28"/>
  <c r="AT18" i="28"/>
  <c r="AS18" i="28"/>
  <c r="AR18" i="28"/>
  <c r="AQ18" i="28"/>
  <c r="AP18" i="28"/>
  <c r="AO18" i="28"/>
  <c r="AN18" i="28"/>
  <c r="AM18" i="28"/>
  <c r="AL18" i="28"/>
  <c r="AK18" i="28"/>
  <c r="BO17" i="28"/>
  <c r="BN17" i="28"/>
  <c r="BM17" i="28"/>
  <c r="BL17" i="28"/>
  <c r="BK17" i="28"/>
  <c r="BJ17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BO16" i="28"/>
  <c r="BN16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BO15" i="28"/>
  <c r="BN15" i="28"/>
  <c r="BM15" i="28"/>
  <c r="BL15" i="28"/>
  <c r="BK15" i="28"/>
  <c r="BJ15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BO14" i="28"/>
  <c r="BN14" i="28"/>
  <c r="BM14" i="28"/>
  <c r="BL14" i="28"/>
  <c r="BK14" i="28"/>
  <c r="BJ14" i="28"/>
  <c r="BI14" i="28"/>
  <c r="BH14" i="28"/>
  <c r="BG14" i="28"/>
  <c r="BF14" i="28"/>
  <c r="BE14" i="28"/>
  <c r="BD14" i="28"/>
  <c r="BC14" i="28"/>
  <c r="BB14" i="28"/>
  <c r="BA14" i="28"/>
  <c r="AZ14" i="28"/>
  <c r="AY14" i="28"/>
  <c r="AX14" i="28"/>
  <c r="AW14" i="28"/>
  <c r="AV14" i="28"/>
  <c r="AU14" i="28"/>
  <c r="AT14" i="28"/>
  <c r="AS14" i="28"/>
  <c r="AR14" i="28"/>
  <c r="AQ14" i="28"/>
  <c r="AP14" i="28"/>
  <c r="AO14" i="28"/>
  <c r="AN14" i="28"/>
  <c r="AM14" i="28"/>
  <c r="AL14" i="28"/>
  <c r="AK14" i="28"/>
  <c r="BO13" i="28"/>
  <c r="BN13" i="28"/>
  <c r="BM13" i="28"/>
  <c r="BL13" i="28"/>
  <c r="BK13" i="28"/>
  <c r="BJ13" i="28"/>
  <c r="BI13" i="28"/>
  <c r="BH13" i="28"/>
  <c r="BG13" i="28"/>
  <c r="BF13" i="28"/>
  <c r="BE13" i="28"/>
  <c r="BD13" i="28"/>
  <c r="BC13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BO12" i="28"/>
  <c r="BN12" i="28"/>
  <c r="BM12" i="28"/>
  <c r="BL12" i="28"/>
  <c r="BK12" i="28"/>
  <c r="BJ12" i="28"/>
  <c r="BI12" i="28"/>
  <c r="BH12" i="28"/>
  <c r="BG12" i="28"/>
  <c r="BF12" i="28"/>
  <c r="BE12" i="28"/>
  <c r="BD12" i="28"/>
  <c r="BC12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AP12" i="28"/>
  <c r="AO12" i="28"/>
  <c r="AN12" i="28"/>
  <c r="AM12" i="28"/>
  <c r="AL12" i="28"/>
  <c r="BO11" i="28"/>
  <c r="BN11" i="28"/>
  <c r="BM11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BO10" i="28"/>
  <c r="BN10" i="28"/>
  <c r="BM10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BO9" i="28"/>
  <c r="BN9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BA9" i="28"/>
  <c r="AZ9" i="28"/>
  <c r="AY9" i="28"/>
  <c r="AX9" i="28"/>
  <c r="AW9" i="28"/>
  <c r="AV9" i="28"/>
  <c r="AU9" i="28"/>
  <c r="AT9" i="28"/>
  <c r="AS9" i="28"/>
  <c r="AR9" i="28"/>
  <c r="AQ9" i="28"/>
  <c r="AP9" i="28"/>
  <c r="AO9" i="28"/>
  <c r="AN9" i="28"/>
  <c r="AM9" i="28"/>
  <c r="AL9" i="28"/>
  <c r="AK9" i="28"/>
  <c r="BO8" i="28"/>
  <c r="BN8" i="28"/>
  <c r="BM8" i="28"/>
  <c r="BL8" i="28"/>
  <c r="BK8" i="28"/>
  <c r="BJ8" i="28"/>
  <c r="BI8" i="28"/>
  <c r="BH8" i="28"/>
  <c r="BG8" i="28"/>
  <c r="BF8" i="28"/>
  <c r="BE8" i="28"/>
  <c r="BD8" i="28"/>
  <c r="BC8" i="28"/>
  <c r="BB8" i="28"/>
  <c r="BA8" i="28"/>
  <c r="AZ8" i="28"/>
  <c r="AY8" i="28"/>
  <c r="AX8" i="28"/>
  <c r="AW8" i="28"/>
  <c r="AV8" i="28"/>
  <c r="AU8" i="28"/>
  <c r="AT8" i="28"/>
  <c r="AS8" i="28"/>
  <c r="AR8" i="28"/>
  <c r="AQ8" i="28"/>
  <c r="AP8" i="28"/>
  <c r="AO8" i="28"/>
  <c r="AN8" i="28"/>
  <c r="AM8" i="28"/>
  <c r="AL8" i="28"/>
  <c r="AK8" i="28"/>
  <c r="BO7" i="28"/>
  <c r="BN7" i="28"/>
  <c r="BM7" i="28"/>
  <c r="BL7" i="28"/>
  <c r="BK7" i="28"/>
  <c r="BJ7" i="28"/>
  <c r="BI7" i="28"/>
  <c r="BH7" i="28"/>
  <c r="BG7" i="28"/>
  <c r="BF7" i="28"/>
  <c r="BE7" i="28"/>
  <c r="BD7" i="28"/>
  <c r="BC7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BO6" i="28"/>
  <c r="BN6" i="28"/>
  <c r="BM6" i="28"/>
  <c r="BL6" i="28"/>
  <c r="BK6" i="28"/>
  <c r="BJ6" i="28"/>
  <c r="BI6" i="28"/>
  <c r="BH6" i="28"/>
  <c r="BG6" i="28"/>
  <c r="BF6" i="28"/>
  <c r="BE6" i="28"/>
  <c r="BD6" i="28"/>
  <c r="BC6" i="28"/>
  <c r="BB6" i="28"/>
  <c r="BA6" i="28"/>
  <c r="AZ6" i="28"/>
  <c r="AY6" i="28"/>
  <c r="AX6" i="28"/>
  <c r="AW6" i="28"/>
  <c r="AV6" i="28"/>
  <c r="AU6" i="28"/>
  <c r="AT6" i="28"/>
  <c r="AS6" i="28"/>
  <c r="AR6" i="28"/>
  <c r="AQ6" i="28"/>
  <c r="AP6" i="28"/>
  <c r="AO6" i="28"/>
  <c r="AN6" i="28"/>
  <c r="AM6" i="28"/>
  <c r="AL6" i="28"/>
  <c r="AK6" i="28"/>
  <c r="BO5" i="28"/>
  <c r="BN5" i="28"/>
  <c r="BM5" i="28"/>
  <c r="BL5" i="28"/>
  <c r="BK5" i="28"/>
  <c r="BJ5" i="28"/>
  <c r="BI5" i="28"/>
  <c r="BH5" i="28"/>
  <c r="BG5" i="28"/>
  <c r="BF5" i="28"/>
  <c r="BE5" i="28"/>
  <c r="BD5" i="28"/>
  <c r="BC5" i="28"/>
  <c r="BB5" i="28"/>
  <c r="BA5" i="28"/>
  <c r="AZ5" i="28"/>
  <c r="AY5" i="28"/>
  <c r="AX5" i="28"/>
  <c r="AW5" i="28"/>
  <c r="AV5" i="28"/>
  <c r="AU5" i="28"/>
  <c r="AT5" i="28"/>
  <c r="AS5" i="28"/>
  <c r="AR5" i="28"/>
  <c r="AQ5" i="28"/>
  <c r="AP5" i="28"/>
  <c r="AO5" i="28"/>
  <c r="AN5" i="28"/>
  <c r="AM5" i="28"/>
  <c r="AL5" i="28"/>
  <c r="AK5" i="28"/>
  <c r="BP10" i="28" l="1"/>
  <c r="O19" i="17"/>
  <c r="BP12" i="28"/>
  <c r="O25" i="17"/>
  <c r="BP30" i="28"/>
  <c r="O82" i="17"/>
  <c r="O79" i="17"/>
  <c r="O4" i="17"/>
  <c r="BP8" i="28"/>
  <c r="O13" i="17"/>
  <c r="O10" i="17"/>
  <c r="BP11" i="28"/>
  <c r="O22" i="17"/>
  <c r="BP6" i="28"/>
  <c r="O7" i="17"/>
  <c r="BP20" i="28"/>
  <c r="O49" i="17"/>
  <c r="BP29" i="28"/>
  <c r="O70" i="17"/>
  <c r="BP28" i="28"/>
  <c r="O67" i="17"/>
  <c r="BP25" i="28"/>
  <c r="O73" i="17"/>
  <c r="BP24" i="28"/>
  <c r="O61" i="17"/>
  <c r="BP26" i="28"/>
  <c r="O76" i="17"/>
  <c r="O55" i="17"/>
  <c r="BP27" i="28"/>
  <c r="O64" i="17"/>
  <c r="BP13" i="28"/>
  <c r="O28" i="17"/>
  <c r="BP9" i="28"/>
  <c r="O16" i="17"/>
  <c r="BP23" i="28"/>
  <c r="O58" i="17"/>
  <c r="O34" i="17"/>
  <c r="BP16" i="28"/>
  <c r="O37" i="17"/>
  <c r="BP19" i="28"/>
  <c r="O46" i="17"/>
  <c r="BP18" i="28"/>
  <c r="O43" i="17"/>
  <c r="O31" i="17"/>
  <c r="BP17" i="28"/>
  <c r="O40" i="17"/>
  <c r="BP21" i="28"/>
  <c r="O52" i="17"/>
  <c r="BP31" i="28"/>
  <c r="BP22" i="28"/>
  <c r="BP15" i="28"/>
  <c r="BP14" i="28"/>
  <c r="BP7" i="28"/>
  <c r="AI32" i="28"/>
  <c r="AI33" i="28" s="1"/>
  <c r="D32" i="28"/>
  <c r="K63" i="28"/>
  <c r="L63" i="28" s="1"/>
  <c r="M63" i="28" s="1"/>
  <c r="N63" i="28" s="1"/>
  <c r="O63" i="28" s="1"/>
  <c r="P63" i="28" s="1"/>
  <c r="Q63" i="28" s="1"/>
  <c r="R63" i="28" s="1"/>
  <c r="S63" i="28" s="1"/>
  <c r="T63" i="28" s="1"/>
  <c r="U63" i="28" s="1"/>
  <c r="V63" i="28" s="1"/>
  <c r="AM24" i="28"/>
  <c r="BL24" i="28"/>
  <c r="E32" i="28"/>
  <c r="BP5" i="28"/>
  <c r="BN24" i="28"/>
  <c r="AS24" i="28"/>
  <c r="AI36" i="28" l="1"/>
  <c r="AI35" i="28"/>
  <c r="AI34" i="28"/>
  <c r="R142" i="14"/>
  <c r="R140" i="14"/>
  <c r="H142" i="14"/>
  <c r="AF24" i="26"/>
  <c r="H141" i="14"/>
  <c r="H140" i="14"/>
  <c r="AD24" i="26"/>
  <c r="H19" i="14" l="1"/>
  <c r="H139" i="14"/>
  <c r="R139" i="14"/>
  <c r="H138" i="14"/>
  <c r="R138" i="14"/>
  <c r="R137" i="14"/>
  <c r="H137" i="14"/>
  <c r="AB24" i="26"/>
  <c r="S122" i="14"/>
  <c r="I122" i="14"/>
  <c r="H136" i="14"/>
  <c r="R136" i="14"/>
  <c r="R135" i="14"/>
  <c r="H135" i="14"/>
  <c r="H134" i="14"/>
  <c r="R134" i="14"/>
  <c r="H133" i="14"/>
  <c r="R133" i="14"/>
  <c r="H132" i="14"/>
  <c r="R132" i="14"/>
  <c r="H131" i="14"/>
  <c r="R131" i="14"/>
  <c r="H130" i="14"/>
  <c r="R130" i="14"/>
  <c r="U24" i="26"/>
  <c r="N21" i="14"/>
  <c r="N20" i="14"/>
  <c r="N19" i="14"/>
  <c r="G21" i="14" l="1"/>
  <c r="H129" i="14"/>
  <c r="R129" i="14"/>
  <c r="H128" i="14"/>
  <c r="R128" i="14"/>
  <c r="R127" i="14"/>
  <c r="H127" i="14"/>
  <c r="H126" i="14"/>
  <c r="R126" i="14"/>
  <c r="R125" i="14"/>
  <c r="H125" i="14"/>
  <c r="R124" i="14"/>
  <c r="H124" i="14"/>
  <c r="H123" i="14"/>
  <c r="R123" i="14"/>
  <c r="R122" i="14"/>
  <c r="H122" i="14"/>
  <c r="K24" i="26"/>
  <c r="R121" i="14"/>
  <c r="H121" i="14"/>
  <c r="H120" i="14"/>
  <c r="R120" i="14"/>
  <c r="AC5" i="27"/>
  <c r="AC3" i="27"/>
  <c r="R119" i="14"/>
  <c r="H119" i="14"/>
  <c r="Q12" i="14" l="1"/>
  <c r="Q13" i="14"/>
  <c r="AC6" i="27"/>
  <c r="AC4" i="27"/>
  <c r="Q14" i="14" l="1"/>
  <c r="H118" i="14"/>
  <c r="R118" i="14"/>
  <c r="R117" i="14"/>
  <c r="H117" i="14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G32" i="26"/>
  <c r="F32" i="26"/>
  <c r="H116" i="14" l="1"/>
  <c r="R116" i="14"/>
  <c r="R115" i="14"/>
  <c r="H115" i="14"/>
  <c r="AI10" i="24"/>
  <c r="E24" i="26"/>
  <c r="R114" i="14"/>
  <c r="H114" i="14"/>
  <c r="AH31" i="26"/>
  <c r="N79" i="17" s="1"/>
  <c r="N80" i="17" s="1"/>
  <c r="O80" i="17"/>
  <c r="P80" i="17"/>
  <c r="Q80" i="17"/>
  <c r="R80" i="17"/>
  <c r="S80" i="17"/>
  <c r="T80" i="17"/>
  <c r="O83" i="17"/>
  <c r="P83" i="17"/>
  <c r="Q83" i="17"/>
  <c r="R83" i="17"/>
  <c r="S83" i="17"/>
  <c r="T83" i="17"/>
  <c r="O77" i="17"/>
  <c r="P77" i="17"/>
  <c r="Q77" i="17"/>
  <c r="R77" i="17"/>
  <c r="S77" i="17"/>
  <c r="T77" i="17"/>
  <c r="O74" i="17"/>
  <c r="P74" i="17"/>
  <c r="Q74" i="17"/>
  <c r="R74" i="17"/>
  <c r="S74" i="17"/>
  <c r="T74" i="17"/>
  <c r="O71" i="17"/>
  <c r="P71" i="17"/>
  <c r="Q71" i="17"/>
  <c r="R71" i="17"/>
  <c r="S71" i="17"/>
  <c r="T71" i="17"/>
  <c r="O68" i="17"/>
  <c r="P68" i="17"/>
  <c r="Q68" i="17"/>
  <c r="R68" i="17"/>
  <c r="S68" i="17"/>
  <c r="T68" i="17"/>
  <c r="O65" i="17"/>
  <c r="P65" i="17"/>
  <c r="Q65" i="17"/>
  <c r="R65" i="17"/>
  <c r="S65" i="17"/>
  <c r="T65" i="17"/>
  <c r="O62" i="17"/>
  <c r="P62" i="17"/>
  <c r="Q62" i="17"/>
  <c r="R62" i="17"/>
  <c r="S62" i="17"/>
  <c r="T62" i="17"/>
  <c r="O59" i="17"/>
  <c r="P59" i="17"/>
  <c r="Q59" i="17"/>
  <c r="R59" i="17"/>
  <c r="S59" i="17"/>
  <c r="T59" i="17"/>
  <c r="O56" i="17"/>
  <c r="P56" i="17"/>
  <c r="Q56" i="17"/>
  <c r="R56" i="17"/>
  <c r="S56" i="17"/>
  <c r="T56" i="17"/>
  <c r="O53" i="17"/>
  <c r="P53" i="17"/>
  <c r="Q53" i="17"/>
  <c r="R53" i="17"/>
  <c r="S53" i="17"/>
  <c r="T53" i="17"/>
  <c r="O50" i="17"/>
  <c r="P50" i="17"/>
  <c r="Q50" i="17"/>
  <c r="R50" i="17"/>
  <c r="S50" i="17"/>
  <c r="T50" i="17"/>
  <c r="O47" i="17"/>
  <c r="P47" i="17"/>
  <c r="Q47" i="17"/>
  <c r="R47" i="17"/>
  <c r="S47" i="17"/>
  <c r="T47" i="17"/>
  <c r="O44" i="17"/>
  <c r="P44" i="17"/>
  <c r="Q44" i="17"/>
  <c r="R44" i="17"/>
  <c r="S44" i="17"/>
  <c r="T44" i="17"/>
  <c r="O41" i="17"/>
  <c r="P41" i="17"/>
  <c r="Q41" i="17"/>
  <c r="R41" i="17"/>
  <c r="S41" i="17"/>
  <c r="T41" i="17"/>
  <c r="O38" i="17"/>
  <c r="P38" i="17"/>
  <c r="Q38" i="17"/>
  <c r="R38" i="17"/>
  <c r="S38" i="17"/>
  <c r="T38" i="17"/>
  <c r="O35" i="17"/>
  <c r="P35" i="17"/>
  <c r="Q35" i="17"/>
  <c r="R35" i="17"/>
  <c r="S35" i="17"/>
  <c r="T35" i="17"/>
  <c r="O32" i="17"/>
  <c r="P32" i="17"/>
  <c r="Q32" i="17"/>
  <c r="R32" i="17"/>
  <c r="S32" i="17"/>
  <c r="T32" i="17"/>
  <c r="O29" i="17"/>
  <c r="P29" i="17"/>
  <c r="R29" i="17"/>
  <c r="S29" i="17"/>
  <c r="T29" i="17"/>
  <c r="O26" i="17"/>
  <c r="P26" i="17"/>
  <c r="R26" i="17"/>
  <c r="S26" i="17"/>
  <c r="T26" i="17"/>
  <c r="O23" i="17"/>
  <c r="P23" i="17"/>
  <c r="R23" i="17"/>
  <c r="S23" i="17"/>
  <c r="T23" i="17"/>
  <c r="D24" i="26"/>
  <c r="I67" i="26"/>
  <c r="J67" i="26" s="1"/>
  <c r="K67" i="26" s="1"/>
  <c r="L67" i="26" s="1"/>
  <c r="M67" i="26" s="1"/>
  <c r="N67" i="26" s="1"/>
  <c r="O67" i="26" s="1"/>
  <c r="P67" i="26" s="1"/>
  <c r="Q67" i="26" s="1"/>
  <c r="R67" i="26" s="1"/>
  <c r="S67" i="26" s="1"/>
  <c r="T67" i="26" s="1"/>
  <c r="U67" i="26" s="1"/>
  <c r="V67" i="26" s="1"/>
  <c r="D67" i="26"/>
  <c r="E67" i="26" s="1"/>
  <c r="F67" i="26" s="1"/>
  <c r="I66" i="26"/>
  <c r="J66" i="26" s="1"/>
  <c r="K66" i="26" s="1"/>
  <c r="L66" i="26" s="1"/>
  <c r="M66" i="26" s="1"/>
  <c r="N66" i="26" s="1"/>
  <c r="O66" i="26" s="1"/>
  <c r="P66" i="26" s="1"/>
  <c r="Q66" i="26" s="1"/>
  <c r="R66" i="26" s="1"/>
  <c r="S66" i="26" s="1"/>
  <c r="T66" i="26" s="1"/>
  <c r="U66" i="26" s="1"/>
  <c r="V66" i="26" s="1"/>
  <c r="D66" i="26"/>
  <c r="E66" i="26" s="1"/>
  <c r="F66" i="26" s="1"/>
  <c r="I65" i="26"/>
  <c r="J65" i="26" s="1"/>
  <c r="K65" i="26" s="1"/>
  <c r="L65" i="26" s="1"/>
  <c r="M65" i="26" s="1"/>
  <c r="N65" i="26" s="1"/>
  <c r="O65" i="26" s="1"/>
  <c r="P65" i="26" s="1"/>
  <c r="Q65" i="26" s="1"/>
  <c r="R65" i="26" s="1"/>
  <c r="S65" i="26" s="1"/>
  <c r="T65" i="26" s="1"/>
  <c r="U65" i="26" s="1"/>
  <c r="V65" i="26" s="1"/>
  <c r="D65" i="26"/>
  <c r="E65" i="26" s="1"/>
  <c r="F65" i="26" s="1"/>
  <c r="I64" i="26"/>
  <c r="J64" i="26" s="1"/>
  <c r="K64" i="26" s="1"/>
  <c r="L64" i="26" s="1"/>
  <c r="M64" i="26" s="1"/>
  <c r="N64" i="26" s="1"/>
  <c r="O64" i="26" s="1"/>
  <c r="P64" i="26" s="1"/>
  <c r="Q64" i="26" s="1"/>
  <c r="R64" i="26" s="1"/>
  <c r="S64" i="26" s="1"/>
  <c r="T64" i="26" s="1"/>
  <c r="U64" i="26" s="1"/>
  <c r="V64" i="26" s="1"/>
  <c r="D64" i="26"/>
  <c r="E64" i="26" s="1"/>
  <c r="F64" i="26" s="1"/>
  <c r="I63" i="26"/>
  <c r="J63" i="26" s="1"/>
  <c r="K63" i="26" s="1"/>
  <c r="L63" i="26" s="1"/>
  <c r="M63" i="26" s="1"/>
  <c r="N63" i="26" s="1"/>
  <c r="O63" i="26" s="1"/>
  <c r="P63" i="26" s="1"/>
  <c r="Q63" i="26" s="1"/>
  <c r="R63" i="26" s="1"/>
  <c r="S63" i="26" s="1"/>
  <c r="T63" i="26" s="1"/>
  <c r="U63" i="26" s="1"/>
  <c r="V63" i="26" s="1"/>
  <c r="I62" i="26"/>
  <c r="J62" i="26" s="1"/>
  <c r="K62" i="26" s="1"/>
  <c r="L62" i="26" s="1"/>
  <c r="M62" i="26" s="1"/>
  <c r="N62" i="26" s="1"/>
  <c r="O62" i="26" s="1"/>
  <c r="P62" i="26" s="1"/>
  <c r="Q62" i="26" s="1"/>
  <c r="R62" i="26" s="1"/>
  <c r="S62" i="26" s="1"/>
  <c r="T62" i="26" s="1"/>
  <c r="U62" i="26" s="1"/>
  <c r="V62" i="26" s="1"/>
  <c r="D62" i="26"/>
  <c r="E62" i="26" s="1"/>
  <c r="F62" i="26" s="1"/>
  <c r="I61" i="26"/>
  <c r="J61" i="26" s="1"/>
  <c r="K61" i="26" s="1"/>
  <c r="L61" i="26" s="1"/>
  <c r="M61" i="26" s="1"/>
  <c r="N61" i="26" s="1"/>
  <c r="O61" i="26" s="1"/>
  <c r="P61" i="26" s="1"/>
  <c r="Q61" i="26" s="1"/>
  <c r="R61" i="26" s="1"/>
  <c r="S61" i="26" s="1"/>
  <c r="T61" i="26" s="1"/>
  <c r="U61" i="26" s="1"/>
  <c r="V61" i="26" s="1"/>
  <c r="D61" i="26"/>
  <c r="E61" i="26" s="1"/>
  <c r="F61" i="26" s="1"/>
  <c r="I60" i="26"/>
  <c r="J60" i="26" s="1"/>
  <c r="K60" i="26" s="1"/>
  <c r="L60" i="26" s="1"/>
  <c r="M60" i="26" s="1"/>
  <c r="N60" i="26" s="1"/>
  <c r="O60" i="26" s="1"/>
  <c r="P60" i="26" s="1"/>
  <c r="Q60" i="26" s="1"/>
  <c r="R60" i="26" s="1"/>
  <c r="S60" i="26" s="1"/>
  <c r="T60" i="26" s="1"/>
  <c r="U60" i="26" s="1"/>
  <c r="V60" i="26" s="1"/>
  <c r="E60" i="26"/>
  <c r="F60" i="26" s="1"/>
  <c r="D60" i="26"/>
  <c r="I59" i="26"/>
  <c r="J59" i="26" s="1"/>
  <c r="K59" i="26" s="1"/>
  <c r="L59" i="26" s="1"/>
  <c r="M59" i="26" s="1"/>
  <c r="N59" i="26" s="1"/>
  <c r="O59" i="26" s="1"/>
  <c r="P59" i="26" s="1"/>
  <c r="Q59" i="26" s="1"/>
  <c r="R59" i="26" s="1"/>
  <c r="S59" i="26" s="1"/>
  <c r="T59" i="26" s="1"/>
  <c r="U59" i="26" s="1"/>
  <c r="V59" i="26" s="1"/>
  <c r="D59" i="26"/>
  <c r="E59" i="26" s="1"/>
  <c r="F59" i="26" s="1"/>
  <c r="I58" i="26"/>
  <c r="J58" i="26" s="1"/>
  <c r="K58" i="26" s="1"/>
  <c r="L58" i="26" s="1"/>
  <c r="M58" i="26" s="1"/>
  <c r="N58" i="26" s="1"/>
  <c r="O58" i="26" s="1"/>
  <c r="P58" i="26" s="1"/>
  <c r="Q58" i="26" s="1"/>
  <c r="R58" i="26" s="1"/>
  <c r="S58" i="26" s="1"/>
  <c r="T58" i="26" s="1"/>
  <c r="U58" i="26" s="1"/>
  <c r="V58" i="26" s="1"/>
  <c r="D58" i="26"/>
  <c r="E58" i="26" s="1"/>
  <c r="F58" i="26" s="1"/>
  <c r="I57" i="26"/>
  <c r="J57" i="26" s="1"/>
  <c r="K57" i="26" s="1"/>
  <c r="L57" i="26" s="1"/>
  <c r="M57" i="26" s="1"/>
  <c r="N57" i="26" s="1"/>
  <c r="O57" i="26" s="1"/>
  <c r="P57" i="26" s="1"/>
  <c r="Q57" i="26" s="1"/>
  <c r="R57" i="26" s="1"/>
  <c r="S57" i="26" s="1"/>
  <c r="T57" i="26" s="1"/>
  <c r="U57" i="26" s="1"/>
  <c r="V57" i="26" s="1"/>
  <c r="D57" i="26"/>
  <c r="E57" i="26" s="1"/>
  <c r="F57" i="26" s="1"/>
  <c r="I56" i="26"/>
  <c r="J56" i="26" s="1"/>
  <c r="K56" i="26" s="1"/>
  <c r="L56" i="26" s="1"/>
  <c r="M56" i="26" s="1"/>
  <c r="N56" i="26" s="1"/>
  <c r="O56" i="26" s="1"/>
  <c r="P56" i="26" s="1"/>
  <c r="Q56" i="26" s="1"/>
  <c r="R56" i="26" s="1"/>
  <c r="S56" i="26" s="1"/>
  <c r="T56" i="26" s="1"/>
  <c r="U56" i="26" s="1"/>
  <c r="V56" i="26" s="1"/>
  <c r="D56" i="26"/>
  <c r="E56" i="26" s="1"/>
  <c r="F56" i="26" s="1"/>
  <c r="I55" i="26"/>
  <c r="J55" i="26" s="1"/>
  <c r="K55" i="26" s="1"/>
  <c r="L55" i="26" s="1"/>
  <c r="M55" i="26" s="1"/>
  <c r="N55" i="26" s="1"/>
  <c r="O55" i="26" s="1"/>
  <c r="P55" i="26" s="1"/>
  <c r="Q55" i="26" s="1"/>
  <c r="R55" i="26" s="1"/>
  <c r="S55" i="26" s="1"/>
  <c r="T55" i="26" s="1"/>
  <c r="U55" i="26" s="1"/>
  <c r="V55" i="26" s="1"/>
  <c r="D55" i="26"/>
  <c r="E55" i="26" s="1"/>
  <c r="F55" i="26" s="1"/>
  <c r="I54" i="26"/>
  <c r="J54" i="26" s="1"/>
  <c r="K54" i="26" s="1"/>
  <c r="L54" i="26" s="1"/>
  <c r="M54" i="26" s="1"/>
  <c r="N54" i="26" s="1"/>
  <c r="O54" i="26" s="1"/>
  <c r="P54" i="26" s="1"/>
  <c r="Q54" i="26" s="1"/>
  <c r="R54" i="26" s="1"/>
  <c r="S54" i="26" s="1"/>
  <c r="T54" i="26" s="1"/>
  <c r="U54" i="26" s="1"/>
  <c r="V54" i="26" s="1"/>
  <c r="D54" i="26"/>
  <c r="E54" i="26" s="1"/>
  <c r="F54" i="26" s="1"/>
  <c r="I53" i="26"/>
  <c r="J53" i="26" s="1"/>
  <c r="K53" i="26" s="1"/>
  <c r="L53" i="26" s="1"/>
  <c r="M53" i="26" s="1"/>
  <c r="N53" i="26" s="1"/>
  <c r="O53" i="26" s="1"/>
  <c r="P53" i="26" s="1"/>
  <c r="Q53" i="26" s="1"/>
  <c r="R53" i="26" s="1"/>
  <c r="S53" i="26" s="1"/>
  <c r="T53" i="26" s="1"/>
  <c r="U53" i="26" s="1"/>
  <c r="V53" i="26" s="1"/>
  <c r="D53" i="26"/>
  <c r="E53" i="26" s="1"/>
  <c r="F53" i="26" s="1"/>
  <c r="I52" i="26"/>
  <c r="J52" i="26" s="1"/>
  <c r="K52" i="26" s="1"/>
  <c r="L52" i="26" s="1"/>
  <c r="M52" i="26" s="1"/>
  <c r="N52" i="26" s="1"/>
  <c r="O52" i="26" s="1"/>
  <c r="P52" i="26" s="1"/>
  <c r="Q52" i="26" s="1"/>
  <c r="R52" i="26" s="1"/>
  <c r="S52" i="26" s="1"/>
  <c r="T52" i="26" s="1"/>
  <c r="U52" i="26" s="1"/>
  <c r="V52" i="26" s="1"/>
  <c r="D52" i="26"/>
  <c r="E52" i="26" s="1"/>
  <c r="F52" i="26" s="1"/>
  <c r="I51" i="26"/>
  <c r="J51" i="26" s="1"/>
  <c r="K51" i="26" s="1"/>
  <c r="L51" i="26" s="1"/>
  <c r="M51" i="26" s="1"/>
  <c r="N51" i="26" s="1"/>
  <c r="O51" i="26" s="1"/>
  <c r="P51" i="26" s="1"/>
  <c r="Q51" i="26" s="1"/>
  <c r="R51" i="26" s="1"/>
  <c r="S51" i="26" s="1"/>
  <c r="T51" i="26" s="1"/>
  <c r="U51" i="26" s="1"/>
  <c r="V51" i="26" s="1"/>
  <c r="D51" i="26"/>
  <c r="E51" i="26" s="1"/>
  <c r="F51" i="26" s="1"/>
  <c r="I50" i="26"/>
  <c r="J50" i="26" s="1"/>
  <c r="K50" i="26" s="1"/>
  <c r="L50" i="26" s="1"/>
  <c r="M50" i="26" s="1"/>
  <c r="N50" i="26" s="1"/>
  <c r="O50" i="26" s="1"/>
  <c r="P50" i="26" s="1"/>
  <c r="Q50" i="26" s="1"/>
  <c r="R50" i="26" s="1"/>
  <c r="S50" i="26" s="1"/>
  <c r="T50" i="26" s="1"/>
  <c r="U50" i="26" s="1"/>
  <c r="V50" i="26" s="1"/>
  <c r="D50" i="26"/>
  <c r="E50" i="26" s="1"/>
  <c r="F50" i="26" s="1"/>
  <c r="I49" i="26"/>
  <c r="J49" i="26" s="1"/>
  <c r="K49" i="26" s="1"/>
  <c r="L49" i="26" s="1"/>
  <c r="M49" i="26" s="1"/>
  <c r="N49" i="26" s="1"/>
  <c r="O49" i="26" s="1"/>
  <c r="P49" i="26" s="1"/>
  <c r="Q49" i="26" s="1"/>
  <c r="R49" i="26" s="1"/>
  <c r="S49" i="26" s="1"/>
  <c r="T49" i="26" s="1"/>
  <c r="U49" i="26" s="1"/>
  <c r="V49" i="26" s="1"/>
  <c r="D49" i="26"/>
  <c r="E49" i="26" s="1"/>
  <c r="F49" i="26" s="1"/>
  <c r="I48" i="26"/>
  <c r="J48" i="26" s="1"/>
  <c r="K48" i="26" s="1"/>
  <c r="L48" i="26" s="1"/>
  <c r="M48" i="26" s="1"/>
  <c r="N48" i="26" s="1"/>
  <c r="O48" i="26" s="1"/>
  <c r="P48" i="26" s="1"/>
  <c r="Q48" i="26" s="1"/>
  <c r="R48" i="26" s="1"/>
  <c r="S48" i="26" s="1"/>
  <c r="T48" i="26" s="1"/>
  <c r="U48" i="26" s="1"/>
  <c r="V48" i="26" s="1"/>
  <c r="D48" i="26"/>
  <c r="E48" i="26" s="1"/>
  <c r="F48" i="26" s="1"/>
  <c r="I47" i="26"/>
  <c r="J47" i="26" s="1"/>
  <c r="K47" i="26" s="1"/>
  <c r="L47" i="26" s="1"/>
  <c r="M47" i="26" s="1"/>
  <c r="N47" i="26" s="1"/>
  <c r="O47" i="26" s="1"/>
  <c r="P47" i="26" s="1"/>
  <c r="Q47" i="26" s="1"/>
  <c r="R47" i="26" s="1"/>
  <c r="S47" i="26" s="1"/>
  <c r="T47" i="26" s="1"/>
  <c r="U47" i="26" s="1"/>
  <c r="V47" i="26" s="1"/>
  <c r="D47" i="26"/>
  <c r="E47" i="26" s="1"/>
  <c r="F47" i="26" s="1"/>
  <c r="I46" i="26"/>
  <c r="J46" i="26" s="1"/>
  <c r="K46" i="26" s="1"/>
  <c r="L46" i="26" s="1"/>
  <c r="M46" i="26" s="1"/>
  <c r="N46" i="26" s="1"/>
  <c r="O46" i="26" s="1"/>
  <c r="P46" i="26" s="1"/>
  <c r="Q46" i="26" s="1"/>
  <c r="R46" i="26" s="1"/>
  <c r="S46" i="26" s="1"/>
  <c r="T46" i="26" s="1"/>
  <c r="U46" i="26" s="1"/>
  <c r="V46" i="26" s="1"/>
  <c r="D46" i="26"/>
  <c r="E46" i="26" s="1"/>
  <c r="F46" i="26" s="1"/>
  <c r="H45" i="26"/>
  <c r="G45" i="26"/>
  <c r="AL44" i="26"/>
  <c r="I44" i="26"/>
  <c r="J44" i="26" s="1"/>
  <c r="K44" i="26" s="1"/>
  <c r="L44" i="26" s="1"/>
  <c r="M44" i="26" s="1"/>
  <c r="N44" i="26" s="1"/>
  <c r="O44" i="26" s="1"/>
  <c r="P44" i="26" s="1"/>
  <c r="Q44" i="26" s="1"/>
  <c r="R44" i="26" s="1"/>
  <c r="S44" i="26" s="1"/>
  <c r="T44" i="26" s="1"/>
  <c r="U44" i="26" s="1"/>
  <c r="V44" i="26" s="1"/>
  <c r="D44" i="26"/>
  <c r="E44" i="26" s="1"/>
  <c r="F44" i="26" s="1"/>
  <c r="AG42" i="26"/>
  <c r="AA42" i="26"/>
  <c r="Z42" i="26"/>
  <c r="T42" i="26"/>
  <c r="S42" i="26"/>
  <c r="M42" i="26"/>
  <c r="L42" i="26"/>
  <c r="F42" i="26"/>
  <c r="E42" i="26"/>
  <c r="AF40" i="26"/>
  <c r="AF41" i="26" s="1"/>
  <c r="O40" i="26"/>
  <c r="AE39" i="26"/>
  <c r="AC39" i="26"/>
  <c r="T37" i="26"/>
  <c r="N36" i="26"/>
  <c r="L36" i="26"/>
  <c r="AI32" i="26"/>
  <c r="BN31" i="26"/>
  <c r="BM31" i="26"/>
  <c r="BL31" i="26"/>
  <c r="BK31" i="26"/>
  <c r="BJ31" i="26"/>
  <c r="BI31" i="26"/>
  <c r="BH31" i="26"/>
  <c r="BG31" i="26"/>
  <c r="BF31" i="26"/>
  <c r="BE31" i="26"/>
  <c r="BD31" i="26"/>
  <c r="BC31" i="26"/>
  <c r="BB31" i="26"/>
  <c r="BA31" i="26"/>
  <c r="AZ31" i="26"/>
  <c r="AY31" i="26"/>
  <c r="AX31" i="26"/>
  <c r="AW31" i="26"/>
  <c r="AV31" i="26"/>
  <c r="AU31" i="26"/>
  <c r="AT31" i="26"/>
  <c r="AS31" i="26"/>
  <c r="AR31" i="26"/>
  <c r="AQ31" i="26"/>
  <c r="AP31" i="26"/>
  <c r="AO31" i="26"/>
  <c r="AN31" i="26"/>
  <c r="AM31" i="26"/>
  <c r="AL31" i="26"/>
  <c r="AK31" i="26"/>
  <c r="BN30" i="26"/>
  <c r="BM30" i="26"/>
  <c r="BL30" i="26"/>
  <c r="BK30" i="26"/>
  <c r="BJ30" i="26"/>
  <c r="BI30" i="26"/>
  <c r="BH30" i="26"/>
  <c r="BG30" i="26"/>
  <c r="BF30" i="26"/>
  <c r="BE30" i="26"/>
  <c r="BD30" i="26"/>
  <c r="BC30" i="26"/>
  <c r="BB30" i="26"/>
  <c r="BA30" i="26"/>
  <c r="AZ30" i="26"/>
  <c r="AY30" i="26"/>
  <c r="AX30" i="26"/>
  <c r="AW30" i="26"/>
  <c r="AV30" i="26"/>
  <c r="AU30" i="26"/>
  <c r="AT30" i="26"/>
  <c r="AS30" i="26"/>
  <c r="AR30" i="26"/>
  <c r="AQ30" i="26"/>
  <c r="AP30" i="26"/>
  <c r="AO30" i="26"/>
  <c r="AN30" i="26"/>
  <c r="AM30" i="26"/>
  <c r="AL30" i="26"/>
  <c r="AK30" i="26"/>
  <c r="AJ30" i="26"/>
  <c r="AH30" i="26"/>
  <c r="BO30" i="26" s="1"/>
  <c r="BN29" i="26"/>
  <c r="BM29" i="26"/>
  <c r="BL29" i="26"/>
  <c r="BK29" i="26"/>
  <c r="BJ29" i="26"/>
  <c r="BI29" i="26"/>
  <c r="BH29" i="26"/>
  <c r="BG29" i="26"/>
  <c r="BF29" i="26"/>
  <c r="BE29" i="26"/>
  <c r="BD29" i="26"/>
  <c r="BC29" i="26"/>
  <c r="BB29" i="26"/>
  <c r="BA29" i="26"/>
  <c r="AZ29" i="26"/>
  <c r="AY29" i="26"/>
  <c r="AX29" i="26"/>
  <c r="AW29" i="26"/>
  <c r="AV29" i="26"/>
  <c r="AU29" i="26"/>
  <c r="AT29" i="26"/>
  <c r="AS29" i="26"/>
  <c r="AR29" i="26"/>
  <c r="AQ29" i="26"/>
  <c r="AP29" i="26"/>
  <c r="AO29" i="26"/>
  <c r="AN29" i="26"/>
  <c r="AM29" i="26"/>
  <c r="AL29" i="26"/>
  <c r="AK29" i="26"/>
  <c r="AJ29" i="26"/>
  <c r="AH29" i="26"/>
  <c r="BO29" i="26" s="1"/>
  <c r="BN28" i="26"/>
  <c r="BM28" i="26"/>
  <c r="BL28" i="26"/>
  <c r="BK28" i="26"/>
  <c r="BJ28" i="26"/>
  <c r="BI28" i="26"/>
  <c r="BH28" i="26"/>
  <c r="BG28" i="26"/>
  <c r="BF28" i="26"/>
  <c r="BE28" i="26"/>
  <c r="BD28" i="26"/>
  <c r="BC28" i="26"/>
  <c r="BB28" i="26"/>
  <c r="BA28" i="26"/>
  <c r="AZ28" i="26"/>
  <c r="AY28" i="26"/>
  <c r="AX28" i="26"/>
  <c r="AW28" i="26"/>
  <c r="AV28" i="26"/>
  <c r="AU28" i="26"/>
  <c r="AT28" i="26"/>
  <c r="AS28" i="26"/>
  <c r="AR28" i="26"/>
  <c r="AQ28" i="26"/>
  <c r="AP28" i="26"/>
  <c r="AO28" i="26"/>
  <c r="AN28" i="26"/>
  <c r="AM28" i="26"/>
  <c r="AL28" i="26"/>
  <c r="AK28" i="26"/>
  <c r="AJ28" i="26"/>
  <c r="AH28" i="26"/>
  <c r="BO28" i="26" s="1"/>
  <c r="BN27" i="26"/>
  <c r="BM27" i="26"/>
  <c r="BL27" i="26"/>
  <c r="BK27" i="26"/>
  <c r="BJ27" i="26"/>
  <c r="BI27" i="26"/>
  <c r="BH27" i="26"/>
  <c r="BG27" i="26"/>
  <c r="BF27" i="26"/>
  <c r="BE27" i="26"/>
  <c r="BD27" i="26"/>
  <c r="BC27" i="26"/>
  <c r="BB27" i="26"/>
  <c r="BA27" i="26"/>
  <c r="AZ27" i="26"/>
  <c r="AY27" i="26"/>
  <c r="AX27" i="26"/>
  <c r="AW27" i="26"/>
  <c r="AV27" i="26"/>
  <c r="AU27" i="26"/>
  <c r="AT27" i="26"/>
  <c r="AS27" i="26"/>
  <c r="AR27" i="26"/>
  <c r="AQ27" i="26"/>
  <c r="AP27" i="26"/>
  <c r="AO27" i="26"/>
  <c r="AN27" i="26"/>
  <c r="AM27" i="26"/>
  <c r="AL27" i="26"/>
  <c r="AK27" i="26"/>
  <c r="AJ27" i="26"/>
  <c r="AH27" i="26"/>
  <c r="BO27" i="26" s="1"/>
  <c r="BN26" i="26"/>
  <c r="BM26" i="26"/>
  <c r="BL26" i="26"/>
  <c r="BK26" i="26"/>
  <c r="BJ26" i="26"/>
  <c r="BI26" i="26"/>
  <c r="BH26" i="26"/>
  <c r="BG26" i="26"/>
  <c r="BF26" i="26"/>
  <c r="BE26" i="26"/>
  <c r="BD26" i="26"/>
  <c r="BC26" i="26"/>
  <c r="BB26" i="26"/>
  <c r="BA26" i="26"/>
  <c r="AZ26" i="26"/>
  <c r="AY26" i="26"/>
  <c r="AX26" i="26"/>
  <c r="AW26" i="26"/>
  <c r="AV26" i="26"/>
  <c r="AU26" i="26"/>
  <c r="AT26" i="26"/>
  <c r="AS26" i="26"/>
  <c r="AR26" i="26"/>
  <c r="AQ26" i="26"/>
  <c r="AP26" i="26"/>
  <c r="AO26" i="26"/>
  <c r="AN26" i="26"/>
  <c r="AM26" i="26"/>
  <c r="AL26" i="26"/>
  <c r="AK26" i="26"/>
  <c r="AJ26" i="26"/>
  <c r="AH26" i="26"/>
  <c r="BO26" i="26" s="1"/>
  <c r="BN25" i="26"/>
  <c r="BM25" i="26"/>
  <c r="BL25" i="26"/>
  <c r="BK25" i="26"/>
  <c r="BJ25" i="26"/>
  <c r="BI25" i="26"/>
  <c r="BH25" i="26"/>
  <c r="BG25" i="26"/>
  <c r="BF25" i="26"/>
  <c r="BE25" i="26"/>
  <c r="BD25" i="26"/>
  <c r="BC25" i="26"/>
  <c r="BB25" i="26"/>
  <c r="BA25" i="26"/>
  <c r="AZ25" i="26"/>
  <c r="AY25" i="26"/>
  <c r="AX25" i="26"/>
  <c r="AW25" i="26"/>
  <c r="AV25" i="26"/>
  <c r="AU25" i="26"/>
  <c r="AT25" i="26"/>
  <c r="AS25" i="26"/>
  <c r="AR25" i="26"/>
  <c r="AQ25" i="26"/>
  <c r="AP25" i="26"/>
  <c r="AO25" i="26"/>
  <c r="AN25" i="26"/>
  <c r="AM25" i="26"/>
  <c r="AL25" i="26"/>
  <c r="AK25" i="26"/>
  <c r="AJ25" i="26"/>
  <c r="AH25" i="26"/>
  <c r="BO25" i="26" s="1"/>
  <c r="BN24" i="26"/>
  <c r="BM24" i="26"/>
  <c r="BL24" i="26"/>
  <c r="BK24" i="26"/>
  <c r="BJ24" i="26"/>
  <c r="BI24" i="26"/>
  <c r="BG24" i="26"/>
  <c r="BF24" i="26"/>
  <c r="BE24" i="26"/>
  <c r="BD24" i="26"/>
  <c r="BC24" i="26"/>
  <c r="BB24" i="26"/>
  <c r="BA24" i="26"/>
  <c r="AZ24" i="26"/>
  <c r="AY24" i="26"/>
  <c r="AX24" i="26"/>
  <c r="AW24" i="26"/>
  <c r="AV24" i="26"/>
  <c r="AU24" i="26"/>
  <c r="AT24" i="26"/>
  <c r="AR24" i="26"/>
  <c r="AQ24" i="26"/>
  <c r="AP24" i="26"/>
  <c r="AO24" i="26"/>
  <c r="AM24" i="26"/>
  <c r="AJ24" i="26"/>
  <c r="BH24" i="26"/>
  <c r="AS24" i="26"/>
  <c r="AN24" i="26"/>
  <c r="BN23" i="26"/>
  <c r="BM23" i="26"/>
  <c r="BL23" i="26"/>
  <c r="BK23" i="26"/>
  <c r="BJ23" i="26"/>
  <c r="BI23" i="26"/>
  <c r="BH23" i="26"/>
  <c r="BG23" i="26"/>
  <c r="BF23" i="26"/>
  <c r="BE23" i="26"/>
  <c r="BD23" i="26"/>
  <c r="BC23" i="26"/>
  <c r="BB23" i="26"/>
  <c r="BA23" i="26"/>
  <c r="AZ23" i="26"/>
  <c r="AY23" i="26"/>
  <c r="AX23" i="26"/>
  <c r="AW23" i="26"/>
  <c r="AV23" i="26"/>
  <c r="AU23" i="26"/>
  <c r="AT23" i="26"/>
  <c r="AS23" i="26"/>
  <c r="AR23" i="26"/>
  <c r="AQ23" i="26"/>
  <c r="AP23" i="26"/>
  <c r="AO23" i="26"/>
  <c r="AN23" i="26"/>
  <c r="AM23" i="26"/>
  <c r="AL23" i="26"/>
  <c r="AK23" i="26"/>
  <c r="AJ23" i="26"/>
  <c r="AH23" i="26"/>
  <c r="BO23" i="26" s="1"/>
  <c r="BN22" i="26"/>
  <c r="BM22" i="26"/>
  <c r="BL22" i="26"/>
  <c r="BK22" i="26"/>
  <c r="BJ22" i="26"/>
  <c r="BI22" i="26"/>
  <c r="BH22" i="26"/>
  <c r="BG22" i="26"/>
  <c r="BF22" i="26"/>
  <c r="BE22" i="26"/>
  <c r="BD22" i="26"/>
  <c r="BC22" i="26"/>
  <c r="BB22" i="26"/>
  <c r="BA22" i="26"/>
  <c r="AZ22" i="26"/>
  <c r="AY22" i="26"/>
  <c r="AX22" i="26"/>
  <c r="AW22" i="26"/>
  <c r="AV22" i="26"/>
  <c r="AU22" i="26"/>
  <c r="AT22" i="26"/>
  <c r="AS22" i="26"/>
  <c r="AR22" i="26"/>
  <c r="AQ22" i="26"/>
  <c r="AP22" i="26"/>
  <c r="AO22" i="26"/>
  <c r="AN22" i="26"/>
  <c r="AM22" i="26"/>
  <c r="AL22" i="26"/>
  <c r="AK22" i="26"/>
  <c r="AJ22" i="26"/>
  <c r="AH22" i="26"/>
  <c r="BO22" i="26" s="1"/>
  <c r="BN21" i="26"/>
  <c r="BM21" i="26"/>
  <c r="BL21" i="26"/>
  <c r="BK21" i="26"/>
  <c r="BJ21" i="26"/>
  <c r="BI21" i="26"/>
  <c r="BH21" i="26"/>
  <c r="BG21" i="26"/>
  <c r="BF21" i="26"/>
  <c r="BE21" i="26"/>
  <c r="BD21" i="26"/>
  <c r="BC21" i="26"/>
  <c r="BB21" i="26"/>
  <c r="BA21" i="26"/>
  <c r="AZ21" i="26"/>
  <c r="AY21" i="26"/>
  <c r="AX21" i="26"/>
  <c r="AW21" i="26"/>
  <c r="AV21" i="26"/>
  <c r="AU21" i="26"/>
  <c r="AT21" i="26"/>
  <c r="AS21" i="26"/>
  <c r="AR21" i="26"/>
  <c r="AQ21" i="26"/>
  <c r="AP21" i="26"/>
  <c r="AO21" i="26"/>
  <c r="AN21" i="26"/>
  <c r="AM21" i="26"/>
  <c r="AL21" i="26"/>
  <c r="AK21" i="26"/>
  <c r="AJ21" i="26"/>
  <c r="AH21" i="26"/>
  <c r="BO21" i="26" s="1"/>
  <c r="BN20" i="26"/>
  <c r="BM20" i="26"/>
  <c r="BL20" i="26"/>
  <c r="BK20" i="26"/>
  <c r="BJ20" i="26"/>
  <c r="BI20" i="26"/>
  <c r="BH20" i="26"/>
  <c r="BG20" i="26"/>
  <c r="BF20" i="26"/>
  <c r="BE20" i="26"/>
  <c r="BD20" i="26"/>
  <c r="BC20" i="26"/>
  <c r="BB20" i="26"/>
  <c r="BA20" i="26"/>
  <c r="AZ20" i="26"/>
  <c r="AY20" i="26"/>
  <c r="AX20" i="26"/>
  <c r="AW20" i="26"/>
  <c r="AV20" i="26"/>
  <c r="AU20" i="26"/>
  <c r="AT20" i="26"/>
  <c r="AS20" i="26"/>
  <c r="AR20" i="26"/>
  <c r="AQ20" i="26"/>
  <c r="AP20" i="26"/>
  <c r="AO20" i="26"/>
  <c r="AN20" i="26"/>
  <c r="AM20" i="26"/>
  <c r="AL20" i="26"/>
  <c r="AK20" i="26"/>
  <c r="AJ20" i="26"/>
  <c r="AH20" i="26"/>
  <c r="BO20" i="26" s="1"/>
  <c r="BN19" i="26"/>
  <c r="BM19" i="26"/>
  <c r="BL19" i="26"/>
  <c r="BK19" i="26"/>
  <c r="BJ19" i="26"/>
  <c r="BI19" i="26"/>
  <c r="BH19" i="26"/>
  <c r="BG19" i="26"/>
  <c r="BF19" i="26"/>
  <c r="BE19" i="26"/>
  <c r="BD19" i="26"/>
  <c r="BC19" i="26"/>
  <c r="BB19" i="26"/>
  <c r="BA19" i="26"/>
  <c r="AZ19" i="26"/>
  <c r="AY19" i="26"/>
  <c r="AX19" i="26"/>
  <c r="AW19" i="26"/>
  <c r="AV19" i="26"/>
  <c r="AU19" i="26"/>
  <c r="AT19" i="26"/>
  <c r="AS19" i="26"/>
  <c r="AR19" i="26"/>
  <c r="AQ19" i="26"/>
  <c r="AP19" i="26"/>
  <c r="AO19" i="26"/>
  <c r="AN19" i="26"/>
  <c r="AM19" i="26"/>
  <c r="AL19" i="26"/>
  <c r="AK19" i="26"/>
  <c r="AJ19" i="26"/>
  <c r="AH19" i="26"/>
  <c r="BO19" i="26" s="1"/>
  <c r="BN18" i="26"/>
  <c r="BM18" i="26"/>
  <c r="BL18" i="26"/>
  <c r="BK18" i="26"/>
  <c r="BJ18" i="26"/>
  <c r="BI18" i="26"/>
  <c r="BH18" i="26"/>
  <c r="BG18" i="26"/>
  <c r="BF18" i="26"/>
  <c r="BE18" i="26"/>
  <c r="BD18" i="26"/>
  <c r="BC18" i="26"/>
  <c r="BB18" i="26"/>
  <c r="BA18" i="26"/>
  <c r="AZ18" i="26"/>
  <c r="AY18" i="26"/>
  <c r="AX18" i="26"/>
  <c r="AW18" i="26"/>
  <c r="AV18" i="26"/>
  <c r="AU18" i="26"/>
  <c r="AT18" i="26"/>
  <c r="AS18" i="26"/>
  <c r="AR18" i="26"/>
  <c r="AQ18" i="26"/>
  <c r="AP18" i="26"/>
  <c r="AO18" i="26"/>
  <c r="AN18" i="26"/>
  <c r="AM18" i="26"/>
  <c r="AL18" i="26"/>
  <c r="AK18" i="26"/>
  <c r="AJ18" i="26"/>
  <c r="AH18" i="26"/>
  <c r="BO18" i="26" s="1"/>
  <c r="BN17" i="26"/>
  <c r="BM17" i="26"/>
  <c r="BL17" i="26"/>
  <c r="BK17" i="26"/>
  <c r="BJ17" i="26"/>
  <c r="BI17" i="26"/>
  <c r="BH17" i="26"/>
  <c r="BG17" i="26"/>
  <c r="BF17" i="26"/>
  <c r="BE17" i="26"/>
  <c r="BD17" i="26"/>
  <c r="BC17" i="26"/>
  <c r="BB17" i="26"/>
  <c r="BA17" i="26"/>
  <c r="AZ17" i="26"/>
  <c r="AY17" i="26"/>
  <c r="AX17" i="26"/>
  <c r="AW17" i="26"/>
  <c r="AV17" i="26"/>
  <c r="AU17" i="26"/>
  <c r="AT17" i="26"/>
  <c r="AS17" i="26"/>
  <c r="AR17" i="26"/>
  <c r="AQ17" i="26"/>
  <c r="AP17" i="26"/>
  <c r="AO17" i="26"/>
  <c r="AN17" i="26"/>
  <c r="AM17" i="26"/>
  <c r="AL17" i="26"/>
  <c r="AK17" i="26"/>
  <c r="AJ17" i="26"/>
  <c r="AH17" i="26"/>
  <c r="BO17" i="26" s="1"/>
  <c r="BN16" i="26"/>
  <c r="BM16" i="26"/>
  <c r="BL16" i="26"/>
  <c r="BK16" i="26"/>
  <c r="BJ16" i="26"/>
  <c r="BI16" i="26"/>
  <c r="BH16" i="26"/>
  <c r="BG16" i="26"/>
  <c r="BF16" i="26"/>
  <c r="BE16" i="26"/>
  <c r="BD16" i="26"/>
  <c r="BC16" i="26"/>
  <c r="BB16" i="26"/>
  <c r="BA16" i="26"/>
  <c r="AZ16" i="26"/>
  <c r="AY16" i="26"/>
  <c r="AX16" i="26"/>
  <c r="AW16" i="26"/>
  <c r="AV16" i="26"/>
  <c r="AU16" i="26"/>
  <c r="AT16" i="26"/>
  <c r="AS16" i="26"/>
  <c r="AR16" i="26"/>
  <c r="AQ16" i="26"/>
  <c r="AP16" i="26"/>
  <c r="AO16" i="26"/>
  <c r="AN16" i="26"/>
  <c r="AM16" i="26"/>
  <c r="AL16" i="26"/>
  <c r="AK16" i="26"/>
  <c r="AJ16" i="26"/>
  <c r="AH16" i="26"/>
  <c r="BO16" i="26" s="1"/>
  <c r="BN15" i="26"/>
  <c r="BM15" i="26"/>
  <c r="BL15" i="26"/>
  <c r="BK15" i="26"/>
  <c r="BJ15" i="26"/>
  <c r="BI15" i="26"/>
  <c r="BH15" i="26"/>
  <c r="BG15" i="26"/>
  <c r="BF15" i="26"/>
  <c r="BE15" i="26"/>
  <c r="BD15" i="26"/>
  <c r="BC15" i="26"/>
  <c r="BB15" i="26"/>
  <c r="BA15" i="26"/>
  <c r="AZ15" i="26"/>
  <c r="AY15" i="26"/>
  <c r="AX15" i="26"/>
  <c r="AW15" i="26"/>
  <c r="AV15" i="26"/>
  <c r="AU15" i="26"/>
  <c r="AT15" i="26"/>
  <c r="AS15" i="26"/>
  <c r="AR15" i="26"/>
  <c r="AQ15" i="26"/>
  <c r="AP15" i="26"/>
  <c r="AO15" i="26"/>
  <c r="AN15" i="26"/>
  <c r="AM15" i="26"/>
  <c r="AL15" i="26"/>
  <c r="AK15" i="26"/>
  <c r="AJ15" i="26"/>
  <c r="AH15" i="26"/>
  <c r="BO15" i="26" s="1"/>
  <c r="BN14" i="26"/>
  <c r="BM14" i="26"/>
  <c r="BL14" i="26"/>
  <c r="BK14" i="26"/>
  <c r="BJ14" i="26"/>
  <c r="BI14" i="26"/>
  <c r="BH14" i="26"/>
  <c r="BG14" i="26"/>
  <c r="BF14" i="26"/>
  <c r="BE14" i="26"/>
  <c r="BD14" i="26"/>
  <c r="BC14" i="26"/>
  <c r="BB14" i="26"/>
  <c r="BA14" i="26"/>
  <c r="AZ14" i="26"/>
  <c r="AY14" i="26"/>
  <c r="AX14" i="26"/>
  <c r="AW14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AJ14" i="26"/>
  <c r="AH14" i="26"/>
  <c r="BO14" i="26" s="1"/>
  <c r="BN13" i="26"/>
  <c r="BM13" i="26"/>
  <c r="BL13" i="26"/>
  <c r="BK13" i="26"/>
  <c r="BJ13" i="26"/>
  <c r="BI13" i="26"/>
  <c r="BG13" i="26"/>
  <c r="BF13" i="26"/>
  <c r="BD13" i="26"/>
  <c r="BC13" i="26"/>
  <c r="AY13" i="26"/>
  <c r="AX13" i="26"/>
  <c r="AV13" i="26"/>
  <c r="AU13" i="26"/>
  <c r="AT13" i="26"/>
  <c r="AS13" i="26"/>
  <c r="AR13" i="26"/>
  <c r="AQ13" i="26"/>
  <c r="AP13" i="26"/>
  <c r="AO13" i="26"/>
  <c r="AN13" i="26"/>
  <c r="AM13" i="26"/>
  <c r="AL13" i="26"/>
  <c r="AK13" i="26"/>
  <c r="AJ13" i="26"/>
  <c r="BH13" i="26"/>
  <c r="BE13" i="26"/>
  <c r="BB13" i="26"/>
  <c r="AZ13" i="26"/>
  <c r="AH13" i="26"/>
  <c r="BO13" i="26" s="1"/>
  <c r="BN12" i="26"/>
  <c r="BM12" i="26"/>
  <c r="BL12" i="26"/>
  <c r="BK12" i="26"/>
  <c r="BJ12" i="26"/>
  <c r="BI12" i="26"/>
  <c r="BH12" i="26"/>
  <c r="BG12" i="26"/>
  <c r="BF12" i="26"/>
  <c r="BE12" i="26"/>
  <c r="BD12" i="26"/>
  <c r="BC12" i="26"/>
  <c r="BB12" i="26"/>
  <c r="BA12" i="26"/>
  <c r="AZ12" i="26"/>
  <c r="AY12" i="26"/>
  <c r="AX12" i="26"/>
  <c r="AW12" i="26"/>
  <c r="AV12" i="26"/>
  <c r="AU12" i="26"/>
  <c r="AT12" i="26"/>
  <c r="AS12" i="26"/>
  <c r="AR12" i="26"/>
  <c r="AQ12" i="26"/>
  <c r="AP12" i="26"/>
  <c r="AO12" i="26"/>
  <c r="AN12" i="26"/>
  <c r="AM12" i="26"/>
  <c r="AL12" i="26"/>
  <c r="AK12" i="26"/>
  <c r="AH12" i="26"/>
  <c r="BO12" i="26" s="1"/>
  <c r="BN11" i="26"/>
  <c r="BM11" i="26"/>
  <c r="BL11" i="26"/>
  <c r="BK11" i="26"/>
  <c r="BJ11" i="26"/>
  <c r="BI11" i="26"/>
  <c r="BH11" i="26"/>
  <c r="BG11" i="26"/>
  <c r="BF11" i="26"/>
  <c r="BE11" i="26"/>
  <c r="BD11" i="26"/>
  <c r="BC11" i="26"/>
  <c r="BB11" i="26"/>
  <c r="BA11" i="26"/>
  <c r="AZ11" i="26"/>
  <c r="AY11" i="26"/>
  <c r="AX11" i="26"/>
  <c r="AW11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H11" i="26"/>
  <c r="BO11" i="26" s="1"/>
  <c r="BN10" i="26"/>
  <c r="BM10" i="26"/>
  <c r="BL10" i="26"/>
  <c r="BK10" i="26"/>
  <c r="BJ10" i="26"/>
  <c r="BI10" i="26"/>
  <c r="BH10" i="26"/>
  <c r="BG10" i="26"/>
  <c r="BF10" i="26"/>
  <c r="BE10" i="26"/>
  <c r="BD10" i="26"/>
  <c r="BC10" i="26"/>
  <c r="BB10" i="26"/>
  <c r="BA10" i="26"/>
  <c r="AZ10" i="26"/>
  <c r="AY10" i="26"/>
  <c r="AX10" i="26"/>
  <c r="AW10" i="26"/>
  <c r="AV10" i="26"/>
  <c r="AU10" i="26"/>
  <c r="AT10" i="26"/>
  <c r="AS10" i="26"/>
  <c r="AR10" i="26"/>
  <c r="AQ10" i="26"/>
  <c r="AP10" i="26"/>
  <c r="AO10" i="26"/>
  <c r="AN10" i="26"/>
  <c r="AM10" i="26"/>
  <c r="AL10" i="26"/>
  <c r="AK10" i="26"/>
  <c r="AJ10" i="26"/>
  <c r="AH10" i="26"/>
  <c r="BO10" i="26" s="1"/>
  <c r="BN9" i="26"/>
  <c r="BM9" i="26"/>
  <c r="BL9" i="26"/>
  <c r="BK9" i="26"/>
  <c r="BJ9" i="26"/>
  <c r="BI9" i="26"/>
  <c r="BH9" i="26"/>
  <c r="BG9" i="26"/>
  <c r="BF9" i="26"/>
  <c r="BE9" i="26"/>
  <c r="BD9" i="26"/>
  <c r="BC9" i="26"/>
  <c r="BB9" i="26"/>
  <c r="BA9" i="26"/>
  <c r="AZ9" i="26"/>
  <c r="AY9" i="26"/>
  <c r="AX9" i="26"/>
  <c r="AW9" i="26"/>
  <c r="AV9" i="26"/>
  <c r="AU9" i="26"/>
  <c r="AT9" i="26"/>
  <c r="AS9" i="26"/>
  <c r="AR9" i="26"/>
  <c r="AQ9" i="26"/>
  <c r="AP9" i="26"/>
  <c r="AO9" i="26"/>
  <c r="AN9" i="26"/>
  <c r="AM9" i="26"/>
  <c r="AL9" i="26"/>
  <c r="AK9" i="26"/>
  <c r="AJ9" i="26"/>
  <c r="AH9" i="26"/>
  <c r="BO9" i="26" s="1"/>
  <c r="BN8" i="26"/>
  <c r="BM8" i="26"/>
  <c r="BL8" i="26"/>
  <c r="BK8" i="26"/>
  <c r="BJ8" i="26"/>
  <c r="BI8" i="26"/>
  <c r="BH8" i="26"/>
  <c r="BG8" i="26"/>
  <c r="BF8" i="26"/>
  <c r="BE8" i="26"/>
  <c r="BD8" i="26"/>
  <c r="BC8" i="26"/>
  <c r="BB8" i="26"/>
  <c r="BA8" i="26"/>
  <c r="AZ8" i="26"/>
  <c r="AY8" i="26"/>
  <c r="AX8" i="26"/>
  <c r="AW8" i="26"/>
  <c r="AV8" i="26"/>
  <c r="AU8" i="26"/>
  <c r="AT8" i="26"/>
  <c r="AS8" i="26"/>
  <c r="AR8" i="26"/>
  <c r="AQ8" i="26"/>
  <c r="AP8" i="26"/>
  <c r="AO8" i="26"/>
  <c r="AN8" i="26"/>
  <c r="AM8" i="26"/>
  <c r="AL8" i="26"/>
  <c r="AK8" i="26"/>
  <c r="AJ8" i="26"/>
  <c r="AH8" i="26"/>
  <c r="BO8" i="26" s="1"/>
  <c r="BN7" i="26"/>
  <c r="BM7" i="26"/>
  <c r="BL7" i="26"/>
  <c r="BK7" i="26"/>
  <c r="BJ7" i="26"/>
  <c r="BI7" i="26"/>
  <c r="BH7" i="26"/>
  <c r="BG7" i="26"/>
  <c r="BF7" i="26"/>
  <c r="BE7" i="26"/>
  <c r="BD7" i="26"/>
  <c r="BC7" i="26"/>
  <c r="BB7" i="26"/>
  <c r="BA7" i="26"/>
  <c r="AZ7" i="26"/>
  <c r="AY7" i="26"/>
  <c r="AX7" i="26"/>
  <c r="AW7" i="26"/>
  <c r="AV7" i="26"/>
  <c r="AU7" i="26"/>
  <c r="AT7" i="26"/>
  <c r="AS7" i="26"/>
  <c r="AR7" i="26"/>
  <c r="AQ7" i="26"/>
  <c r="AP7" i="26"/>
  <c r="AO7" i="26"/>
  <c r="AN7" i="26"/>
  <c r="AM7" i="26"/>
  <c r="AL7" i="26"/>
  <c r="AK7" i="26"/>
  <c r="AJ7" i="26"/>
  <c r="AH7" i="26"/>
  <c r="BO7" i="26" s="1"/>
  <c r="BN6" i="26"/>
  <c r="BM6" i="26"/>
  <c r="BL6" i="26"/>
  <c r="BK6" i="26"/>
  <c r="BJ6" i="26"/>
  <c r="BI6" i="26"/>
  <c r="BH6" i="26"/>
  <c r="BG6" i="26"/>
  <c r="BF6" i="26"/>
  <c r="BE6" i="26"/>
  <c r="BD6" i="26"/>
  <c r="BC6" i="26"/>
  <c r="BB6" i="26"/>
  <c r="BA6" i="26"/>
  <c r="AZ6" i="26"/>
  <c r="AY6" i="26"/>
  <c r="AX6" i="26"/>
  <c r="AW6" i="26"/>
  <c r="AT6" i="26"/>
  <c r="AQ6" i="26"/>
  <c r="AO6" i="26"/>
  <c r="AL6" i="26"/>
  <c r="AV6" i="26"/>
  <c r="AU6" i="26"/>
  <c r="AP6" i="26"/>
  <c r="AN6" i="26"/>
  <c r="AH6" i="26"/>
  <c r="BO6" i="26" s="1"/>
  <c r="D45" i="26"/>
  <c r="E45" i="26" s="1"/>
  <c r="F45" i="26" s="1"/>
  <c r="BN5" i="26"/>
  <c r="BM5" i="26"/>
  <c r="BL5" i="26"/>
  <c r="BK5" i="26"/>
  <c r="BJ5" i="26"/>
  <c r="BI5" i="26"/>
  <c r="BH5" i="26"/>
  <c r="BG5" i="26"/>
  <c r="BF5" i="26"/>
  <c r="BE5" i="26"/>
  <c r="BD5" i="26"/>
  <c r="BC5" i="26"/>
  <c r="BB5" i="26"/>
  <c r="BA5" i="26"/>
  <c r="AZ5" i="26"/>
  <c r="AY5" i="26"/>
  <c r="AX5" i="26"/>
  <c r="AW5" i="26"/>
  <c r="AV5" i="26"/>
  <c r="AU5" i="26"/>
  <c r="AT5" i="26"/>
  <c r="AS5" i="26"/>
  <c r="AR5" i="26"/>
  <c r="AQ5" i="26"/>
  <c r="AP5" i="26"/>
  <c r="AO5" i="26"/>
  <c r="AN5" i="26"/>
  <c r="AM5" i="26"/>
  <c r="AL5" i="26"/>
  <c r="AK5" i="26"/>
  <c r="AJ5" i="26"/>
  <c r="AH5" i="26"/>
  <c r="R113" i="14"/>
  <c r="H113" i="14"/>
  <c r="AI29" i="24"/>
  <c r="AI30" i="24"/>
  <c r="AI5" i="24"/>
  <c r="AI8" i="24"/>
  <c r="AI7" i="24"/>
  <c r="AI11" i="24"/>
  <c r="AI6" i="24"/>
  <c r="AI12" i="24"/>
  <c r="AI25" i="24"/>
  <c r="AI24" i="24"/>
  <c r="AI22" i="24"/>
  <c r="AI13" i="24"/>
  <c r="AI23" i="24"/>
  <c r="AI9" i="24"/>
  <c r="AI15" i="24"/>
  <c r="AI16" i="24"/>
  <c r="AI18" i="24"/>
  <c r="AI14" i="24"/>
  <c r="AI21" i="24"/>
  <c r="R112" i="14"/>
  <c r="H112" i="14"/>
  <c r="H111" i="14"/>
  <c r="R111" i="14"/>
  <c r="AH32" i="24"/>
  <c r="AL24" i="26" l="1"/>
  <c r="E32" i="26"/>
  <c r="BO31" i="26"/>
  <c r="N67" i="17"/>
  <c r="N68" i="17" s="1"/>
  <c r="N58" i="17"/>
  <c r="N59" i="17" s="1"/>
  <c r="N37" i="17"/>
  <c r="N38" i="17" s="1"/>
  <c r="N43" i="17"/>
  <c r="N44" i="17" s="1"/>
  <c r="N40" i="17"/>
  <c r="N41" i="17" s="1"/>
  <c r="N19" i="17"/>
  <c r="N82" i="17"/>
  <c r="N83" i="17" s="1"/>
  <c r="N70" i="17"/>
  <c r="N71" i="17" s="1"/>
  <c r="N4" i="17"/>
  <c r="N13" i="17"/>
  <c r="N10" i="17"/>
  <c r="N22" i="17"/>
  <c r="N23" i="17" s="1"/>
  <c r="N7" i="17"/>
  <c r="N25" i="17"/>
  <c r="N26" i="17" s="1"/>
  <c r="N28" i="17"/>
  <c r="N29" i="17" s="1"/>
  <c r="N34" i="17"/>
  <c r="N35" i="17" s="1"/>
  <c r="N64" i="17"/>
  <c r="N65" i="17" s="1"/>
  <c r="N16" i="17"/>
  <c r="N31" i="17"/>
  <c r="N32" i="17" s="1"/>
  <c r="N52" i="17"/>
  <c r="N53" i="17" s="1"/>
  <c r="N46" i="17"/>
  <c r="N47" i="17" s="1"/>
  <c r="N73" i="17"/>
  <c r="N74" i="17" s="1"/>
  <c r="N55" i="17"/>
  <c r="N56" i="17" s="1"/>
  <c r="N49" i="17"/>
  <c r="N50" i="17" s="1"/>
  <c r="N76" i="17"/>
  <c r="N77" i="17" s="1"/>
  <c r="AK24" i="26"/>
  <c r="AJ6" i="26"/>
  <c r="AR6" i="26"/>
  <c r="BA13" i="26"/>
  <c r="AK6" i="26"/>
  <c r="AS6" i="26"/>
  <c r="AM6" i="26"/>
  <c r="D63" i="26"/>
  <c r="E63" i="26" s="1"/>
  <c r="F63" i="26" s="1"/>
  <c r="AW13" i="26"/>
  <c r="AH24" i="26"/>
  <c r="I45" i="26"/>
  <c r="J45" i="26" s="1"/>
  <c r="K45" i="26" s="1"/>
  <c r="L45" i="26" s="1"/>
  <c r="M45" i="26" s="1"/>
  <c r="N45" i="26" s="1"/>
  <c r="O45" i="26" s="1"/>
  <c r="P45" i="26" s="1"/>
  <c r="Q45" i="26" s="1"/>
  <c r="R45" i="26" s="1"/>
  <c r="S45" i="26" s="1"/>
  <c r="T45" i="26" s="1"/>
  <c r="U45" i="26" s="1"/>
  <c r="V45" i="26" s="1"/>
  <c r="BO5" i="26"/>
  <c r="D32" i="26"/>
  <c r="R110" i="14"/>
  <c r="H110" i="14"/>
  <c r="R109" i="14"/>
  <c r="H109" i="14"/>
  <c r="R108" i="14"/>
  <c r="H108" i="14"/>
  <c r="AH32" i="26" l="1"/>
  <c r="AH33" i="26" s="1"/>
  <c r="N61" i="17"/>
  <c r="N62" i="17" s="1"/>
  <c r="BO24" i="26"/>
  <c r="R107" i="14"/>
  <c r="H107" i="14"/>
  <c r="H106" i="14"/>
  <c r="R106" i="14"/>
  <c r="AA24" i="24"/>
  <c r="AA13" i="24"/>
  <c r="H105" i="14"/>
  <c r="R105" i="14"/>
  <c r="Z13" i="24"/>
  <c r="H104" i="14"/>
  <c r="R104" i="14"/>
  <c r="Y13" i="24"/>
  <c r="H103" i="14"/>
  <c r="R103" i="14"/>
  <c r="X13" i="24"/>
  <c r="R102" i="14"/>
  <c r="H102" i="14"/>
  <c r="W13" i="24"/>
  <c r="V24" i="24"/>
  <c r="V13" i="24"/>
  <c r="R101" i="14"/>
  <c r="H101" i="14"/>
  <c r="H100" i="14"/>
  <c r="R100" i="14"/>
  <c r="U13" i="24"/>
  <c r="H99" i="14"/>
  <c r="R99" i="14"/>
  <c r="T13" i="24"/>
  <c r="H98" i="14"/>
  <c r="R98" i="14"/>
  <c r="S13" i="24"/>
  <c r="R97" i="14"/>
  <c r="H97" i="14"/>
  <c r="R13" i="24"/>
  <c r="R96" i="14"/>
  <c r="H96" i="14"/>
  <c r="Q13" i="24"/>
  <c r="Q24" i="24"/>
  <c r="H95" i="14"/>
  <c r="R95" i="14"/>
  <c r="P13" i="24"/>
  <c r="AH35" i="26" l="1"/>
  <c r="AH34" i="26"/>
  <c r="AH36" i="26"/>
  <c r="H94" i="14"/>
  <c r="R94" i="14"/>
  <c r="O13" i="24"/>
  <c r="O6" i="24"/>
  <c r="R93" i="14"/>
  <c r="H93" i="14"/>
  <c r="N6" i="24"/>
  <c r="M6" i="24"/>
  <c r="R92" i="14"/>
  <c r="H92" i="14"/>
  <c r="H91" i="14"/>
  <c r="R91" i="14"/>
  <c r="L6" i="24"/>
  <c r="L24" i="24"/>
  <c r="R90" i="14"/>
  <c r="H90" i="14"/>
  <c r="K6" i="24"/>
  <c r="AI5" i="16"/>
  <c r="R89" i="14"/>
  <c r="H89" i="14"/>
  <c r="J6" i="24"/>
  <c r="R88" i="14"/>
  <c r="H88" i="14"/>
  <c r="I6" i="24"/>
  <c r="N20" i="17"/>
  <c r="O20" i="17"/>
  <c r="P20" i="17"/>
  <c r="R20" i="17"/>
  <c r="S20" i="17"/>
  <c r="T20" i="17"/>
  <c r="N17" i="17"/>
  <c r="O17" i="17"/>
  <c r="P17" i="17"/>
  <c r="R17" i="17"/>
  <c r="S17" i="17"/>
  <c r="T17" i="17"/>
  <c r="N14" i="17"/>
  <c r="O14" i="17"/>
  <c r="P14" i="17"/>
  <c r="R14" i="17"/>
  <c r="S14" i="17"/>
  <c r="T14" i="17"/>
  <c r="N11" i="17"/>
  <c r="O11" i="17"/>
  <c r="P11" i="17"/>
  <c r="R11" i="17"/>
  <c r="S11" i="17"/>
  <c r="T11" i="17"/>
  <c r="G86" i="17"/>
  <c r="R87" i="14" l="1"/>
  <c r="H87" i="14"/>
  <c r="H6" i="24"/>
  <c r="H32" i="24" s="1"/>
  <c r="R86" i="14"/>
  <c r="H86" i="14"/>
  <c r="G6" i="24"/>
  <c r="G24" i="24"/>
  <c r="AO24" i="24" s="1"/>
  <c r="R85" i="14"/>
  <c r="H85" i="14"/>
  <c r="F6" i="24"/>
  <c r="AN6" i="24"/>
  <c r="R84" i="14"/>
  <c r="H84" i="14"/>
  <c r="E6" i="24"/>
  <c r="E24" i="24"/>
  <c r="R83" i="14"/>
  <c r="H83" i="14"/>
  <c r="D6" i="24"/>
  <c r="D45" i="24" s="1"/>
  <c r="E45" i="24" s="1"/>
  <c r="D24" i="24"/>
  <c r="D63" i="24" s="1"/>
  <c r="E63" i="24" s="1"/>
  <c r="F63" i="24" s="1"/>
  <c r="I67" i="24"/>
  <c r="J67" i="24" s="1"/>
  <c r="K67" i="24" s="1"/>
  <c r="L67" i="24" s="1"/>
  <c r="M67" i="24" s="1"/>
  <c r="N67" i="24" s="1"/>
  <c r="O67" i="24" s="1"/>
  <c r="P67" i="24" s="1"/>
  <c r="Q67" i="24" s="1"/>
  <c r="R67" i="24" s="1"/>
  <c r="S67" i="24" s="1"/>
  <c r="T67" i="24" s="1"/>
  <c r="U67" i="24" s="1"/>
  <c r="V67" i="24" s="1"/>
  <c r="D67" i="24"/>
  <c r="E67" i="24" s="1"/>
  <c r="F67" i="24" s="1"/>
  <c r="I66" i="24"/>
  <c r="J66" i="24" s="1"/>
  <c r="K66" i="24" s="1"/>
  <c r="L66" i="24" s="1"/>
  <c r="M66" i="24" s="1"/>
  <c r="N66" i="24" s="1"/>
  <c r="O66" i="24" s="1"/>
  <c r="P66" i="24" s="1"/>
  <c r="Q66" i="24" s="1"/>
  <c r="R66" i="24" s="1"/>
  <c r="S66" i="24" s="1"/>
  <c r="T66" i="24" s="1"/>
  <c r="U66" i="24" s="1"/>
  <c r="V66" i="24" s="1"/>
  <c r="D66" i="24"/>
  <c r="E66" i="24" s="1"/>
  <c r="F66" i="24" s="1"/>
  <c r="I65" i="24"/>
  <c r="J65" i="24" s="1"/>
  <c r="K65" i="24" s="1"/>
  <c r="L65" i="24" s="1"/>
  <c r="M65" i="24" s="1"/>
  <c r="N65" i="24" s="1"/>
  <c r="O65" i="24" s="1"/>
  <c r="P65" i="24" s="1"/>
  <c r="Q65" i="24" s="1"/>
  <c r="R65" i="24" s="1"/>
  <c r="S65" i="24" s="1"/>
  <c r="T65" i="24" s="1"/>
  <c r="U65" i="24" s="1"/>
  <c r="V65" i="24" s="1"/>
  <c r="D65" i="24"/>
  <c r="E65" i="24" s="1"/>
  <c r="F65" i="24" s="1"/>
  <c r="I64" i="24"/>
  <c r="J64" i="24" s="1"/>
  <c r="K64" i="24" s="1"/>
  <c r="L64" i="24" s="1"/>
  <c r="M64" i="24" s="1"/>
  <c r="N64" i="24" s="1"/>
  <c r="O64" i="24" s="1"/>
  <c r="P64" i="24" s="1"/>
  <c r="Q64" i="24" s="1"/>
  <c r="R64" i="24" s="1"/>
  <c r="S64" i="24" s="1"/>
  <c r="T64" i="24" s="1"/>
  <c r="U64" i="24" s="1"/>
  <c r="V64" i="24" s="1"/>
  <c r="D64" i="24"/>
  <c r="E64" i="24" s="1"/>
  <c r="F64" i="24" s="1"/>
  <c r="I63" i="24"/>
  <c r="J63" i="24" s="1"/>
  <c r="K63" i="24" s="1"/>
  <c r="L63" i="24" s="1"/>
  <c r="M63" i="24" s="1"/>
  <c r="N63" i="24" s="1"/>
  <c r="O63" i="24" s="1"/>
  <c r="P63" i="24" s="1"/>
  <c r="Q63" i="24" s="1"/>
  <c r="R63" i="24" s="1"/>
  <c r="S63" i="24" s="1"/>
  <c r="T63" i="24" s="1"/>
  <c r="U63" i="24" s="1"/>
  <c r="V63" i="24" s="1"/>
  <c r="I62" i="24"/>
  <c r="J62" i="24" s="1"/>
  <c r="K62" i="24" s="1"/>
  <c r="L62" i="24" s="1"/>
  <c r="M62" i="24" s="1"/>
  <c r="N62" i="24" s="1"/>
  <c r="O62" i="24" s="1"/>
  <c r="P62" i="24" s="1"/>
  <c r="Q62" i="24" s="1"/>
  <c r="R62" i="24" s="1"/>
  <c r="S62" i="24" s="1"/>
  <c r="T62" i="24" s="1"/>
  <c r="U62" i="24" s="1"/>
  <c r="V62" i="24" s="1"/>
  <c r="D62" i="24"/>
  <c r="E62" i="24" s="1"/>
  <c r="F62" i="24" s="1"/>
  <c r="I61" i="24"/>
  <c r="J61" i="24" s="1"/>
  <c r="K61" i="24" s="1"/>
  <c r="L61" i="24" s="1"/>
  <c r="M61" i="24" s="1"/>
  <c r="N61" i="24" s="1"/>
  <c r="O61" i="24" s="1"/>
  <c r="P61" i="24" s="1"/>
  <c r="Q61" i="24" s="1"/>
  <c r="R61" i="24" s="1"/>
  <c r="S61" i="24" s="1"/>
  <c r="T61" i="24" s="1"/>
  <c r="U61" i="24" s="1"/>
  <c r="V61" i="24" s="1"/>
  <c r="D61" i="24"/>
  <c r="E61" i="24" s="1"/>
  <c r="F61" i="24" s="1"/>
  <c r="I60" i="24"/>
  <c r="J60" i="24" s="1"/>
  <c r="K60" i="24" s="1"/>
  <c r="L60" i="24" s="1"/>
  <c r="M60" i="24" s="1"/>
  <c r="N60" i="24" s="1"/>
  <c r="O60" i="24" s="1"/>
  <c r="P60" i="24" s="1"/>
  <c r="Q60" i="24" s="1"/>
  <c r="R60" i="24" s="1"/>
  <c r="S60" i="24" s="1"/>
  <c r="T60" i="24" s="1"/>
  <c r="U60" i="24" s="1"/>
  <c r="V60" i="24" s="1"/>
  <c r="D60" i="24"/>
  <c r="E60" i="24" s="1"/>
  <c r="F60" i="24" s="1"/>
  <c r="I59" i="24"/>
  <c r="J59" i="24" s="1"/>
  <c r="K59" i="24" s="1"/>
  <c r="L59" i="24" s="1"/>
  <c r="M59" i="24" s="1"/>
  <c r="N59" i="24" s="1"/>
  <c r="O59" i="24" s="1"/>
  <c r="P59" i="24" s="1"/>
  <c r="Q59" i="24" s="1"/>
  <c r="R59" i="24" s="1"/>
  <c r="S59" i="24" s="1"/>
  <c r="T59" i="24" s="1"/>
  <c r="U59" i="24" s="1"/>
  <c r="V59" i="24" s="1"/>
  <c r="D59" i="24"/>
  <c r="E59" i="24" s="1"/>
  <c r="F59" i="24" s="1"/>
  <c r="I58" i="24"/>
  <c r="J58" i="24" s="1"/>
  <c r="K58" i="24" s="1"/>
  <c r="L58" i="24" s="1"/>
  <c r="M58" i="24" s="1"/>
  <c r="N58" i="24" s="1"/>
  <c r="O58" i="24" s="1"/>
  <c r="P58" i="24" s="1"/>
  <c r="Q58" i="24" s="1"/>
  <c r="R58" i="24" s="1"/>
  <c r="S58" i="24" s="1"/>
  <c r="T58" i="24" s="1"/>
  <c r="U58" i="24" s="1"/>
  <c r="V58" i="24" s="1"/>
  <c r="D58" i="24"/>
  <c r="E58" i="24" s="1"/>
  <c r="F58" i="24" s="1"/>
  <c r="I57" i="24"/>
  <c r="J57" i="24" s="1"/>
  <c r="K57" i="24" s="1"/>
  <c r="L57" i="24" s="1"/>
  <c r="M57" i="24" s="1"/>
  <c r="N57" i="24" s="1"/>
  <c r="O57" i="24" s="1"/>
  <c r="P57" i="24" s="1"/>
  <c r="Q57" i="24" s="1"/>
  <c r="R57" i="24" s="1"/>
  <c r="S57" i="24" s="1"/>
  <c r="T57" i="24" s="1"/>
  <c r="U57" i="24" s="1"/>
  <c r="V57" i="24" s="1"/>
  <c r="D57" i="24"/>
  <c r="E57" i="24" s="1"/>
  <c r="F57" i="24" s="1"/>
  <c r="I56" i="24"/>
  <c r="J56" i="24" s="1"/>
  <c r="K56" i="24" s="1"/>
  <c r="L56" i="24" s="1"/>
  <c r="M56" i="24" s="1"/>
  <c r="N56" i="24" s="1"/>
  <c r="O56" i="24" s="1"/>
  <c r="P56" i="24" s="1"/>
  <c r="Q56" i="24" s="1"/>
  <c r="R56" i="24" s="1"/>
  <c r="S56" i="24" s="1"/>
  <c r="T56" i="24" s="1"/>
  <c r="U56" i="24" s="1"/>
  <c r="V56" i="24" s="1"/>
  <c r="D56" i="24"/>
  <c r="E56" i="24" s="1"/>
  <c r="F56" i="24" s="1"/>
  <c r="I55" i="24"/>
  <c r="J55" i="24" s="1"/>
  <c r="K55" i="24" s="1"/>
  <c r="L55" i="24" s="1"/>
  <c r="M55" i="24" s="1"/>
  <c r="N55" i="24" s="1"/>
  <c r="O55" i="24" s="1"/>
  <c r="P55" i="24" s="1"/>
  <c r="Q55" i="24" s="1"/>
  <c r="R55" i="24" s="1"/>
  <c r="S55" i="24" s="1"/>
  <c r="T55" i="24" s="1"/>
  <c r="U55" i="24" s="1"/>
  <c r="V55" i="24" s="1"/>
  <c r="D55" i="24"/>
  <c r="E55" i="24" s="1"/>
  <c r="F55" i="24" s="1"/>
  <c r="I54" i="24"/>
  <c r="J54" i="24" s="1"/>
  <c r="K54" i="24" s="1"/>
  <c r="L54" i="24" s="1"/>
  <c r="M54" i="24" s="1"/>
  <c r="N54" i="24" s="1"/>
  <c r="O54" i="24" s="1"/>
  <c r="P54" i="24" s="1"/>
  <c r="Q54" i="24" s="1"/>
  <c r="R54" i="24" s="1"/>
  <c r="S54" i="24" s="1"/>
  <c r="T54" i="24" s="1"/>
  <c r="U54" i="24" s="1"/>
  <c r="V54" i="24" s="1"/>
  <c r="D54" i="24"/>
  <c r="E54" i="24" s="1"/>
  <c r="F54" i="24" s="1"/>
  <c r="I53" i="24"/>
  <c r="J53" i="24" s="1"/>
  <c r="K53" i="24" s="1"/>
  <c r="L53" i="24" s="1"/>
  <c r="M53" i="24" s="1"/>
  <c r="N53" i="24" s="1"/>
  <c r="O53" i="24" s="1"/>
  <c r="P53" i="24" s="1"/>
  <c r="Q53" i="24" s="1"/>
  <c r="R53" i="24" s="1"/>
  <c r="S53" i="24" s="1"/>
  <c r="T53" i="24" s="1"/>
  <c r="U53" i="24" s="1"/>
  <c r="V53" i="24" s="1"/>
  <c r="D53" i="24"/>
  <c r="E53" i="24" s="1"/>
  <c r="F53" i="24" s="1"/>
  <c r="I52" i="24"/>
  <c r="J52" i="24" s="1"/>
  <c r="K52" i="24" s="1"/>
  <c r="L52" i="24" s="1"/>
  <c r="M52" i="24" s="1"/>
  <c r="N52" i="24" s="1"/>
  <c r="O52" i="24" s="1"/>
  <c r="P52" i="24" s="1"/>
  <c r="Q52" i="24" s="1"/>
  <c r="R52" i="24" s="1"/>
  <c r="S52" i="24" s="1"/>
  <c r="T52" i="24" s="1"/>
  <c r="U52" i="24" s="1"/>
  <c r="V52" i="24" s="1"/>
  <c r="D52" i="24"/>
  <c r="E52" i="24" s="1"/>
  <c r="F52" i="24" s="1"/>
  <c r="I51" i="24"/>
  <c r="J51" i="24" s="1"/>
  <c r="K51" i="24" s="1"/>
  <c r="L51" i="24" s="1"/>
  <c r="M51" i="24" s="1"/>
  <c r="N51" i="24" s="1"/>
  <c r="O51" i="24" s="1"/>
  <c r="P51" i="24" s="1"/>
  <c r="Q51" i="24" s="1"/>
  <c r="R51" i="24" s="1"/>
  <c r="S51" i="24" s="1"/>
  <c r="T51" i="24" s="1"/>
  <c r="U51" i="24" s="1"/>
  <c r="V51" i="24" s="1"/>
  <c r="D51" i="24"/>
  <c r="E51" i="24" s="1"/>
  <c r="F51" i="24" s="1"/>
  <c r="I50" i="24"/>
  <c r="J50" i="24" s="1"/>
  <c r="K50" i="24" s="1"/>
  <c r="L50" i="24" s="1"/>
  <c r="M50" i="24" s="1"/>
  <c r="N50" i="24" s="1"/>
  <c r="O50" i="24" s="1"/>
  <c r="P50" i="24" s="1"/>
  <c r="Q50" i="24" s="1"/>
  <c r="R50" i="24" s="1"/>
  <c r="S50" i="24" s="1"/>
  <c r="T50" i="24" s="1"/>
  <c r="U50" i="24" s="1"/>
  <c r="V50" i="24" s="1"/>
  <c r="D50" i="24"/>
  <c r="E50" i="24" s="1"/>
  <c r="F50" i="24" s="1"/>
  <c r="I49" i="24"/>
  <c r="J49" i="24" s="1"/>
  <c r="K49" i="24" s="1"/>
  <c r="L49" i="24" s="1"/>
  <c r="M49" i="24" s="1"/>
  <c r="N49" i="24" s="1"/>
  <c r="O49" i="24" s="1"/>
  <c r="P49" i="24" s="1"/>
  <c r="Q49" i="24" s="1"/>
  <c r="R49" i="24" s="1"/>
  <c r="S49" i="24" s="1"/>
  <c r="T49" i="24" s="1"/>
  <c r="U49" i="24" s="1"/>
  <c r="V49" i="24" s="1"/>
  <c r="D49" i="24"/>
  <c r="E49" i="24" s="1"/>
  <c r="F49" i="24" s="1"/>
  <c r="I48" i="24"/>
  <c r="J48" i="24" s="1"/>
  <c r="K48" i="24" s="1"/>
  <c r="L48" i="24" s="1"/>
  <c r="M48" i="24" s="1"/>
  <c r="N48" i="24" s="1"/>
  <c r="O48" i="24" s="1"/>
  <c r="P48" i="24" s="1"/>
  <c r="Q48" i="24" s="1"/>
  <c r="R48" i="24" s="1"/>
  <c r="S48" i="24" s="1"/>
  <c r="T48" i="24" s="1"/>
  <c r="U48" i="24" s="1"/>
  <c r="V48" i="24" s="1"/>
  <c r="D48" i="24"/>
  <c r="E48" i="24" s="1"/>
  <c r="F48" i="24" s="1"/>
  <c r="I47" i="24"/>
  <c r="J47" i="24" s="1"/>
  <c r="K47" i="24" s="1"/>
  <c r="L47" i="24" s="1"/>
  <c r="M47" i="24" s="1"/>
  <c r="N47" i="24" s="1"/>
  <c r="O47" i="24" s="1"/>
  <c r="P47" i="24" s="1"/>
  <c r="Q47" i="24" s="1"/>
  <c r="R47" i="24" s="1"/>
  <c r="S47" i="24" s="1"/>
  <c r="T47" i="24" s="1"/>
  <c r="U47" i="24" s="1"/>
  <c r="V47" i="24" s="1"/>
  <c r="D47" i="24"/>
  <c r="E47" i="24" s="1"/>
  <c r="F47" i="24" s="1"/>
  <c r="I46" i="24"/>
  <c r="J46" i="24" s="1"/>
  <c r="K46" i="24" s="1"/>
  <c r="L46" i="24" s="1"/>
  <c r="M46" i="24" s="1"/>
  <c r="N46" i="24" s="1"/>
  <c r="O46" i="24" s="1"/>
  <c r="P46" i="24" s="1"/>
  <c r="Q46" i="24" s="1"/>
  <c r="R46" i="24" s="1"/>
  <c r="S46" i="24" s="1"/>
  <c r="T46" i="24" s="1"/>
  <c r="U46" i="24" s="1"/>
  <c r="V46" i="24" s="1"/>
  <c r="D46" i="24"/>
  <c r="E46" i="24" s="1"/>
  <c r="F46" i="24" s="1"/>
  <c r="H45" i="24"/>
  <c r="I45" i="24" s="1"/>
  <c r="J45" i="24" s="1"/>
  <c r="K45" i="24" s="1"/>
  <c r="L45" i="24" s="1"/>
  <c r="M45" i="24" s="1"/>
  <c r="N45" i="24" s="1"/>
  <c r="O45" i="24" s="1"/>
  <c r="P45" i="24" s="1"/>
  <c r="Q45" i="24" s="1"/>
  <c r="R45" i="24" s="1"/>
  <c r="S45" i="24" s="1"/>
  <c r="T45" i="24" s="1"/>
  <c r="U45" i="24" s="1"/>
  <c r="V45" i="24" s="1"/>
  <c r="G45" i="24"/>
  <c r="AM44" i="24"/>
  <c r="I44" i="24"/>
  <c r="J44" i="24" s="1"/>
  <c r="K44" i="24" s="1"/>
  <c r="L44" i="24" s="1"/>
  <c r="M44" i="24" s="1"/>
  <c r="N44" i="24" s="1"/>
  <c r="O44" i="24" s="1"/>
  <c r="P44" i="24" s="1"/>
  <c r="Q44" i="24" s="1"/>
  <c r="R44" i="24" s="1"/>
  <c r="S44" i="24" s="1"/>
  <c r="T44" i="24" s="1"/>
  <c r="U44" i="24" s="1"/>
  <c r="V44" i="24" s="1"/>
  <c r="D44" i="24"/>
  <c r="E44" i="24" s="1"/>
  <c r="F44" i="24" s="1"/>
  <c r="AG42" i="24"/>
  <c r="AA42" i="24"/>
  <c r="Z42" i="24"/>
  <c r="T42" i="24"/>
  <c r="S42" i="24"/>
  <c r="M42" i="24"/>
  <c r="L42" i="24"/>
  <c r="F42" i="24"/>
  <c r="E42" i="24"/>
  <c r="AF40" i="24"/>
  <c r="AF41" i="24" s="1"/>
  <c r="O40" i="24"/>
  <c r="AE39" i="24"/>
  <c r="AC39" i="24"/>
  <c r="T37" i="24"/>
  <c r="N36" i="24"/>
  <c r="L36" i="24"/>
  <c r="AJ32" i="24"/>
  <c r="AG32" i="24"/>
  <c r="R32" i="24"/>
  <c r="BO31" i="24"/>
  <c r="BN31" i="24"/>
  <c r="BM31" i="24"/>
  <c r="BL31" i="24"/>
  <c r="BK31" i="24"/>
  <c r="BJ31" i="24"/>
  <c r="BI31" i="24"/>
  <c r="BH31" i="24"/>
  <c r="BG31" i="24"/>
  <c r="BF31" i="24"/>
  <c r="BE31" i="24"/>
  <c r="BD31" i="24"/>
  <c r="BC31" i="24"/>
  <c r="BB31" i="24"/>
  <c r="BA31" i="24"/>
  <c r="AZ31" i="24"/>
  <c r="AY31" i="24"/>
  <c r="AX31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I31" i="24"/>
  <c r="BP31" i="24" s="1"/>
  <c r="BO30" i="24"/>
  <c r="BN30" i="24"/>
  <c r="BM30" i="24"/>
  <c r="BL30" i="24"/>
  <c r="BK30" i="24"/>
  <c r="BJ30" i="24"/>
  <c r="BI30" i="24"/>
  <c r="BH30" i="24"/>
  <c r="BG30" i="24"/>
  <c r="BF30" i="24"/>
  <c r="BE30" i="24"/>
  <c r="BD30" i="24"/>
  <c r="BC30" i="24"/>
  <c r="BB30" i="24"/>
  <c r="BA30" i="24"/>
  <c r="AZ30" i="24"/>
  <c r="AY30" i="24"/>
  <c r="AX30" i="24"/>
  <c r="AW30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BO29" i="24"/>
  <c r="BN29" i="24"/>
  <c r="BM29" i="24"/>
  <c r="BL29" i="24"/>
  <c r="BK29" i="24"/>
  <c r="BJ29" i="24"/>
  <c r="BI29" i="24"/>
  <c r="BH29" i="24"/>
  <c r="BG29" i="24"/>
  <c r="BF29" i="24"/>
  <c r="BE29" i="24"/>
  <c r="BD29" i="24"/>
  <c r="BC29" i="24"/>
  <c r="BB29" i="24"/>
  <c r="BA29" i="24"/>
  <c r="AZ29" i="24"/>
  <c r="AY29" i="24"/>
  <c r="AX29" i="24"/>
  <c r="AW29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BO28" i="24"/>
  <c r="BN28" i="24"/>
  <c r="BM28" i="24"/>
  <c r="BL28" i="24"/>
  <c r="BK28" i="24"/>
  <c r="BJ28" i="24"/>
  <c r="BI28" i="24"/>
  <c r="BH28" i="24"/>
  <c r="BG28" i="24"/>
  <c r="BF28" i="24"/>
  <c r="BE28" i="24"/>
  <c r="BD28" i="24"/>
  <c r="BC28" i="24"/>
  <c r="BB28" i="24"/>
  <c r="BA28" i="24"/>
  <c r="AZ28" i="24"/>
  <c r="AY28" i="24"/>
  <c r="AX28" i="24"/>
  <c r="AW28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I28" i="24"/>
  <c r="BO27" i="24"/>
  <c r="BN27" i="24"/>
  <c r="BM27" i="24"/>
  <c r="BL27" i="24"/>
  <c r="BK27" i="24"/>
  <c r="BJ27" i="24"/>
  <c r="BI27" i="24"/>
  <c r="BH27" i="24"/>
  <c r="BG27" i="24"/>
  <c r="BF27" i="24"/>
  <c r="BE27" i="24"/>
  <c r="BD27" i="24"/>
  <c r="BC27" i="24"/>
  <c r="BB27" i="24"/>
  <c r="BA27" i="24"/>
  <c r="AZ27" i="24"/>
  <c r="AY27" i="24"/>
  <c r="AX27" i="24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I27" i="24"/>
  <c r="BO26" i="24"/>
  <c r="BN26" i="24"/>
  <c r="BM26" i="24"/>
  <c r="BL26" i="24"/>
  <c r="BK26" i="24"/>
  <c r="BJ26" i="24"/>
  <c r="BI26" i="24"/>
  <c r="BH26" i="24"/>
  <c r="BG26" i="24"/>
  <c r="BF26" i="24"/>
  <c r="BE26" i="24"/>
  <c r="BD26" i="24"/>
  <c r="BC26" i="24"/>
  <c r="BB26" i="24"/>
  <c r="BA26" i="24"/>
  <c r="AZ26" i="24"/>
  <c r="AY26" i="24"/>
  <c r="AX26" i="24"/>
  <c r="AW26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I26" i="24"/>
  <c r="BO25" i="24"/>
  <c r="BN25" i="24"/>
  <c r="BM25" i="24"/>
  <c r="BL25" i="24"/>
  <c r="BK25" i="24"/>
  <c r="BJ25" i="24"/>
  <c r="BI25" i="24"/>
  <c r="BH25" i="24"/>
  <c r="BG25" i="24"/>
  <c r="BF25" i="24"/>
  <c r="BE25" i="24"/>
  <c r="BD25" i="24"/>
  <c r="BC25" i="24"/>
  <c r="BB25" i="24"/>
  <c r="BA25" i="24"/>
  <c r="AZ25" i="24"/>
  <c r="AY25" i="24"/>
  <c r="AX25" i="24"/>
  <c r="AW25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BO24" i="24"/>
  <c r="BN24" i="24"/>
  <c r="BM24" i="24"/>
  <c r="BL24" i="24"/>
  <c r="BK24" i="24"/>
  <c r="BJ24" i="24"/>
  <c r="BI24" i="24"/>
  <c r="BH24" i="24"/>
  <c r="BG24" i="24"/>
  <c r="BF24" i="24"/>
  <c r="BE24" i="24"/>
  <c r="BD24" i="24"/>
  <c r="BC24" i="24"/>
  <c r="BB24" i="24"/>
  <c r="BA24" i="24"/>
  <c r="AZ24" i="24"/>
  <c r="AY24" i="24"/>
  <c r="AX24" i="24"/>
  <c r="AW24" i="24"/>
  <c r="AV24" i="24"/>
  <c r="AU24" i="24"/>
  <c r="AT24" i="24"/>
  <c r="AS24" i="24"/>
  <c r="AR24" i="24"/>
  <c r="AQ24" i="24"/>
  <c r="AP24" i="24"/>
  <c r="AN24" i="24"/>
  <c r="AM24" i="24"/>
  <c r="AL24" i="24"/>
  <c r="AK24" i="24"/>
  <c r="BO23" i="24"/>
  <c r="BN23" i="24"/>
  <c r="BM23" i="24"/>
  <c r="BL23" i="24"/>
  <c r="BK23" i="24"/>
  <c r="BJ23" i="24"/>
  <c r="BI23" i="24"/>
  <c r="BH23" i="24"/>
  <c r="BG23" i="24"/>
  <c r="BF23" i="24"/>
  <c r="BE23" i="24"/>
  <c r="BD23" i="24"/>
  <c r="BC23" i="24"/>
  <c r="BB23" i="24"/>
  <c r="BA23" i="24"/>
  <c r="AZ23" i="24"/>
  <c r="AY23" i="24"/>
  <c r="AX23" i="24"/>
  <c r="AW23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BO22" i="24"/>
  <c r="BN22" i="24"/>
  <c r="BM22" i="24"/>
  <c r="BL22" i="24"/>
  <c r="BK22" i="24"/>
  <c r="BJ22" i="24"/>
  <c r="BI22" i="24"/>
  <c r="BH22" i="24"/>
  <c r="BG22" i="24"/>
  <c r="BF22" i="24"/>
  <c r="BE22" i="24"/>
  <c r="BD22" i="24"/>
  <c r="BC22" i="24"/>
  <c r="BB22" i="24"/>
  <c r="BA22" i="24"/>
  <c r="AZ22" i="24"/>
  <c r="AY22" i="24"/>
  <c r="AX22" i="24"/>
  <c r="AW22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BO21" i="24"/>
  <c r="BN21" i="24"/>
  <c r="BM21" i="24"/>
  <c r="BL21" i="24"/>
  <c r="BK21" i="24"/>
  <c r="BJ21" i="24"/>
  <c r="BI21" i="24"/>
  <c r="BH21" i="24"/>
  <c r="BG21" i="24"/>
  <c r="BF21" i="24"/>
  <c r="BE21" i="24"/>
  <c r="BD21" i="24"/>
  <c r="BC21" i="24"/>
  <c r="BB21" i="24"/>
  <c r="BA21" i="24"/>
  <c r="AZ21" i="24"/>
  <c r="AY21" i="24"/>
  <c r="AX21" i="24"/>
  <c r="AW21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BO20" i="24"/>
  <c r="BN20" i="24"/>
  <c r="BM20" i="24"/>
  <c r="BL20" i="24"/>
  <c r="BK20" i="24"/>
  <c r="BJ20" i="24"/>
  <c r="BI20" i="24"/>
  <c r="BH20" i="24"/>
  <c r="BG20" i="24"/>
  <c r="BF20" i="24"/>
  <c r="BE20" i="24"/>
  <c r="BD20" i="24"/>
  <c r="BC20" i="24"/>
  <c r="BB20" i="24"/>
  <c r="BA20" i="24"/>
  <c r="AZ20" i="24"/>
  <c r="AY20" i="24"/>
  <c r="AX20" i="24"/>
  <c r="AW20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I20" i="24"/>
  <c r="BO19" i="24"/>
  <c r="BN19" i="24"/>
  <c r="BM19" i="24"/>
  <c r="BL19" i="24"/>
  <c r="BK19" i="24"/>
  <c r="BJ19" i="24"/>
  <c r="BI19" i="24"/>
  <c r="BH19" i="24"/>
  <c r="BG19" i="24"/>
  <c r="BF19" i="24"/>
  <c r="BE19" i="24"/>
  <c r="BD19" i="24"/>
  <c r="BC19" i="24"/>
  <c r="BB19" i="24"/>
  <c r="BA19" i="24"/>
  <c r="AZ19" i="24"/>
  <c r="AY19" i="24"/>
  <c r="AX19" i="24"/>
  <c r="AW19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I19" i="24"/>
  <c r="BO18" i="24"/>
  <c r="BN18" i="24"/>
  <c r="BM18" i="24"/>
  <c r="BL18" i="24"/>
  <c r="BK18" i="24"/>
  <c r="BJ18" i="24"/>
  <c r="BI18" i="24"/>
  <c r="BH18" i="24"/>
  <c r="BG18" i="24"/>
  <c r="BF18" i="24"/>
  <c r="BE18" i="24"/>
  <c r="BD18" i="24"/>
  <c r="BC18" i="24"/>
  <c r="BB18" i="24"/>
  <c r="BA18" i="24"/>
  <c r="AZ18" i="24"/>
  <c r="AY18" i="24"/>
  <c r="AX18" i="24"/>
  <c r="AW18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BO17" i="24"/>
  <c r="BN17" i="24"/>
  <c r="BM17" i="24"/>
  <c r="BL17" i="24"/>
  <c r="BK17" i="24"/>
  <c r="BJ17" i="24"/>
  <c r="BI17" i="24"/>
  <c r="BH17" i="24"/>
  <c r="BG17" i="24"/>
  <c r="BF17" i="24"/>
  <c r="BE17" i="24"/>
  <c r="BD17" i="24"/>
  <c r="BC17" i="24"/>
  <c r="BB17" i="24"/>
  <c r="BA17" i="24"/>
  <c r="AZ17" i="24"/>
  <c r="AY17" i="24"/>
  <c r="AX17" i="24"/>
  <c r="AW17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I17" i="24"/>
  <c r="BO16" i="24"/>
  <c r="BN16" i="24"/>
  <c r="BM16" i="24"/>
  <c r="BL16" i="24"/>
  <c r="BK16" i="24"/>
  <c r="BJ16" i="24"/>
  <c r="BI16" i="24"/>
  <c r="BH16" i="24"/>
  <c r="BG16" i="24"/>
  <c r="BF16" i="24"/>
  <c r="BE16" i="24"/>
  <c r="BD16" i="24"/>
  <c r="BC16" i="24"/>
  <c r="BB16" i="24"/>
  <c r="BA16" i="24"/>
  <c r="AZ16" i="24"/>
  <c r="AY16" i="24"/>
  <c r="AX16" i="24"/>
  <c r="AW16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BO15" i="24"/>
  <c r="BN15" i="24"/>
  <c r="BM15" i="24"/>
  <c r="BL15" i="24"/>
  <c r="BK15" i="24"/>
  <c r="BJ15" i="24"/>
  <c r="BI15" i="24"/>
  <c r="BH15" i="24"/>
  <c r="BG15" i="24"/>
  <c r="BF15" i="24"/>
  <c r="BE15" i="24"/>
  <c r="BD15" i="24"/>
  <c r="BC15" i="24"/>
  <c r="BB15" i="24"/>
  <c r="BA15" i="24"/>
  <c r="AZ15" i="24"/>
  <c r="AY15" i="24"/>
  <c r="AX15" i="24"/>
  <c r="AW15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BO14" i="24"/>
  <c r="BN14" i="24"/>
  <c r="BM14" i="24"/>
  <c r="BL14" i="24"/>
  <c r="BK14" i="24"/>
  <c r="BJ14" i="24"/>
  <c r="BI14" i="24"/>
  <c r="BH14" i="24"/>
  <c r="BG14" i="24"/>
  <c r="BF14" i="24"/>
  <c r="BE14" i="24"/>
  <c r="BD14" i="24"/>
  <c r="BC14" i="24"/>
  <c r="BB14" i="24"/>
  <c r="BA14" i="24"/>
  <c r="AZ14" i="24"/>
  <c r="AY14" i="24"/>
  <c r="AX14" i="24"/>
  <c r="AW14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BO13" i="24"/>
  <c r="BN13" i="24"/>
  <c r="BM13" i="24"/>
  <c r="BL13" i="24"/>
  <c r="BK13" i="24"/>
  <c r="BJ13" i="24"/>
  <c r="BI13" i="24"/>
  <c r="BH13" i="24"/>
  <c r="BG13" i="24"/>
  <c r="BF13" i="24"/>
  <c r="BE13" i="24"/>
  <c r="BD13" i="24"/>
  <c r="BC13" i="24"/>
  <c r="BB13" i="24"/>
  <c r="BA13" i="24"/>
  <c r="AZ13" i="24"/>
  <c r="AY13" i="24"/>
  <c r="AX13" i="24"/>
  <c r="AW13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BO12" i="24"/>
  <c r="BN12" i="24"/>
  <c r="BM12" i="24"/>
  <c r="BL12" i="24"/>
  <c r="BK12" i="24"/>
  <c r="BJ12" i="24"/>
  <c r="BI12" i="24"/>
  <c r="BH12" i="24"/>
  <c r="BG12" i="24"/>
  <c r="BF12" i="24"/>
  <c r="BE12" i="24"/>
  <c r="BD12" i="24"/>
  <c r="BC12" i="24"/>
  <c r="BB12" i="24"/>
  <c r="BA12" i="24"/>
  <c r="AZ12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M12" i="24"/>
  <c r="AL12" i="24"/>
  <c r="BO11" i="24"/>
  <c r="BN11" i="24"/>
  <c r="BM11" i="24"/>
  <c r="BL11" i="24"/>
  <c r="BK11" i="24"/>
  <c r="BJ11" i="24"/>
  <c r="BI11" i="24"/>
  <c r="BH11" i="24"/>
  <c r="BG11" i="24"/>
  <c r="BF11" i="24"/>
  <c r="BE11" i="24"/>
  <c r="BD11" i="24"/>
  <c r="BC11" i="24"/>
  <c r="BB11" i="24"/>
  <c r="BA11" i="24"/>
  <c r="AZ11" i="24"/>
  <c r="AY11" i="24"/>
  <c r="AX11" i="24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BO10" i="24"/>
  <c r="BN10" i="24"/>
  <c r="BM10" i="24"/>
  <c r="BL10" i="24"/>
  <c r="BK10" i="24"/>
  <c r="BJ10" i="24"/>
  <c r="BI10" i="24"/>
  <c r="BH10" i="24"/>
  <c r="BG10" i="24"/>
  <c r="BF10" i="24"/>
  <c r="BE10" i="24"/>
  <c r="BD10" i="24"/>
  <c r="BC10" i="24"/>
  <c r="BB10" i="24"/>
  <c r="BA10" i="24"/>
  <c r="AZ10" i="24"/>
  <c r="AY10" i="24"/>
  <c r="AX10" i="24"/>
  <c r="AW10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BO9" i="24"/>
  <c r="BN9" i="24"/>
  <c r="BM9" i="24"/>
  <c r="BL9" i="24"/>
  <c r="BK9" i="24"/>
  <c r="BJ9" i="24"/>
  <c r="BI9" i="24"/>
  <c r="BH9" i="24"/>
  <c r="BG9" i="24"/>
  <c r="BF9" i="24"/>
  <c r="BE9" i="24"/>
  <c r="BD9" i="24"/>
  <c r="BC9" i="24"/>
  <c r="BB9" i="24"/>
  <c r="BA9" i="24"/>
  <c r="AZ9" i="24"/>
  <c r="AY9" i="24"/>
  <c r="AX9" i="24"/>
  <c r="AW9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BO8" i="24"/>
  <c r="BN8" i="24"/>
  <c r="BM8" i="24"/>
  <c r="BL8" i="24"/>
  <c r="BK8" i="24"/>
  <c r="BJ8" i="24"/>
  <c r="BI8" i="24"/>
  <c r="BH8" i="24"/>
  <c r="BG8" i="24"/>
  <c r="BF8" i="24"/>
  <c r="BE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BO7" i="24"/>
  <c r="BN7" i="24"/>
  <c r="BM7" i="24"/>
  <c r="BL7" i="24"/>
  <c r="BK7" i="24"/>
  <c r="BJ7" i="24"/>
  <c r="BI7" i="24"/>
  <c r="BH7" i="24"/>
  <c r="BG7" i="24"/>
  <c r="BF7" i="24"/>
  <c r="BE7" i="24"/>
  <c r="BD7" i="24"/>
  <c r="BC7" i="24"/>
  <c r="BB7" i="24"/>
  <c r="BA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BO6" i="24"/>
  <c r="BM6" i="24"/>
  <c r="BK6" i="24"/>
  <c r="BI6" i="24"/>
  <c r="BH6" i="24"/>
  <c r="BG6" i="24"/>
  <c r="BE6" i="24"/>
  <c r="BC6" i="24"/>
  <c r="BA6" i="24"/>
  <c r="AZ6" i="24"/>
  <c r="AY6" i="24"/>
  <c r="AU6" i="24"/>
  <c r="AT6" i="24"/>
  <c r="AR6" i="24"/>
  <c r="AQ6" i="24"/>
  <c r="AO6" i="24"/>
  <c r="AM6" i="24"/>
  <c r="AF32" i="24"/>
  <c r="AE32" i="24"/>
  <c r="BL6" i="24"/>
  <c r="AC32" i="24"/>
  <c r="BJ6" i="24"/>
  <c r="AA32" i="24"/>
  <c r="Z32" i="24"/>
  <c r="Y32" i="24"/>
  <c r="X32" i="24"/>
  <c r="W32" i="24"/>
  <c r="BD6" i="24"/>
  <c r="U32" i="24"/>
  <c r="BB6" i="24"/>
  <c r="S32" i="24"/>
  <c r="Q32" i="24"/>
  <c r="P32" i="24"/>
  <c r="O32" i="24"/>
  <c r="AV6" i="24"/>
  <c r="M32" i="24"/>
  <c r="L32" i="24"/>
  <c r="K32" i="24"/>
  <c r="J32" i="24"/>
  <c r="I32" i="24"/>
  <c r="E32" i="24"/>
  <c r="BO5" i="24"/>
  <c r="BN5" i="24"/>
  <c r="BM5" i="24"/>
  <c r="BL5" i="24"/>
  <c r="BK5" i="24"/>
  <c r="BJ5" i="24"/>
  <c r="BI5" i="24"/>
  <c r="BH5" i="24"/>
  <c r="BG5" i="24"/>
  <c r="BF5" i="24"/>
  <c r="BE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H82" i="14"/>
  <c r="R82" i="14"/>
  <c r="R81" i="14"/>
  <c r="H81" i="14"/>
  <c r="AF6" i="23"/>
  <c r="H80" i="14"/>
  <c r="R80" i="14"/>
  <c r="AE6" i="23"/>
  <c r="R79" i="14"/>
  <c r="H79" i="14"/>
  <c r="AD24" i="23"/>
  <c r="AD6" i="23"/>
  <c r="R78" i="14"/>
  <c r="H78" i="14"/>
  <c r="AC6" i="23"/>
  <c r="G32" i="24" l="1"/>
  <c r="BP10" i="24"/>
  <c r="M19" i="17"/>
  <c r="M20" i="17" s="1"/>
  <c r="BP25" i="24"/>
  <c r="M73" i="17"/>
  <c r="M74" i="17" s="1"/>
  <c r="BP22" i="24"/>
  <c r="M55" i="17"/>
  <c r="M56" i="17" s="1"/>
  <c r="BP26" i="24"/>
  <c r="M76" i="17"/>
  <c r="M77" i="17" s="1"/>
  <c r="BP29" i="24"/>
  <c r="M70" i="17"/>
  <c r="M71" i="17" s="1"/>
  <c r="BP27" i="24"/>
  <c r="M64" i="17"/>
  <c r="M65" i="17" s="1"/>
  <c r="BP13" i="24"/>
  <c r="M28" i="17"/>
  <c r="M29" i="17" s="1"/>
  <c r="BP23" i="24"/>
  <c r="M58" i="17"/>
  <c r="M59" i="17" s="1"/>
  <c r="BP9" i="24"/>
  <c r="M16" i="17"/>
  <c r="M17" i="17" s="1"/>
  <c r="BP15" i="24"/>
  <c r="M34" i="17"/>
  <c r="M35" i="17" s="1"/>
  <c r="BP20" i="24"/>
  <c r="M49" i="17"/>
  <c r="M50" i="17" s="1"/>
  <c r="BP16" i="24"/>
  <c r="M37" i="17"/>
  <c r="M38" i="17" s="1"/>
  <c r="BP19" i="24"/>
  <c r="M46" i="17"/>
  <c r="M47" i="17" s="1"/>
  <c r="BP17" i="24"/>
  <c r="M40" i="17"/>
  <c r="M41" i="17" s="1"/>
  <c r="BP21" i="24"/>
  <c r="M52" i="17"/>
  <c r="M53" i="17" s="1"/>
  <c r="BP18" i="24"/>
  <c r="M43" i="17"/>
  <c r="M44" i="17" s="1"/>
  <c r="BP14" i="24"/>
  <c r="M31" i="17"/>
  <c r="M32" i="17" s="1"/>
  <c r="BP30" i="24"/>
  <c r="M82" i="17"/>
  <c r="M83" i="17" s="1"/>
  <c r="BP28" i="24"/>
  <c r="M67" i="17"/>
  <c r="M68" i="17" s="1"/>
  <c r="M4" i="17"/>
  <c r="BP8" i="24"/>
  <c r="M13" i="17"/>
  <c r="M14" i="17" s="1"/>
  <c r="BP7" i="24"/>
  <c r="M10" i="17"/>
  <c r="M11" i="17" s="1"/>
  <c r="BP11" i="24"/>
  <c r="M22" i="17"/>
  <c r="M23" i="17" s="1"/>
  <c r="BP12" i="24"/>
  <c r="M25" i="17"/>
  <c r="M26" i="17" s="1"/>
  <c r="F45" i="24"/>
  <c r="BP5" i="24"/>
  <c r="AW6" i="24"/>
  <c r="AP6" i="24"/>
  <c r="AX6" i="24"/>
  <c r="BF6" i="24"/>
  <c r="BN6" i="24"/>
  <c r="D32" i="24"/>
  <c r="T32" i="24"/>
  <c r="AB32" i="24"/>
  <c r="F32" i="24"/>
  <c r="N32" i="24"/>
  <c r="V32" i="24"/>
  <c r="AD32" i="24"/>
  <c r="M7" i="17"/>
  <c r="AS6" i="24"/>
  <c r="AK6" i="24"/>
  <c r="AL6" i="24"/>
  <c r="R75" i="14"/>
  <c r="R76" i="14"/>
  <c r="R77" i="14"/>
  <c r="H77" i="14"/>
  <c r="H75" i="14"/>
  <c r="H76" i="14"/>
  <c r="AB6" i="23"/>
  <c r="BP24" i="24" l="1"/>
  <c r="M61" i="17"/>
  <c r="M62" i="17" s="1"/>
  <c r="BP6" i="24"/>
  <c r="AI32" i="24"/>
  <c r="AA6" i="23"/>
  <c r="Z6" i="23"/>
  <c r="R74" i="14"/>
  <c r="H74" i="14"/>
  <c r="Y6" i="23"/>
  <c r="R73" i="14"/>
  <c r="H73" i="14"/>
  <c r="X6" i="23"/>
  <c r="R71" i="14"/>
  <c r="R72" i="14"/>
  <c r="H72" i="14"/>
  <c r="W6" i="23"/>
  <c r="V6" i="23"/>
  <c r="H71" i="14"/>
  <c r="AI36" i="24" l="1"/>
  <c r="AI35" i="24"/>
  <c r="AI34" i="24"/>
  <c r="AI33" i="24"/>
  <c r="R70" i="14"/>
  <c r="H70" i="14"/>
  <c r="U6" i="23"/>
  <c r="H69" i="14"/>
  <c r="R69" i="14"/>
  <c r="T6" i="23"/>
  <c r="R68" i="14"/>
  <c r="H68" i="14"/>
  <c r="S6" i="23"/>
  <c r="H67" i="14"/>
  <c r="R67" i="14"/>
  <c r="H66" i="14"/>
  <c r="R66" i="14"/>
  <c r="O6" i="23" l="1"/>
  <c r="Q6" i="23"/>
  <c r="R65" i="14"/>
  <c r="H65" i="14"/>
  <c r="P6" i="23"/>
  <c r="H64" i="14"/>
  <c r="R64" i="14"/>
  <c r="N6" i="23" l="1"/>
  <c r="F63" i="14" l="1"/>
  <c r="H63" i="14"/>
  <c r="R63" i="14"/>
  <c r="M6" i="23"/>
  <c r="R62" i="14" l="1"/>
  <c r="H62" i="14"/>
  <c r="L6" i="23"/>
  <c r="R61" i="14" l="1"/>
  <c r="H61" i="14"/>
  <c r="K6" i="23"/>
  <c r="R58" i="14"/>
  <c r="R59" i="14"/>
  <c r="R60" i="14"/>
  <c r="H60" i="14"/>
  <c r="H58" i="14"/>
  <c r="J6" i="23"/>
  <c r="J10" i="23"/>
  <c r="I6" i="23" l="1"/>
  <c r="H6" i="23"/>
  <c r="AO6" i="23" s="1"/>
  <c r="H57" i="14"/>
  <c r="R57" i="14"/>
  <c r="H56" i="14"/>
  <c r="R56" i="14"/>
  <c r="F6" i="23"/>
  <c r="AM6" i="23" s="1"/>
  <c r="R55" i="14"/>
  <c r="H55" i="14"/>
  <c r="E6" i="23"/>
  <c r="H54" i="14"/>
  <c r="H51" i="14"/>
  <c r="H52" i="14"/>
  <c r="H53" i="14"/>
  <c r="R54" i="14"/>
  <c r="L79" i="17"/>
  <c r="D6" i="23"/>
  <c r="I67" i="23"/>
  <c r="J67" i="23" s="1"/>
  <c r="K67" i="23" s="1"/>
  <c r="L67" i="23" s="1"/>
  <c r="M67" i="23" s="1"/>
  <c r="N67" i="23" s="1"/>
  <c r="O67" i="23" s="1"/>
  <c r="P67" i="23" s="1"/>
  <c r="Q67" i="23" s="1"/>
  <c r="R67" i="23" s="1"/>
  <c r="S67" i="23" s="1"/>
  <c r="T67" i="23" s="1"/>
  <c r="U67" i="23" s="1"/>
  <c r="V67" i="23" s="1"/>
  <c r="D67" i="23"/>
  <c r="E67" i="23" s="1"/>
  <c r="F67" i="23" s="1"/>
  <c r="I66" i="23"/>
  <c r="J66" i="23" s="1"/>
  <c r="K66" i="23" s="1"/>
  <c r="L66" i="23" s="1"/>
  <c r="M66" i="23" s="1"/>
  <c r="N66" i="23" s="1"/>
  <c r="O66" i="23" s="1"/>
  <c r="P66" i="23" s="1"/>
  <c r="Q66" i="23" s="1"/>
  <c r="R66" i="23" s="1"/>
  <c r="S66" i="23" s="1"/>
  <c r="T66" i="23" s="1"/>
  <c r="U66" i="23" s="1"/>
  <c r="V66" i="23" s="1"/>
  <c r="D66" i="23"/>
  <c r="E66" i="23" s="1"/>
  <c r="F66" i="23" s="1"/>
  <c r="I65" i="23"/>
  <c r="J65" i="23" s="1"/>
  <c r="K65" i="23" s="1"/>
  <c r="L65" i="23" s="1"/>
  <c r="M65" i="23" s="1"/>
  <c r="N65" i="23" s="1"/>
  <c r="O65" i="23" s="1"/>
  <c r="P65" i="23" s="1"/>
  <c r="Q65" i="23" s="1"/>
  <c r="R65" i="23" s="1"/>
  <c r="S65" i="23" s="1"/>
  <c r="T65" i="23" s="1"/>
  <c r="U65" i="23" s="1"/>
  <c r="V65" i="23" s="1"/>
  <c r="D65" i="23"/>
  <c r="E65" i="23" s="1"/>
  <c r="F65" i="23" s="1"/>
  <c r="I64" i="23"/>
  <c r="J64" i="23" s="1"/>
  <c r="K64" i="23" s="1"/>
  <c r="L64" i="23" s="1"/>
  <c r="M64" i="23" s="1"/>
  <c r="N64" i="23" s="1"/>
  <c r="O64" i="23" s="1"/>
  <c r="P64" i="23" s="1"/>
  <c r="Q64" i="23" s="1"/>
  <c r="R64" i="23" s="1"/>
  <c r="S64" i="23" s="1"/>
  <c r="T64" i="23" s="1"/>
  <c r="U64" i="23" s="1"/>
  <c r="V64" i="23" s="1"/>
  <c r="D64" i="23"/>
  <c r="E64" i="23" s="1"/>
  <c r="F64" i="23" s="1"/>
  <c r="I63" i="23"/>
  <c r="J63" i="23" s="1"/>
  <c r="K63" i="23" s="1"/>
  <c r="L63" i="23" s="1"/>
  <c r="M63" i="23" s="1"/>
  <c r="N63" i="23" s="1"/>
  <c r="O63" i="23" s="1"/>
  <c r="P63" i="23" s="1"/>
  <c r="Q63" i="23" s="1"/>
  <c r="R63" i="23" s="1"/>
  <c r="S63" i="23" s="1"/>
  <c r="T63" i="23" s="1"/>
  <c r="U63" i="23" s="1"/>
  <c r="V63" i="23" s="1"/>
  <c r="D63" i="23"/>
  <c r="E63" i="23" s="1"/>
  <c r="F63" i="23" s="1"/>
  <c r="I62" i="23"/>
  <c r="J62" i="23" s="1"/>
  <c r="K62" i="23" s="1"/>
  <c r="L62" i="23" s="1"/>
  <c r="M62" i="23" s="1"/>
  <c r="N62" i="23" s="1"/>
  <c r="O62" i="23" s="1"/>
  <c r="P62" i="23" s="1"/>
  <c r="Q62" i="23" s="1"/>
  <c r="R62" i="23" s="1"/>
  <c r="S62" i="23" s="1"/>
  <c r="T62" i="23" s="1"/>
  <c r="U62" i="23" s="1"/>
  <c r="V62" i="23" s="1"/>
  <c r="D62" i="23"/>
  <c r="E62" i="23" s="1"/>
  <c r="F62" i="23" s="1"/>
  <c r="I61" i="23"/>
  <c r="J61" i="23" s="1"/>
  <c r="K61" i="23" s="1"/>
  <c r="L61" i="23" s="1"/>
  <c r="M61" i="23" s="1"/>
  <c r="N61" i="23" s="1"/>
  <c r="O61" i="23" s="1"/>
  <c r="P61" i="23" s="1"/>
  <c r="Q61" i="23" s="1"/>
  <c r="R61" i="23" s="1"/>
  <c r="S61" i="23" s="1"/>
  <c r="T61" i="23" s="1"/>
  <c r="U61" i="23" s="1"/>
  <c r="V61" i="23" s="1"/>
  <c r="D61" i="23"/>
  <c r="E61" i="23" s="1"/>
  <c r="F61" i="23" s="1"/>
  <c r="I60" i="23"/>
  <c r="J60" i="23" s="1"/>
  <c r="K60" i="23" s="1"/>
  <c r="L60" i="23" s="1"/>
  <c r="M60" i="23" s="1"/>
  <c r="N60" i="23" s="1"/>
  <c r="O60" i="23" s="1"/>
  <c r="P60" i="23" s="1"/>
  <c r="Q60" i="23" s="1"/>
  <c r="R60" i="23" s="1"/>
  <c r="S60" i="23" s="1"/>
  <c r="T60" i="23" s="1"/>
  <c r="U60" i="23" s="1"/>
  <c r="V60" i="23" s="1"/>
  <c r="D60" i="23"/>
  <c r="E60" i="23" s="1"/>
  <c r="F60" i="23" s="1"/>
  <c r="I59" i="23"/>
  <c r="J59" i="23" s="1"/>
  <c r="K59" i="23" s="1"/>
  <c r="L59" i="23" s="1"/>
  <c r="M59" i="23" s="1"/>
  <c r="N59" i="23" s="1"/>
  <c r="O59" i="23" s="1"/>
  <c r="P59" i="23" s="1"/>
  <c r="Q59" i="23" s="1"/>
  <c r="R59" i="23" s="1"/>
  <c r="S59" i="23" s="1"/>
  <c r="T59" i="23" s="1"/>
  <c r="U59" i="23" s="1"/>
  <c r="V59" i="23" s="1"/>
  <c r="D59" i="23"/>
  <c r="E59" i="23" s="1"/>
  <c r="F59" i="23" s="1"/>
  <c r="I58" i="23"/>
  <c r="J58" i="23" s="1"/>
  <c r="K58" i="23" s="1"/>
  <c r="L58" i="23" s="1"/>
  <c r="M58" i="23" s="1"/>
  <c r="N58" i="23" s="1"/>
  <c r="O58" i="23" s="1"/>
  <c r="P58" i="23" s="1"/>
  <c r="Q58" i="23" s="1"/>
  <c r="R58" i="23" s="1"/>
  <c r="S58" i="23" s="1"/>
  <c r="T58" i="23" s="1"/>
  <c r="U58" i="23" s="1"/>
  <c r="V58" i="23" s="1"/>
  <c r="D58" i="23"/>
  <c r="E58" i="23" s="1"/>
  <c r="F58" i="23" s="1"/>
  <c r="I57" i="23"/>
  <c r="J57" i="23" s="1"/>
  <c r="K57" i="23" s="1"/>
  <c r="L57" i="23" s="1"/>
  <c r="M57" i="23" s="1"/>
  <c r="N57" i="23" s="1"/>
  <c r="O57" i="23" s="1"/>
  <c r="P57" i="23" s="1"/>
  <c r="Q57" i="23" s="1"/>
  <c r="R57" i="23" s="1"/>
  <c r="S57" i="23" s="1"/>
  <c r="T57" i="23" s="1"/>
  <c r="U57" i="23" s="1"/>
  <c r="V57" i="23" s="1"/>
  <c r="D57" i="23"/>
  <c r="E57" i="23" s="1"/>
  <c r="F57" i="23" s="1"/>
  <c r="I56" i="23"/>
  <c r="J56" i="23" s="1"/>
  <c r="K56" i="23" s="1"/>
  <c r="L56" i="23" s="1"/>
  <c r="M56" i="23" s="1"/>
  <c r="N56" i="23" s="1"/>
  <c r="O56" i="23" s="1"/>
  <c r="P56" i="23" s="1"/>
  <c r="Q56" i="23" s="1"/>
  <c r="R56" i="23" s="1"/>
  <c r="S56" i="23" s="1"/>
  <c r="T56" i="23" s="1"/>
  <c r="U56" i="23" s="1"/>
  <c r="V56" i="23" s="1"/>
  <c r="D56" i="23"/>
  <c r="E56" i="23" s="1"/>
  <c r="F56" i="23" s="1"/>
  <c r="I55" i="23"/>
  <c r="J55" i="23" s="1"/>
  <c r="K55" i="23" s="1"/>
  <c r="L55" i="23" s="1"/>
  <c r="M55" i="23" s="1"/>
  <c r="N55" i="23" s="1"/>
  <c r="O55" i="23" s="1"/>
  <c r="P55" i="23" s="1"/>
  <c r="Q55" i="23" s="1"/>
  <c r="R55" i="23" s="1"/>
  <c r="S55" i="23" s="1"/>
  <c r="T55" i="23" s="1"/>
  <c r="U55" i="23" s="1"/>
  <c r="V55" i="23" s="1"/>
  <c r="D55" i="23"/>
  <c r="E55" i="23" s="1"/>
  <c r="F55" i="23" s="1"/>
  <c r="I54" i="23"/>
  <c r="J54" i="23" s="1"/>
  <c r="K54" i="23" s="1"/>
  <c r="L54" i="23" s="1"/>
  <c r="M54" i="23" s="1"/>
  <c r="N54" i="23" s="1"/>
  <c r="O54" i="23" s="1"/>
  <c r="P54" i="23" s="1"/>
  <c r="Q54" i="23" s="1"/>
  <c r="R54" i="23" s="1"/>
  <c r="S54" i="23" s="1"/>
  <c r="T54" i="23" s="1"/>
  <c r="U54" i="23" s="1"/>
  <c r="V54" i="23" s="1"/>
  <c r="D54" i="23"/>
  <c r="E54" i="23" s="1"/>
  <c r="F54" i="23" s="1"/>
  <c r="I53" i="23"/>
  <c r="J53" i="23" s="1"/>
  <c r="K53" i="23" s="1"/>
  <c r="L53" i="23" s="1"/>
  <c r="M53" i="23" s="1"/>
  <c r="N53" i="23" s="1"/>
  <c r="O53" i="23" s="1"/>
  <c r="P53" i="23" s="1"/>
  <c r="Q53" i="23" s="1"/>
  <c r="R53" i="23" s="1"/>
  <c r="S53" i="23" s="1"/>
  <c r="T53" i="23" s="1"/>
  <c r="U53" i="23" s="1"/>
  <c r="V53" i="23" s="1"/>
  <c r="D53" i="23"/>
  <c r="E53" i="23" s="1"/>
  <c r="F53" i="23" s="1"/>
  <c r="I52" i="23"/>
  <c r="J52" i="23" s="1"/>
  <c r="K52" i="23" s="1"/>
  <c r="L52" i="23" s="1"/>
  <c r="M52" i="23" s="1"/>
  <c r="N52" i="23" s="1"/>
  <c r="O52" i="23" s="1"/>
  <c r="P52" i="23" s="1"/>
  <c r="Q52" i="23" s="1"/>
  <c r="R52" i="23" s="1"/>
  <c r="S52" i="23" s="1"/>
  <c r="T52" i="23" s="1"/>
  <c r="U52" i="23" s="1"/>
  <c r="V52" i="23" s="1"/>
  <c r="D52" i="23"/>
  <c r="E52" i="23" s="1"/>
  <c r="F52" i="23" s="1"/>
  <c r="I51" i="23"/>
  <c r="J51" i="23" s="1"/>
  <c r="K51" i="23" s="1"/>
  <c r="L51" i="23" s="1"/>
  <c r="M51" i="23" s="1"/>
  <c r="N51" i="23" s="1"/>
  <c r="O51" i="23" s="1"/>
  <c r="P51" i="23" s="1"/>
  <c r="Q51" i="23" s="1"/>
  <c r="R51" i="23" s="1"/>
  <c r="S51" i="23" s="1"/>
  <c r="T51" i="23" s="1"/>
  <c r="U51" i="23" s="1"/>
  <c r="V51" i="23" s="1"/>
  <c r="D51" i="23"/>
  <c r="E51" i="23" s="1"/>
  <c r="F51" i="23" s="1"/>
  <c r="I50" i="23"/>
  <c r="J50" i="23" s="1"/>
  <c r="K50" i="23" s="1"/>
  <c r="L50" i="23" s="1"/>
  <c r="M50" i="23" s="1"/>
  <c r="N50" i="23" s="1"/>
  <c r="O50" i="23" s="1"/>
  <c r="P50" i="23" s="1"/>
  <c r="Q50" i="23" s="1"/>
  <c r="R50" i="23" s="1"/>
  <c r="S50" i="23" s="1"/>
  <c r="T50" i="23" s="1"/>
  <c r="U50" i="23" s="1"/>
  <c r="V50" i="23" s="1"/>
  <c r="D50" i="23"/>
  <c r="E50" i="23" s="1"/>
  <c r="F50" i="23" s="1"/>
  <c r="I49" i="23"/>
  <c r="J49" i="23" s="1"/>
  <c r="K49" i="23" s="1"/>
  <c r="L49" i="23" s="1"/>
  <c r="M49" i="23" s="1"/>
  <c r="N49" i="23" s="1"/>
  <c r="O49" i="23" s="1"/>
  <c r="P49" i="23" s="1"/>
  <c r="Q49" i="23" s="1"/>
  <c r="R49" i="23" s="1"/>
  <c r="S49" i="23" s="1"/>
  <c r="T49" i="23" s="1"/>
  <c r="U49" i="23" s="1"/>
  <c r="V49" i="23" s="1"/>
  <c r="D49" i="23"/>
  <c r="E49" i="23" s="1"/>
  <c r="F49" i="23" s="1"/>
  <c r="I48" i="23"/>
  <c r="J48" i="23" s="1"/>
  <c r="K48" i="23" s="1"/>
  <c r="L48" i="23" s="1"/>
  <c r="M48" i="23" s="1"/>
  <c r="N48" i="23" s="1"/>
  <c r="O48" i="23" s="1"/>
  <c r="P48" i="23" s="1"/>
  <c r="Q48" i="23" s="1"/>
  <c r="R48" i="23" s="1"/>
  <c r="S48" i="23" s="1"/>
  <c r="T48" i="23" s="1"/>
  <c r="U48" i="23" s="1"/>
  <c r="V48" i="23" s="1"/>
  <c r="D48" i="23"/>
  <c r="E48" i="23" s="1"/>
  <c r="F48" i="23" s="1"/>
  <c r="I47" i="23"/>
  <c r="J47" i="23" s="1"/>
  <c r="K47" i="23" s="1"/>
  <c r="L47" i="23" s="1"/>
  <c r="M47" i="23" s="1"/>
  <c r="N47" i="23" s="1"/>
  <c r="O47" i="23" s="1"/>
  <c r="P47" i="23" s="1"/>
  <c r="Q47" i="23" s="1"/>
  <c r="R47" i="23" s="1"/>
  <c r="S47" i="23" s="1"/>
  <c r="T47" i="23" s="1"/>
  <c r="U47" i="23" s="1"/>
  <c r="V47" i="23" s="1"/>
  <c r="D47" i="23"/>
  <c r="E47" i="23" s="1"/>
  <c r="F47" i="23" s="1"/>
  <c r="I46" i="23"/>
  <c r="J46" i="23" s="1"/>
  <c r="K46" i="23" s="1"/>
  <c r="L46" i="23" s="1"/>
  <c r="M46" i="23" s="1"/>
  <c r="N46" i="23" s="1"/>
  <c r="O46" i="23" s="1"/>
  <c r="P46" i="23" s="1"/>
  <c r="Q46" i="23" s="1"/>
  <c r="R46" i="23" s="1"/>
  <c r="S46" i="23" s="1"/>
  <c r="T46" i="23" s="1"/>
  <c r="U46" i="23" s="1"/>
  <c r="V46" i="23" s="1"/>
  <c r="D46" i="23"/>
  <c r="E46" i="23" s="1"/>
  <c r="F46" i="23" s="1"/>
  <c r="H45" i="23"/>
  <c r="G45" i="23"/>
  <c r="AL44" i="23"/>
  <c r="I44" i="23"/>
  <c r="J44" i="23" s="1"/>
  <c r="K44" i="23" s="1"/>
  <c r="L44" i="23" s="1"/>
  <c r="M44" i="23" s="1"/>
  <c r="N44" i="23" s="1"/>
  <c r="O44" i="23" s="1"/>
  <c r="P44" i="23" s="1"/>
  <c r="Q44" i="23" s="1"/>
  <c r="R44" i="23" s="1"/>
  <c r="S44" i="23" s="1"/>
  <c r="T44" i="23" s="1"/>
  <c r="U44" i="23" s="1"/>
  <c r="V44" i="23" s="1"/>
  <c r="D44" i="23"/>
  <c r="E44" i="23" s="1"/>
  <c r="F44" i="23" s="1"/>
  <c r="AG42" i="23"/>
  <c r="AA42" i="23"/>
  <c r="Z42" i="23"/>
  <c r="T42" i="23"/>
  <c r="S42" i="23"/>
  <c r="M42" i="23"/>
  <c r="L42" i="23"/>
  <c r="F42" i="23"/>
  <c r="E42" i="23"/>
  <c r="AF40" i="23"/>
  <c r="AF41" i="23" s="1"/>
  <c r="O40" i="23"/>
  <c r="AE39" i="23"/>
  <c r="AC39" i="23"/>
  <c r="T37" i="23"/>
  <c r="N36" i="23"/>
  <c r="L36" i="23"/>
  <c r="AI32" i="23"/>
  <c r="Z32" i="23"/>
  <c r="J32" i="23"/>
  <c r="BN31" i="23"/>
  <c r="BM31" i="23"/>
  <c r="BL31" i="23"/>
  <c r="BK31" i="23"/>
  <c r="BJ31" i="23"/>
  <c r="BI31" i="23"/>
  <c r="BH31" i="23"/>
  <c r="BG31" i="23"/>
  <c r="BF31" i="23"/>
  <c r="BE31" i="23"/>
  <c r="BD31" i="23"/>
  <c r="BC31" i="23"/>
  <c r="BB31" i="23"/>
  <c r="BA31" i="23"/>
  <c r="AZ31" i="23"/>
  <c r="AY31" i="23"/>
  <c r="AX31" i="23"/>
  <c r="AW31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H31" i="23"/>
  <c r="BO31" i="23" s="1"/>
  <c r="BN30" i="23"/>
  <c r="BM30" i="23"/>
  <c r="BL30" i="23"/>
  <c r="BK30" i="23"/>
  <c r="BJ30" i="23"/>
  <c r="BI30" i="23"/>
  <c r="BH30" i="23"/>
  <c r="BG30" i="23"/>
  <c r="BF30" i="23"/>
  <c r="BE30" i="23"/>
  <c r="BD30" i="23"/>
  <c r="BC30" i="23"/>
  <c r="BB30" i="23"/>
  <c r="BA30" i="23"/>
  <c r="AZ30" i="23"/>
  <c r="AY30" i="23"/>
  <c r="AX30" i="23"/>
  <c r="AW30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AH30" i="23"/>
  <c r="BO30" i="23" s="1"/>
  <c r="BN29" i="23"/>
  <c r="BM29" i="23"/>
  <c r="BL29" i="23"/>
  <c r="BK29" i="23"/>
  <c r="BJ29" i="23"/>
  <c r="BI29" i="23"/>
  <c r="BH29" i="23"/>
  <c r="BG29" i="23"/>
  <c r="BF29" i="23"/>
  <c r="BE29" i="23"/>
  <c r="BD29" i="23"/>
  <c r="BC29" i="23"/>
  <c r="BB29" i="23"/>
  <c r="BA29" i="23"/>
  <c r="AZ29" i="23"/>
  <c r="AY29" i="23"/>
  <c r="AX29" i="23"/>
  <c r="AW29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AH29" i="23"/>
  <c r="BO29" i="23" s="1"/>
  <c r="BN28" i="23"/>
  <c r="BM28" i="23"/>
  <c r="BL28" i="23"/>
  <c r="BK28" i="23"/>
  <c r="BJ28" i="23"/>
  <c r="BI28" i="23"/>
  <c r="BH28" i="23"/>
  <c r="BG28" i="23"/>
  <c r="BF28" i="23"/>
  <c r="BE28" i="23"/>
  <c r="BD28" i="23"/>
  <c r="BC28" i="23"/>
  <c r="BB28" i="23"/>
  <c r="BA28" i="23"/>
  <c r="AZ28" i="23"/>
  <c r="AY28" i="23"/>
  <c r="AX28" i="23"/>
  <c r="AW28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H28" i="23"/>
  <c r="BO28" i="23" s="1"/>
  <c r="BN27" i="23"/>
  <c r="BM27" i="23"/>
  <c r="BL27" i="23"/>
  <c r="BK27" i="23"/>
  <c r="BJ27" i="23"/>
  <c r="BI27" i="23"/>
  <c r="BH27" i="23"/>
  <c r="BG27" i="23"/>
  <c r="BF27" i="23"/>
  <c r="BE27" i="23"/>
  <c r="BD27" i="23"/>
  <c r="BC27" i="23"/>
  <c r="BB27" i="23"/>
  <c r="BA27" i="23"/>
  <c r="AZ27" i="23"/>
  <c r="AY27" i="23"/>
  <c r="AX27" i="23"/>
  <c r="AW27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H27" i="23"/>
  <c r="BO27" i="23" s="1"/>
  <c r="BN26" i="23"/>
  <c r="BM26" i="23"/>
  <c r="BL26" i="23"/>
  <c r="BK26" i="23"/>
  <c r="BJ26" i="23"/>
  <c r="BI26" i="23"/>
  <c r="BH26" i="23"/>
  <c r="BG26" i="23"/>
  <c r="BF26" i="23"/>
  <c r="BE26" i="23"/>
  <c r="BD26" i="23"/>
  <c r="BC26" i="23"/>
  <c r="BB26" i="23"/>
  <c r="BA26" i="23"/>
  <c r="AZ26" i="23"/>
  <c r="AY26" i="23"/>
  <c r="AX26" i="23"/>
  <c r="AW26" i="23"/>
  <c r="AV26" i="23"/>
  <c r="AU26" i="23"/>
  <c r="AT26" i="23"/>
  <c r="AS26" i="23"/>
  <c r="AR26" i="23"/>
  <c r="AQ26" i="23"/>
  <c r="AP26" i="23"/>
  <c r="AO26" i="23"/>
  <c r="AN26" i="23"/>
  <c r="AM26" i="23"/>
  <c r="AL26" i="23"/>
  <c r="AK26" i="23"/>
  <c r="AJ26" i="23"/>
  <c r="AH26" i="23"/>
  <c r="BO26" i="23" s="1"/>
  <c r="BN25" i="23"/>
  <c r="BM25" i="23"/>
  <c r="BL25" i="23"/>
  <c r="BK25" i="23"/>
  <c r="BJ25" i="23"/>
  <c r="BI25" i="23"/>
  <c r="BH25" i="23"/>
  <c r="BG25" i="23"/>
  <c r="BF25" i="23"/>
  <c r="BE25" i="23"/>
  <c r="BD25" i="23"/>
  <c r="BC25" i="23"/>
  <c r="BB25" i="23"/>
  <c r="BA25" i="23"/>
  <c r="AZ25" i="23"/>
  <c r="AY25" i="23"/>
  <c r="AX25" i="23"/>
  <c r="AW25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H25" i="23"/>
  <c r="BO25" i="23" s="1"/>
  <c r="BN24" i="23"/>
  <c r="BM24" i="23"/>
  <c r="BL24" i="23"/>
  <c r="BK24" i="23"/>
  <c r="BJ24" i="23"/>
  <c r="BI24" i="23"/>
  <c r="BH24" i="23"/>
  <c r="BG24" i="23"/>
  <c r="BE24" i="23"/>
  <c r="BD24" i="23"/>
  <c r="BC24" i="23"/>
  <c r="BA24" i="23"/>
  <c r="AZ24" i="23"/>
  <c r="AY24" i="23"/>
  <c r="AX24" i="23"/>
  <c r="AW24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BF24" i="23"/>
  <c r="AH24" i="23"/>
  <c r="BO24" i="23" s="1"/>
  <c r="BB24" i="23"/>
  <c r="BN23" i="23"/>
  <c r="BM23" i="23"/>
  <c r="BL23" i="23"/>
  <c r="BK23" i="23"/>
  <c r="BJ23" i="23"/>
  <c r="BI23" i="23"/>
  <c r="BH23" i="23"/>
  <c r="BG23" i="23"/>
  <c r="BF23" i="23"/>
  <c r="BE23" i="23"/>
  <c r="BD23" i="23"/>
  <c r="BC23" i="23"/>
  <c r="BB23" i="23"/>
  <c r="BA23" i="23"/>
  <c r="AZ23" i="23"/>
  <c r="AY23" i="23"/>
  <c r="AX23" i="23"/>
  <c r="AW23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H23" i="23"/>
  <c r="BO23" i="23" s="1"/>
  <c r="BN22" i="23"/>
  <c r="BM22" i="23"/>
  <c r="BL22" i="23"/>
  <c r="BK22" i="23"/>
  <c r="BJ22" i="23"/>
  <c r="BI22" i="23"/>
  <c r="BH22" i="23"/>
  <c r="BG22" i="23"/>
  <c r="BF22" i="23"/>
  <c r="BE22" i="23"/>
  <c r="BD22" i="23"/>
  <c r="BC22" i="23"/>
  <c r="BB22" i="23"/>
  <c r="BA22" i="23"/>
  <c r="AZ22" i="23"/>
  <c r="AY22" i="23"/>
  <c r="AX22" i="23"/>
  <c r="AW22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H22" i="23"/>
  <c r="BO22" i="23" s="1"/>
  <c r="BN21" i="23"/>
  <c r="BM21" i="23"/>
  <c r="BL21" i="23"/>
  <c r="BK21" i="23"/>
  <c r="BJ21" i="23"/>
  <c r="BI21" i="23"/>
  <c r="BH21" i="23"/>
  <c r="BG21" i="23"/>
  <c r="BF21" i="23"/>
  <c r="BE21" i="23"/>
  <c r="BD21" i="23"/>
  <c r="BC21" i="23"/>
  <c r="BB21" i="23"/>
  <c r="BA21" i="23"/>
  <c r="AZ21" i="23"/>
  <c r="AY21" i="23"/>
  <c r="AX21" i="23"/>
  <c r="AW21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H21" i="23"/>
  <c r="BO21" i="23" s="1"/>
  <c r="BN20" i="23"/>
  <c r="BM20" i="23"/>
  <c r="BL20" i="23"/>
  <c r="BK20" i="23"/>
  <c r="BJ20" i="23"/>
  <c r="BI20" i="23"/>
  <c r="BH20" i="23"/>
  <c r="BG20" i="23"/>
  <c r="BF20" i="23"/>
  <c r="BE20" i="23"/>
  <c r="BD20" i="23"/>
  <c r="BC20" i="23"/>
  <c r="BB20" i="23"/>
  <c r="BA20" i="23"/>
  <c r="AZ20" i="23"/>
  <c r="AY20" i="23"/>
  <c r="AX20" i="23"/>
  <c r="AW20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H20" i="23"/>
  <c r="BO20" i="23" s="1"/>
  <c r="BN19" i="23"/>
  <c r="BM19" i="23"/>
  <c r="BL19" i="23"/>
  <c r="BK19" i="23"/>
  <c r="BJ19" i="23"/>
  <c r="BI19" i="23"/>
  <c r="BH19" i="23"/>
  <c r="BG19" i="23"/>
  <c r="BF19" i="23"/>
  <c r="BE19" i="23"/>
  <c r="BD19" i="23"/>
  <c r="BC19" i="23"/>
  <c r="BB19" i="23"/>
  <c r="BA19" i="23"/>
  <c r="AZ19" i="23"/>
  <c r="AY19" i="23"/>
  <c r="AX19" i="23"/>
  <c r="AW19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H19" i="23"/>
  <c r="BO19" i="23" s="1"/>
  <c r="BN18" i="23"/>
  <c r="BM18" i="23"/>
  <c r="BL18" i="23"/>
  <c r="BK18" i="23"/>
  <c r="BJ18" i="23"/>
  <c r="BI18" i="23"/>
  <c r="BH18" i="23"/>
  <c r="BG18" i="23"/>
  <c r="BF18" i="23"/>
  <c r="BE18" i="23"/>
  <c r="BD18" i="23"/>
  <c r="BC18" i="23"/>
  <c r="BB18" i="23"/>
  <c r="BA18" i="23"/>
  <c r="AZ18" i="23"/>
  <c r="AY18" i="23"/>
  <c r="AX18" i="23"/>
  <c r="AW18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H18" i="23"/>
  <c r="BO18" i="23" s="1"/>
  <c r="BN17" i="23"/>
  <c r="BM17" i="23"/>
  <c r="BL17" i="23"/>
  <c r="BK17" i="23"/>
  <c r="BJ17" i="23"/>
  <c r="BI17" i="23"/>
  <c r="BH17" i="23"/>
  <c r="BG17" i="23"/>
  <c r="BF17" i="23"/>
  <c r="BE17" i="23"/>
  <c r="BD17" i="23"/>
  <c r="BC17" i="23"/>
  <c r="BB17" i="23"/>
  <c r="BA17" i="23"/>
  <c r="AZ17" i="23"/>
  <c r="AY17" i="23"/>
  <c r="AX17" i="23"/>
  <c r="AW17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H17" i="23"/>
  <c r="BO17" i="23" s="1"/>
  <c r="BN16" i="23"/>
  <c r="BM16" i="23"/>
  <c r="BL16" i="23"/>
  <c r="BK16" i="23"/>
  <c r="BJ16" i="23"/>
  <c r="BI16" i="23"/>
  <c r="BH16" i="23"/>
  <c r="BG16" i="23"/>
  <c r="BF16" i="23"/>
  <c r="BE16" i="23"/>
  <c r="BD16" i="23"/>
  <c r="BC16" i="23"/>
  <c r="BB16" i="23"/>
  <c r="BA16" i="23"/>
  <c r="AZ16" i="23"/>
  <c r="AY16" i="23"/>
  <c r="AX16" i="23"/>
  <c r="AW16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H16" i="23"/>
  <c r="BO16" i="23" s="1"/>
  <c r="BN15" i="23"/>
  <c r="BM15" i="23"/>
  <c r="BL15" i="23"/>
  <c r="BK15" i="23"/>
  <c r="BJ15" i="23"/>
  <c r="BI15" i="23"/>
  <c r="BH15" i="23"/>
  <c r="BG15" i="23"/>
  <c r="BF15" i="23"/>
  <c r="BE15" i="23"/>
  <c r="BD15" i="23"/>
  <c r="BC15" i="23"/>
  <c r="BB15" i="23"/>
  <c r="BA15" i="23"/>
  <c r="AZ15" i="23"/>
  <c r="AY15" i="23"/>
  <c r="AX15" i="23"/>
  <c r="AW15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H15" i="23"/>
  <c r="BO15" i="23" s="1"/>
  <c r="BN14" i="23"/>
  <c r="BM14" i="23"/>
  <c r="BL14" i="23"/>
  <c r="BK14" i="23"/>
  <c r="BJ14" i="23"/>
  <c r="BI14" i="23"/>
  <c r="BH14" i="23"/>
  <c r="BG14" i="23"/>
  <c r="BF14" i="23"/>
  <c r="BE14" i="23"/>
  <c r="BD14" i="23"/>
  <c r="BC14" i="23"/>
  <c r="BB14" i="23"/>
  <c r="BA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H14" i="23"/>
  <c r="BO14" i="23" s="1"/>
  <c r="BN13" i="23"/>
  <c r="BM13" i="23"/>
  <c r="BL13" i="23"/>
  <c r="BK13" i="23"/>
  <c r="BJ13" i="23"/>
  <c r="BI13" i="23"/>
  <c r="BH13" i="23"/>
  <c r="BG13" i="23"/>
  <c r="BF13" i="23"/>
  <c r="BE13" i="23"/>
  <c r="BD13" i="23"/>
  <c r="BC13" i="23"/>
  <c r="BB13" i="23"/>
  <c r="BA13" i="23"/>
  <c r="AZ13" i="23"/>
  <c r="AY13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H13" i="23"/>
  <c r="BO13" i="23" s="1"/>
  <c r="BN12" i="23"/>
  <c r="BM12" i="23"/>
  <c r="BL12" i="23"/>
  <c r="BK12" i="23"/>
  <c r="BJ12" i="23"/>
  <c r="BI12" i="23"/>
  <c r="BH12" i="23"/>
  <c r="BG12" i="23"/>
  <c r="BF12" i="23"/>
  <c r="BE12" i="23"/>
  <c r="BD12" i="23"/>
  <c r="BC12" i="23"/>
  <c r="BB12" i="23"/>
  <c r="BA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H12" i="23"/>
  <c r="BO12" i="23" s="1"/>
  <c r="BN11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H11" i="23"/>
  <c r="BO11" i="23" s="1"/>
  <c r="BN10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H10" i="23"/>
  <c r="BO10" i="23" s="1"/>
  <c r="BN9" i="23"/>
  <c r="BM9" i="23"/>
  <c r="BL9" i="23"/>
  <c r="BK9" i="23"/>
  <c r="BJ9" i="23"/>
  <c r="BI9" i="23"/>
  <c r="BH9" i="23"/>
  <c r="BG9" i="23"/>
  <c r="BF9" i="23"/>
  <c r="BE9" i="23"/>
  <c r="BD9" i="23"/>
  <c r="BC9" i="23"/>
  <c r="BB9" i="23"/>
  <c r="BA9" i="23"/>
  <c r="AZ9" i="23"/>
  <c r="AY9" i="23"/>
  <c r="AX9" i="23"/>
  <c r="AW9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H9" i="23"/>
  <c r="BO9" i="23" s="1"/>
  <c r="BN8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BA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H8" i="23"/>
  <c r="BO8" i="23" s="1"/>
  <c r="BN7" i="23"/>
  <c r="BM7" i="23"/>
  <c r="BL7" i="23"/>
  <c r="BK7" i="23"/>
  <c r="BJ7" i="23"/>
  <c r="BI7" i="23"/>
  <c r="BH7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H7" i="23"/>
  <c r="BO7" i="23" s="1"/>
  <c r="BJ6" i="23"/>
  <c r="BG6" i="23"/>
  <c r="AY6" i="23"/>
  <c r="BN6" i="23"/>
  <c r="BM6" i="23"/>
  <c r="BL6" i="23"/>
  <c r="BK6" i="23"/>
  <c r="AC32" i="23"/>
  <c r="AB32" i="23"/>
  <c r="AA32" i="23"/>
  <c r="BF6" i="23"/>
  <c r="BE6" i="23"/>
  <c r="BD6" i="23"/>
  <c r="BC6" i="23"/>
  <c r="BB6" i="23"/>
  <c r="T32" i="23"/>
  <c r="S32" i="23"/>
  <c r="R32" i="23"/>
  <c r="AX6" i="23"/>
  <c r="AW6" i="23"/>
  <c r="AV6" i="23"/>
  <c r="AU6" i="23"/>
  <c r="AT6" i="23"/>
  <c r="L32" i="23"/>
  <c r="K32" i="23"/>
  <c r="AQ6" i="23"/>
  <c r="AP6" i="23"/>
  <c r="AN6" i="23"/>
  <c r="D45" i="23"/>
  <c r="E45" i="23" s="1"/>
  <c r="F45" i="23" s="1"/>
  <c r="BN5" i="23"/>
  <c r="BM5" i="23"/>
  <c r="BL5" i="23"/>
  <c r="BK5" i="23"/>
  <c r="BJ5" i="23"/>
  <c r="BI5" i="23"/>
  <c r="BH5" i="23"/>
  <c r="BG5" i="23"/>
  <c r="BF5" i="23"/>
  <c r="BE5" i="23"/>
  <c r="BD5" i="23"/>
  <c r="BC5" i="23"/>
  <c r="BB5" i="23"/>
  <c r="BA5" i="23"/>
  <c r="AZ5" i="23"/>
  <c r="AY5" i="23"/>
  <c r="AX5" i="23"/>
  <c r="AW5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H5" i="23"/>
  <c r="L43" i="17" l="1"/>
  <c r="L44" i="17" s="1"/>
  <c r="L37" i="17"/>
  <c r="L38" i="17" s="1"/>
  <c r="L40" i="17"/>
  <c r="L41" i="17" s="1"/>
  <c r="L67" i="17"/>
  <c r="L68" i="17" s="1"/>
  <c r="L22" i="17"/>
  <c r="L23" i="17" s="1"/>
  <c r="L25" i="17"/>
  <c r="L26" i="17" s="1"/>
  <c r="L19" i="17"/>
  <c r="L20" i="17" s="1"/>
  <c r="L82" i="17"/>
  <c r="L83" i="17" s="1"/>
  <c r="L4" i="17"/>
  <c r="L13" i="17"/>
  <c r="L14" i="17" s="1"/>
  <c r="L10" i="17"/>
  <c r="L11" i="17" s="1"/>
  <c r="L73" i="17"/>
  <c r="L74" i="17" s="1"/>
  <c r="L76" i="17"/>
  <c r="L77" i="17" s="1"/>
  <c r="L55" i="17"/>
  <c r="L56" i="17" s="1"/>
  <c r="L70" i="17"/>
  <c r="L71" i="17" s="1"/>
  <c r="L61" i="17"/>
  <c r="L62" i="17" s="1"/>
  <c r="L16" i="17"/>
  <c r="L17" i="17" s="1"/>
  <c r="L28" i="17"/>
  <c r="L29" i="17" s="1"/>
  <c r="L64" i="17"/>
  <c r="L65" i="17" s="1"/>
  <c r="L34" i="17"/>
  <c r="L35" i="17" s="1"/>
  <c r="L58" i="17"/>
  <c r="L59" i="17" s="1"/>
  <c r="L31" i="17"/>
  <c r="L32" i="17" s="1"/>
  <c r="L46" i="17"/>
  <c r="L47" i="17" s="1"/>
  <c r="L49" i="17"/>
  <c r="L50" i="17" s="1"/>
  <c r="L52" i="17"/>
  <c r="L53" i="17" s="1"/>
  <c r="AS6" i="23"/>
  <c r="AH6" i="23"/>
  <c r="BI6" i="23"/>
  <c r="AK6" i="23"/>
  <c r="BA6" i="23"/>
  <c r="I45" i="23"/>
  <c r="J45" i="23" s="1"/>
  <c r="K45" i="23" s="1"/>
  <c r="L45" i="23" s="1"/>
  <c r="M45" i="23" s="1"/>
  <c r="N45" i="23" s="1"/>
  <c r="O45" i="23" s="1"/>
  <c r="P45" i="23" s="1"/>
  <c r="Q45" i="23" s="1"/>
  <c r="R45" i="23" s="1"/>
  <c r="S45" i="23" s="1"/>
  <c r="T45" i="23" s="1"/>
  <c r="U45" i="23" s="1"/>
  <c r="V45" i="23" s="1"/>
  <c r="AJ6" i="23"/>
  <c r="AR6" i="23"/>
  <c r="AZ6" i="23"/>
  <c r="BH6" i="23"/>
  <c r="E32" i="23"/>
  <c r="M32" i="23"/>
  <c r="U32" i="23"/>
  <c r="F32" i="23"/>
  <c r="N32" i="23"/>
  <c r="V32" i="23"/>
  <c r="AD32" i="23"/>
  <c r="G32" i="23"/>
  <c r="O32" i="23"/>
  <c r="W32" i="23"/>
  <c r="AE32" i="23"/>
  <c r="BO5" i="23"/>
  <c r="H32" i="23"/>
  <c r="P32" i="23"/>
  <c r="X32" i="23"/>
  <c r="AF32" i="23"/>
  <c r="I32" i="23"/>
  <c r="Q32" i="23"/>
  <c r="Y32" i="23"/>
  <c r="AG32" i="23"/>
  <c r="AL6" i="23"/>
  <c r="D32" i="23"/>
  <c r="AH6" i="16"/>
  <c r="R53" i="14"/>
  <c r="R52" i="14"/>
  <c r="AG6" i="16"/>
  <c r="H50" i="14"/>
  <c r="AF6" i="16"/>
  <c r="R51" i="14"/>
  <c r="AE6" i="16"/>
  <c r="P50" i="14"/>
  <c r="R50" i="14"/>
  <c r="H49" i="14"/>
  <c r="R49" i="14"/>
  <c r="AC6" i="16"/>
  <c r="AD6" i="16"/>
  <c r="BO6" i="23" l="1"/>
  <c r="L7" i="17"/>
  <c r="AH32" i="23"/>
  <c r="AH34" i="23" s="1"/>
  <c r="AB6" i="16"/>
  <c r="R48" i="14"/>
  <c r="H48" i="14"/>
  <c r="Z6" i="16"/>
  <c r="AA6" i="16"/>
  <c r="R47" i="14"/>
  <c r="H47" i="14"/>
  <c r="H46" i="14"/>
  <c r="R46" i="14"/>
  <c r="Y6" i="16"/>
  <c r="Y24" i="16"/>
  <c r="R45" i="14"/>
  <c r="H45" i="14"/>
  <c r="X6" i="16"/>
  <c r="AH35" i="23" l="1"/>
  <c r="AH36" i="23"/>
  <c r="AH33" i="23"/>
  <c r="A127" i="22"/>
  <c r="R44" i="14"/>
  <c r="H44" i="14"/>
  <c r="W6" i="16"/>
  <c r="H43" i="14"/>
  <c r="R43" i="14"/>
  <c r="V6" i="16"/>
  <c r="V24" i="16"/>
  <c r="H42" i="14"/>
  <c r="R42" i="14"/>
  <c r="U6" i="16"/>
  <c r="U24" i="16"/>
  <c r="H41" i="14"/>
  <c r="R41" i="14"/>
  <c r="R40" i="14"/>
  <c r="T6" i="16"/>
  <c r="H40" i="14"/>
  <c r="S6" i="16"/>
  <c r="R39" i="14"/>
  <c r="R6" i="16"/>
  <c r="H39" i="14"/>
  <c r="P37" i="14"/>
  <c r="R38" i="14"/>
  <c r="R37" i="14"/>
  <c r="F37" i="14"/>
  <c r="H38" i="14"/>
  <c r="Q6" i="16"/>
  <c r="H37" i="14"/>
  <c r="R35" i="14"/>
  <c r="R36" i="14"/>
  <c r="P6" i="16"/>
  <c r="H36" i="14" l="1"/>
  <c r="O6" i="16"/>
  <c r="H35" i="14" l="1"/>
  <c r="O40" i="16"/>
  <c r="N6" i="16"/>
  <c r="R34" i="14" l="1"/>
  <c r="H34" i="14"/>
  <c r="M6" i="16"/>
  <c r="H33" i="14"/>
  <c r="R33" i="14"/>
  <c r="L6" i="16"/>
  <c r="R32" i="14"/>
  <c r="H32" i="14"/>
  <c r="K6" i="16"/>
  <c r="K24" i="16"/>
  <c r="R31" i="14" l="1"/>
  <c r="H31" i="14"/>
  <c r="J6" i="16"/>
  <c r="H27" i="14" l="1"/>
  <c r="H28" i="14"/>
  <c r="H29" i="14"/>
  <c r="H30" i="14"/>
  <c r="H26" i="14"/>
  <c r="I6" i="16"/>
  <c r="H6" i="16"/>
  <c r="B1537" i="18"/>
  <c r="B1555" i="18"/>
  <c r="B1511" i="18"/>
  <c r="B1529" i="18"/>
  <c r="B1485" i="18"/>
  <c r="B1459" i="18"/>
  <c r="B1433" i="18"/>
  <c r="B1407" i="18"/>
  <c r="B1381" i="18"/>
  <c r="B1355" i="18"/>
  <c r="B1329" i="18"/>
  <c r="B1303" i="18"/>
  <c r="B1277" i="18"/>
  <c r="B1251" i="18"/>
  <c r="B1225" i="18"/>
  <c r="B1199" i="18"/>
  <c r="B1173" i="18"/>
  <c r="B1147" i="18"/>
  <c r="B1121" i="18"/>
  <c r="B1095" i="18"/>
  <c r="B1069" i="18"/>
  <c r="B1043" i="18"/>
  <c r="B1017" i="18"/>
  <c r="B991" i="18"/>
  <c r="B965" i="18"/>
  <c r="B939" i="18"/>
  <c r="B913" i="18"/>
  <c r="B887" i="18"/>
  <c r="B861" i="18"/>
  <c r="B835" i="18"/>
  <c r="B809" i="18"/>
  <c r="B783" i="18"/>
  <c r="B757" i="18"/>
  <c r="B731" i="18"/>
  <c r="B705" i="18"/>
  <c r="B679" i="18"/>
  <c r="B653" i="18"/>
  <c r="B627" i="18"/>
  <c r="B601" i="18"/>
  <c r="B575" i="18"/>
  <c r="B549" i="18"/>
  <c r="B523" i="18"/>
  <c r="B497" i="18"/>
  <c r="B471" i="18"/>
  <c r="B445" i="18"/>
  <c r="B419" i="18"/>
  <c r="B393" i="18"/>
  <c r="B367" i="18"/>
  <c r="R6" i="13"/>
  <c r="B341" i="18"/>
  <c r="B315" i="18"/>
  <c r="B159" i="18"/>
  <c r="B133" i="18"/>
  <c r="B107" i="18"/>
  <c r="B81" i="18"/>
  <c r="B3" i="18"/>
  <c r="B29" i="18"/>
  <c r="B55" i="18"/>
  <c r="H2" i="8"/>
  <c r="G6" i="16"/>
  <c r="F6" i="16" l="1"/>
  <c r="E6" i="16"/>
  <c r="K79" i="17"/>
  <c r="L8" i="17"/>
  <c r="M8" i="17"/>
  <c r="N8" i="17"/>
  <c r="O8" i="17"/>
  <c r="P8" i="17"/>
  <c r="R8" i="17"/>
  <c r="S8" i="17"/>
  <c r="T8" i="17"/>
  <c r="L5" i="17"/>
  <c r="M5" i="17"/>
  <c r="N5" i="17"/>
  <c r="O5" i="17"/>
  <c r="P5" i="17"/>
  <c r="R5" i="17"/>
  <c r="S5" i="17"/>
  <c r="T5" i="17"/>
  <c r="L87" i="17"/>
  <c r="M87" i="17"/>
  <c r="N87" i="17"/>
  <c r="O87" i="17"/>
  <c r="P87" i="17"/>
  <c r="Q87" i="17"/>
  <c r="J86" i="17"/>
  <c r="K86" i="17"/>
  <c r="L86" i="17"/>
  <c r="M86" i="17"/>
  <c r="N86" i="17"/>
  <c r="P86" i="17"/>
  <c r="Q86" i="17"/>
  <c r="R86" i="17"/>
  <c r="R88" i="17" s="1"/>
  <c r="S86" i="17"/>
  <c r="S88" i="17" s="1"/>
  <c r="T86" i="17"/>
  <c r="T88" i="17" s="1"/>
  <c r="I86" i="17"/>
  <c r="J76" i="17"/>
  <c r="J77" i="17" s="1"/>
  <c r="J73" i="17"/>
  <c r="J74" i="17" s="1"/>
  <c r="J70" i="17"/>
  <c r="J71" i="17" s="1"/>
  <c r="J67" i="17"/>
  <c r="J68" i="17" s="1"/>
  <c r="J64" i="17"/>
  <c r="J65" i="17" s="1"/>
  <c r="J82" i="17"/>
  <c r="J83" i="17" s="1"/>
  <c r="J61" i="17"/>
  <c r="J62" i="17" s="1"/>
  <c r="J58" i="17"/>
  <c r="J59" i="17" s="1"/>
  <c r="J55" i="17"/>
  <c r="J56" i="17" s="1"/>
  <c r="J52" i="17"/>
  <c r="J53" i="17" s="1"/>
  <c r="J49" i="17"/>
  <c r="J50" i="17" s="1"/>
  <c r="J46" i="17"/>
  <c r="J47" i="17" s="1"/>
  <c r="J43" i="17"/>
  <c r="J44" i="17" s="1"/>
  <c r="J40" i="17"/>
  <c r="J41" i="17" s="1"/>
  <c r="J37" i="17"/>
  <c r="J38" i="17" s="1"/>
  <c r="J34" i="17"/>
  <c r="J35" i="17" s="1"/>
  <c r="J31" i="17"/>
  <c r="J32" i="17" s="1"/>
  <c r="J28" i="17"/>
  <c r="J29" i="17" s="1"/>
  <c r="J25" i="17"/>
  <c r="J26" i="17" s="1"/>
  <c r="J22" i="17"/>
  <c r="J23" i="17" s="1"/>
  <c r="J19" i="17"/>
  <c r="J20" i="17" s="1"/>
  <c r="J16" i="17"/>
  <c r="J17" i="17" s="1"/>
  <c r="J13" i="17"/>
  <c r="J14" i="17" s="1"/>
  <c r="J10" i="17"/>
  <c r="J11" i="17" s="1"/>
  <c r="J7" i="17"/>
  <c r="J8" i="17" s="1"/>
  <c r="J4" i="17"/>
  <c r="J5" i="17" s="1"/>
  <c r="G115" i="17"/>
  <c r="G100" i="17"/>
  <c r="G102" i="17" s="1"/>
  <c r="T97" i="17"/>
  <c r="S97" i="17"/>
  <c r="R97" i="17"/>
  <c r="Q97" i="17"/>
  <c r="P97" i="17"/>
  <c r="O97" i="17"/>
  <c r="N97" i="17"/>
  <c r="M97" i="17"/>
  <c r="L97" i="17"/>
  <c r="J97" i="17"/>
  <c r="I97" i="17"/>
  <c r="T96" i="17"/>
  <c r="S96" i="17"/>
  <c r="R96" i="17"/>
  <c r="Q96" i="17"/>
  <c r="P96" i="17"/>
  <c r="O96" i="17"/>
  <c r="N96" i="17"/>
  <c r="M96" i="17"/>
  <c r="L96" i="17"/>
  <c r="V94" i="17"/>
  <c r="Y72" i="17" s="1"/>
  <c r="T93" i="17"/>
  <c r="S93" i="17"/>
  <c r="R93" i="17"/>
  <c r="Q93" i="17"/>
  <c r="P93" i="17"/>
  <c r="O93" i="17"/>
  <c r="N93" i="17"/>
  <c r="M93" i="17"/>
  <c r="L93" i="17"/>
  <c r="K93" i="17"/>
  <c r="J93" i="17"/>
  <c r="I93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U81" i="17"/>
  <c r="U78" i="17"/>
  <c r="U75" i="17"/>
  <c r="U72" i="17"/>
  <c r="U69" i="17"/>
  <c r="U66" i="17"/>
  <c r="U63" i="17"/>
  <c r="U60" i="17"/>
  <c r="U57" i="17"/>
  <c r="U54" i="17"/>
  <c r="U51" i="17"/>
  <c r="U48" i="17"/>
  <c r="U45" i="17"/>
  <c r="U42" i="17"/>
  <c r="U39" i="17"/>
  <c r="U36" i="17"/>
  <c r="U33" i="17"/>
  <c r="U30" i="17"/>
  <c r="U27" i="17"/>
  <c r="U24" i="17"/>
  <c r="U21" i="17"/>
  <c r="U18" i="17"/>
  <c r="U15" i="17"/>
  <c r="U12" i="17"/>
  <c r="U9" i="17"/>
  <c r="U6" i="17"/>
  <c r="U3" i="17"/>
  <c r="U79" i="17" l="1"/>
  <c r="V79" i="17"/>
  <c r="V80" i="17" s="1"/>
  <c r="V86" i="17"/>
  <c r="AA88" i="17" s="1"/>
  <c r="U80" i="17"/>
  <c r="N95" i="17"/>
  <c r="K97" i="17"/>
  <c r="U97" i="17" s="1"/>
  <c r="L88" i="17"/>
  <c r="T95" i="17"/>
  <c r="L95" i="17"/>
  <c r="P95" i="17"/>
  <c r="M88" i="17"/>
  <c r="Q88" i="17"/>
  <c r="P88" i="17"/>
  <c r="S95" i="17"/>
  <c r="O95" i="17"/>
  <c r="O88" i="17"/>
  <c r="N88" i="17"/>
  <c r="M95" i="17"/>
  <c r="R95" i="17"/>
  <c r="Q95" i="17"/>
  <c r="U86" i="17"/>
  <c r="J87" i="17"/>
  <c r="V91" i="17"/>
  <c r="Y78" i="17" s="1"/>
  <c r="V92" i="17"/>
  <c r="Y81" i="17" s="1"/>
  <c r="J96" i="17"/>
  <c r="V93" i="17"/>
  <c r="Y75" i="17" s="1"/>
  <c r="X75" i="17" s="1"/>
  <c r="V90" i="17"/>
  <c r="Y85" i="17" s="1"/>
  <c r="J95" i="17"/>
  <c r="G104" i="17"/>
  <c r="G117" i="17"/>
  <c r="D6" i="16"/>
  <c r="D45" i="16" s="1"/>
  <c r="E45" i="16" s="1"/>
  <c r="F45" i="16" s="1"/>
  <c r="I67" i="16"/>
  <c r="J67" i="16" s="1"/>
  <c r="K67" i="16" s="1"/>
  <c r="L67" i="16" s="1"/>
  <c r="M67" i="16" s="1"/>
  <c r="N67" i="16" s="1"/>
  <c r="O67" i="16" s="1"/>
  <c r="P67" i="16" s="1"/>
  <c r="Q67" i="16" s="1"/>
  <c r="R67" i="16" s="1"/>
  <c r="S67" i="16" s="1"/>
  <c r="T67" i="16" s="1"/>
  <c r="U67" i="16" s="1"/>
  <c r="V67" i="16" s="1"/>
  <c r="D67" i="16"/>
  <c r="E67" i="16" s="1"/>
  <c r="F67" i="16" s="1"/>
  <c r="I66" i="16"/>
  <c r="J66" i="16" s="1"/>
  <c r="K66" i="16" s="1"/>
  <c r="L66" i="16" s="1"/>
  <c r="M66" i="16" s="1"/>
  <c r="N66" i="16" s="1"/>
  <c r="O66" i="16" s="1"/>
  <c r="P66" i="16" s="1"/>
  <c r="Q66" i="16" s="1"/>
  <c r="R66" i="16" s="1"/>
  <c r="S66" i="16" s="1"/>
  <c r="T66" i="16" s="1"/>
  <c r="U66" i="16" s="1"/>
  <c r="V66" i="16" s="1"/>
  <c r="D66" i="16"/>
  <c r="E66" i="16" s="1"/>
  <c r="F66" i="16" s="1"/>
  <c r="I65" i="16"/>
  <c r="J65" i="16" s="1"/>
  <c r="K65" i="16" s="1"/>
  <c r="L65" i="16" s="1"/>
  <c r="M65" i="16" s="1"/>
  <c r="N65" i="16" s="1"/>
  <c r="O65" i="16" s="1"/>
  <c r="P65" i="16" s="1"/>
  <c r="Q65" i="16" s="1"/>
  <c r="R65" i="16" s="1"/>
  <c r="S65" i="16" s="1"/>
  <c r="T65" i="16" s="1"/>
  <c r="U65" i="16" s="1"/>
  <c r="V65" i="16" s="1"/>
  <c r="D65" i="16"/>
  <c r="E65" i="16" s="1"/>
  <c r="F65" i="16" s="1"/>
  <c r="I64" i="16"/>
  <c r="J64" i="16" s="1"/>
  <c r="K64" i="16" s="1"/>
  <c r="L64" i="16" s="1"/>
  <c r="M64" i="16" s="1"/>
  <c r="N64" i="16" s="1"/>
  <c r="O64" i="16" s="1"/>
  <c r="P64" i="16" s="1"/>
  <c r="Q64" i="16" s="1"/>
  <c r="R64" i="16" s="1"/>
  <c r="S64" i="16" s="1"/>
  <c r="T64" i="16" s="1"/>
  <c r="U64" i="16" s="1"/>
  <c r="V64" i="16" s="1"/>
  <c r="D64" i="16"/>
  <c r="E64" i="16" s="1"/>
  <c r="F64" i="16" s="1"/>
  <c r="I63" i="16"/>
  <c r="J63" i="16" s="1"/>
  <c r="K63" i="16" s="1"/>
  <c r="L63" i="16" s="1"/>
  <c r="M63" i="16" s="1"/>
  <c r="N63" i="16" s="1"/>
  <c r="O63" i="16" s="1"/>
  <c r="P63" i="16" s="1"/>
  <c r="Q63" i="16" s="1"/>
  <c r="R63" i="16" s="1"/>
  <c r="S63" i="16" s="1"/>
  <c r="T63" i="16" s="1"/>
  <c r="U63" i="16" s="1"/>
  <c r="V63" i="16" s="1"/>
  <c r="D63" i="16"/>
  <c r="E63" i="16" s="1"/>
  <c r="F63" i="16" s="1"/>
  <c r="I62" i="16"/>
  <c r="J62" i="16" s="1"/>
  <c r="K62" i="16" s="1"/>
  <c r="L62" i="16" s="1"/>
  <c r="M62" i="16" s="1"/>
  <c r="N62" i="16" s="1"/>
  <c r="O62" i="16" s="1"/>
  <c r="P62" i="16" s="1"/>
  <c r="Q62" i="16" s="1"/>
  <c r="R62" i="16" s="1"/>
  <c r="S62" i="16" s="1"/>
  <c r="T62" i="16" s="1"/>
  <c r="U62" i="16" s="1"/>
  <c r="V62" i="16" s="1"/>
  <c r="D62" i="16"/>
  <c r="E62" i="16" s="1"/>
  <c r="F62" i="16" s="1"/>
  <c r="I61" i="16"/>
  <c r="J61" i="16" s="1"/>
  <c r="K61" i="16" s="1"/>
  <c r="L61" i="16" s="1"/>
  <c r="M61" i="16" s="1"/>
  <c r="N61" i="16" s="1"/>
  <c r="O61" i="16" s="1"/>
  <c r="P61" i="16" s="1"/>
  <c r="Q61" i="16" s="1"/>
  <c r="R61" i="16" s="1"/>
  <c r="S61" i="16" s="1"/>
  <c r="T61" i="16" s="1"/>
  <c r="U61" i="16" s="1"/>
  <c r="V61" i="16" s="1"/>
  <c r="D61" i="16"/>
  <c r="E61" i="16" s="1"/>
  <c r="F61" i="16" s="1"/>
  <c r="I60" i="16"/>
  <c r="J60" i="16" s="1"/>
  <c r="K60" i="16" s="1"/>
  <c r="L60" i="16" s="1"/>
  <c r="M60" i="16" s="1"/>
  <c r="N60" i="16" s="1"/>
  <c r="O60" i="16" s="1"/>
  <c r="P60" i="16" s="1"/>
  <c r="Q60" i="16" s="1"/>
  <c r="R60" i="16" s="1"/>
  <c r="S60" i="16" s="1"/>
  <c r="T60" i="16" s="1"/>
  <c r="U60" i="16" s="1"/>
  <c r="V60" i="16" s="1"/>
  <c r="D60" i="16"/>
  <c r="E60" i="16" s="1"/>
  <c r="F60" i="16" s="1"/>
  <c r="I59" i="16"/>
  <c r="J59" i="16" s="1"/>
  <c r="K59" i="16" s="1"/>
  <c r="L59" i="16" s="1"/>
  <c r="M59" i="16" s="1"/>
  <c r="N59" i="16" s="1"/>
  <c r="O59" i="16" s="1"/>
  <c r="P59" i="16" s="1"/>
  <c r="Q59" i="16" s="1"/>
  <c r="R59" i="16" s="1"/>
  <c r="S59" i="16" s="1"/>
  <c r="T59" i="16" s="1"/>
  <c r="U59" i="16" s="1"/>
  <c r="V59" i="16" s="1"/>
  <c r="D59" i="16"/>
  <c r="E59" i="16" s="1"/>
  <c r="F59" i="16" s="1"/>
  <c r="I58" i="16"/>
  <c r="J58" i="16" s="1"/>
  <c r="K58" i="16" s="1"/>
  <c r="L58" i="16" s="1"/>
  <c r="M58" i="16" s="1"/>
  <c r="N58" i="16" s="1"/>
  <c r="O58" i="16" s="1"/>
  <c r="P58" i="16" s="1"/>
  <c r="Q58" i="16" s="1"/>
  <c r="R58" i="16" s="1"/>
  <c r="S58" i="16" s="1"/>
  <c r="T58" i="16" s="1"/>
  <c r="U58" i="16" s="1"/>
  <c r="V58" i="16" s="1"/>
  <c r="D58" i="16"/>
  <c r="E58" i="16" s="1"/>
  <c r="F58" i="16" s="1"/>
  <c r="I57" i="16"/>
  <c r="J57" i="16" s="1"/>
  <c r="K57" i="16" s="1"/>
  <c r="L57" i="16" s="1"/>
  <c r="M57" i="16" s="1"/>
  <c r="N57" i="16" s="1"/>
  <c r="O57" i="16" s="1"/>
  <c r="P57" i="16" s="1"/>
  <c r="Q57" i="16" s="1"/>
  <c r="R57" i="16" s="1"/>
  <c r="S57" i="16" s="1"/>
  <c r="T57" i="16" s="1"/>
  <c r="U57" i="16" s="1"/>
  <c r="V57" i="16" s="1"/>
  <c r="D57" i="16"/>
  <c r="E57" i="16" s="1"/>
  <c r="F57" i="16" s="1"/>
  <c r="J56" i="16"/>
  <c r="K56" i="16" s="1"/>
  <c r="L56" i="16" s="1"/>
  <c r="M56" i="16" s="1"/>
  <c r="N56" i="16" s="1"/>
  <c r="O56" i="16" s="1"/>
  <c r="P56" i="16" s="1"/>
  <c r="Q56" i="16" s="1"/>
  <c r="R56" i="16" s="1"/>
  <c r="S56" i="16" s="1"/>
  <c r="T56" i="16" s="1"/>
  <c r="U56" i="16" s="1"/>
  <c r="V56" i="16" s="1"/>
  <c r="I56" i="16"/>
  <c r="D56" i="16"/>
  <c r="E56" i="16" s="1"/>
  <c r="F56" i="16" s="1"/>
  <c r="I55" i="16"/>
  <c r="J55" i="16" s="1"/>
  <c r="K55" i="16" s="1"/>
  <c r="L55" i="16" s="1"/>
  <c r="M55" i="16" s="1"/>
  <c r="N55" i="16" s="1"/>
  <c r="O55" i="16" s="1"/>
  <c r="P55" i="16" s="1"/>
  <c r="Q55" i="16" s="1"/>
  <c r="R55" i="16" s="1"/>
  <c r="S55" i="16" s="1"/>
  <c r="T55" i="16" s="1"/>
  <c r="U55" i="16" s="1"/>
  <c r="V55" i="16" s="1"/>
  <c r="D55" i="16"/>
  <c r="E55" i="16" s="1"/>
  <c r="F55" i="16" s="1"/>
  <c r="I54" i="16"/>
  <c r="J54" i="16" s="1"/>
  <c r="K54" i="16" s="1"/>
  <c r="L54" i="16" s="1"/>
  <c r="M54" i="16" s="1"/>
  <c r="N54" i="16" s="1"/>
  <c r="O54" i="16" s="1"/>
  <c r="P54" i="16" s="1"/>
  <c r="Q54" i="16" s="1"/>
  <c r="R54" i="16" s="1"/>
  <c r="S54" i="16" s="1"/>
  <c r="T54" i="16" s="1"/>
  <c r="U54" i="16" s="1"/>
  <c r="V54" i="16" s="1"/>
  <c r="D54" i="16"/>
  <c r="E54" i="16" s="1"/>
  <c r="F54" i="16" s="1"/>
  <c r="I53" i="16"/>
  <c r="J53" i="16" s="1"/>
  <c r="K53" i="16" s="1"/>
  <c r="L53" i="16" s="1"/>
  <c r="M53" i="16" s="1"/>
  <c r="N53" i="16" s="1"/>
  <c r="O53" i="16" s="1"/>
  <c r="P53" i="16" s="1"/>
  <c r="Q53" i="16" s="1"/>
  <c r="R53" i="16" s="1"/>
  <c r="S53" i="16" s="1"/>
  <c r="T53" i="16" s="1"/>
  <c r="U53" i="16" s="1"/>
  <c r="V53" i="16" s="1"/>
  <c r="E53" i="16"/>
  <c r="F53" i="16" s="1"/>
  <c r="D53" i="16"/>
  <c r="I52" i="16"/>
  <c r="J52" i="16" s="1"/>
  <c r="K52" i="16" s="1"/>
  <c r="L52" i="16" s="1"/>
  <c r="M52" i="16" s="1"/>
  <c r="N52" i="16" s="1"/>
  <c r="O52" i="16" s="1"/>
  <c r="P52" i="16" s="1"/>
  <c r="Q52" i="16" s="1"/>
  <c r="R52" i="16" s="1"/>
  <c r="S52" i="16" s="1"/>
  <c r="T52" i="16" s="1"/>
  <c r="U52" i="16" s="1"/>
  <c r="V52" i="16" s="1"/>
  <c r="D52" i="16"/>
  <c r="E52" i="16" s="1"/>
  <c r="F52" i="16" s="1"/>
  <c r="I51" i="16"/>
  <c r="J51" i="16" s="1"/>
  <c r="K51" i="16" s="1"/>
  <c r="L51" i="16" s="1"/>
  <c r="M51" i="16" s="1"/>
  <c r="N51" i="16" s="1"/>
  <c r="O51" i="16" s="1"/>
  <c r="P51" i="16" s="1"/>
  <c r="Q51" i="16" s="1"/>
  <c r="R51" i="16" s="1"/>
  <c r="S51" i="16" s="1"/>
  <c r="T51" i="16" s="1"/>
  <c r="U51" i="16" s="1"/>
  <c r="V51" i="16" s="1"/>
  <c r="D51" i="16"/>
  <c r="E51" i="16" s="1"/>
  <c r="F51" i="16" s="1"/>
  <c r="I50" i="16"/>
  <c r="J50" i="16" s="1"/>
  <c r="K50" i="16" s="1"/>
  <c r="L50" i="16" s="1"/>
  <c r="M50" i="16" s="1"/>
  <c r="N50" i="16" s="1"/>
  <c r="O50" i="16" s="1"/>
  <c r="P50" i="16" s="1"/>
  <c r="Q50" i="16" s="1"/>
  <c r="R50" i="16" s="1"/>
  <c r="S50" i="16" s="1"/>
  <c r="T50" i="16" s="1"/>
  <c r="U50" i="16" s="1"/>
  <c r="V50" i="16" s="1"/>
  <c r="D50" i="16"/>
  <c r="E50" i="16" s="1"/>
  <c r="F50" i="16" s="1"/>
  <c r="I49" i="16"/>
  <c r="J49" i="16" s="1"/>
  <c r="K49" i="16" s="1"/>
  <c r="L49" i="16" s="1"/>
  <c r="M49" i="16" s="1"/>
  <c r="N49" i="16" s="1"/>
  <c r="O49" i="16" s="1"/>
  <c r="P49" i="16" s="1"/>
  <c r="Q49" i="16" s="1"/>
  <c r="R49" i="16" s="1"/>
  <c r="S49" i="16" s="1"/>
  <c r="T49" i="16" s="1"/>
  <c r="U49" i="16" s="1"/>
  <c r="V49" i="16" s="1"/>
  <c r="D49" i="16"/>
  <c r="E49" i="16" s="1"/>
  <c r="F49" i="16" s="1"/>
  <c r="I48" i="16"/>
  <c r="J48" i="16" s="1"/>
  <c r="K48" i="16" s="1"/>
  <c r="L48" i="16" s="1"/>
  <c r="M48" i="16" s="1"/>
  <c r="N48" i="16" s="1"/>
  <c r="O48" i="16" s="1"/>
  <c r="P48" i="16" s="1"/>
  <c r="Q48" i="16" s="1"/>
  <c r="R48" i="16" s="1"/>
  <c r="S48" i="16" s="1"/>
  <c r="T48" i="16" s="1"/>
  <c r="U48" i="16" s="1"/>
  <c r="V48" i="16" s="1"/>
  <c r="D48" i="16"/>
  <c r="E48" i="16" s="1"/>
  <c r="F48" i="16" s="1"/>
  <c r="I47" i="16"/>
  <c r="J47" i="16" s="1"/>
  <c r="K47" i="16" s="1"/>
  <c r="L47" i="16" s="1"/>
  <c r="M47" i="16" s="1"/>
  <c r="N47" i="16" s="1"/>
  <c r="O47" i="16" s="1"/>
  <c r="P47" i="16" s="1"/>
  <c r="Q47" i="16" s="1"/>
  <c r="R47" i="16" s="1"/>
  <c r="S47" i="16" s="1"/>
  <c r="T47" i="16" s="1"/>
  <c r="U47" i="16" s="1"/>
  <c r="V47" i="16" s="1"/>
  <c r="D47" i="16"/>
  <c r="E47" i="16" s="1"/>
  <c r="F47" i="16" s="1"/>
  <c r="I46" i="16"/>
  <c r="J46" i="16" s="1"/>
  <c r="K46" i="16" s="1"/>
  <c r="L46" i="16" s="1"/>
  <c r="M46" i="16" s="1"/>
  <c r="N46" i="16" s="1"/>
  <c r="O46" i="16" s="1"/>
  <c r="P46" i="16" s="1"/>
  <c r="Q46" i="16" s="1"/>
  <c r="R46" i="16" s="1"/>
  <c r="S46" i="16" s="1"/>
  <c r="T46" i="16" s="1"/>
  <c r="U46" i="16" s="1"/>
  <c r="V46" i="16" s="1"/>
  <c r="D46" i="16"/>
  <c r="E46" i="16" s="1"/>
  <c r="F46" i="16" s="1"/>
  <c r="H45" i="16"/>
  <c r="I45" i="16" s="1"/>
  <c r="J45" i="16" s="1"/>
  <c r="K45" i="16" s="1"/>
  <c r="L45" i="16" s="1"/>
  <c r="M45" i="16" s="1"/>
  <c r="N45" i="16" s="1"/>
  <c r="O45" i="16" s="1"/>
  <c r="P45" i="16" s="1"/>
  <c r="Q45" i="16" s="1"/>
  <c r="R45" i="16" s="1"/>
  <c r="S45" i="16" s="1"/>
  <c r="T45" i="16" s="1"/>
  <c r="U45" i="16" s="1"/>
  <c r="V45" i="16" s="1"/>
  <c r="G45" i="16"/>
  <c r="AM44" i="16"/>
  <c r="I44" i="16"/>
  <c r="J44" i="16" s="1"/>
  <c r="K44" i="16" s="1"/>
  <c r="L44" i="16" s="1"/>
  <c r="M44" i="16" s="1"/>
  <c r="N44" i="16" s="1"/>
  <c r="O44" i="16" s="1"/>
  <c r="P44" i="16" s="1"/>
  <c r="Q44" i="16" s="1"/>
  <c r="R44" i="16" s="1"/>
  <c r="S44" i="16" s="1"/>
  <c r="T44" i="16" s="1"/>
  <c r="U44" i="16" s="1"/>
  <c r="V44" i="16" s="1"/>
  <c r="D44" i="16"/>
  <c r="E44" i="16" s="1"/>
  <c r="F44" i="16" s="1"/>
  <c r="AG42" i="16"/>
  <c r="AA42" i="16"/>
  <c r="Z42" i="16"/>
  <c r="T42" i="16"/>
  <c r="S42" i="16"/>
  <c r="M42" i="16"/>
  <c r="L42" i="16"/>
  <c r="F42" i="16"/>
  <c r="E42" i="16"/>
  <c r="AF40" i="16"/>
  <c r="AF41" i="16" s="1"/>
  <c r="AE39" i="16"/>
  <c r="AC39" i="16"/>
  <c r="T37" i="16"/>
  <c r="N36" i="16"/>
  <c r="L36" i="16"/>
  <c r="AJ32" i="16"/>
  <c r="AH32" i="16"/>
  <c r="AG32" i="16"/>
  <c r="BO31" i="16"/>
  <c r="BN31" i="16"/>
  <c r="BM31" i="16"/>
  <c r="BL31" i="16"/>
  <c r="BK31" i="16"/>
  <c r="BJ31" i="16"/>
  <c r="BI31" i="16"/>
  <c r="BH31" i="16"/>
  <c r="BG31" i="16"/>
  <c r="BF31" i="16"/>
  <c r="BE31" i="16"/>
  <c r="BD31" i="16"/>
  <c r="BC31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I31" i="16"/>
  <c r="BP31" i="16" s="1"/>
  <c r="BO30" i="16"/>
  <c r="BN30" i="16"/>
  <c r="BM30" i="16"/>
  <c r="BL30" i="16"/>
  <c r="BK30" i="16"/>
  <c r="BJ30" i="16"/>
  <c r="BI30" i="16"/>
  <c r="BH30" i="16"/>
  <c r="BG30" i="16"/>
  <c r="BF30" i="16"/>
  <c r="BE30" i="16"/>
  <c r="BD30" i="16"/>
  <c r="BC30" i="16"/>
  <c r="BB30" i="16"/>
  <c r="BA30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I30" i="16"/>
  <c r="BO29" i="16"/>
  <c r="BN29" i="16"/>
  <c r="BM29" i="16"/>
  <c r="BL29" i="16"/>
  <c r="BK29" i="16"/>
  <c r="BJ29" i="16"/>
  <c r="BI29" i="16"/>
  <c r="BH29" i="16"/>
  <c r="BG29" i="16"/>
  <c r="BF29" i="16"/>
  <c r="BE29" i="16"/>
  <c r="BD29" i="16"/>
  <c r="BC29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I29" i="16"/>
  <c r="BO28" i="16"/>
  <c r="BN28" i="16"/>
  <c r="BM28" i="16"/>
  <c r="BL28" i="16"/>
  <c r="BK28" i="16"/>
  <c r="BJ28" i="16"/>
  <c r="BI28" i="16"/>
  <c r="BH28" i="16"/>
  <c r="BG28" i="16"/>
  <c r="BF28" i="16"/>
  <c r="BE28" i="16"/>
  <c r="BD28" i="16"/>
  <c r="BC28" i="16"/>
  <c r="BB28" i="16"/>
  <c r="BA28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I28" i="16"/>
  <c r="BO27" i="16"/>
  <c r="BN27" i="16"/>
  <c r="BM27" i="16"/>
  <c r="BL27" i="16"/>
  <c r="BK27" i="16"/>
  <c r="BJ27" i="16"/>
  <c r="BI27" i="16"/>
  <c r="BH27" i="16"/>
  <c r="BG27" i="16"/>
  <c r="BF27" i="16"/>
  <c r="BE27" i="16"/>
  <c r="BD27" i="16"/>
  <c r="BC27" i="16"/>
  <c r="BB27" i="16"/>
  <c r="BA27" i="16"/>
  <c r="AZ27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I27" i="16"/>
  <c r="BO26" i="16"/>
  <c r="BN26" i="16"/>
  <c r="BM26" i="16"/>
  <c r="BL26" i="16"/>
  <c r="BK26" i="16"/>
  <c r="BJ26" i="16"/>
  <c r="BI26" i="16"/>
  <c r="BH26" i="16"/>
  <c r="BG26" i="16"/>
  <c r="BF26" i="16"/>
  <c r="BE26" i="16"/>
  <c r="BD26" i="16"/>
  <c r="BC26" i="16"/>
  <c r="BB26" i="16"/>
  <c r="BA26" i="16"/>
  <c r="AZ26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I26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I25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I24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I23" i="16"/>
  <c r="BO22" i="16"/>
  <c r="BN22" i="16"/>
  <c r="BM22" i="16"/>
  <c r="BL22" i="16"/>
  <c r="BK22" i="16"/>
  <c r="BJ22" i="16"/>
  <c r="BI22" i="16"/>
  <c r="BH22" i="16"/>
  <c r="BG22" i="16"/>
  <c r="BF22" i="16"/>
  <c r="BE22" i="16"/>
  <c r="BD22" i="16"/>
  <c r="BC22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I22" i="16"/>
  <c r="BO21" i="16"/>
  <c r="BN21" i="16"/>
  <c r="BM21" i="16"/>
  <c r="BL21" i="16"/>
  <c r="BK21" i="16"/>
  <c r="BJ21" i="16"/>
  <c r="BI21" i="16"/>
  <c r="BH21" i="16"/>
  <c r="BG21" i="16"/>
  <c r="BF21" i="16"/>
  <c r="BE21" i="16"/>
  <c r="BD21" i="16"/>
  <c r="BC21" i="16"/>
  <c r="BB21" i="16"/>
  <c r="BA21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I21" i="16"/>
  <c r="BO20" i="16"/>
  <c r="BN20" i="16"/>
  <c r="BM20" i="16"/>
  <c r="BL20" i="16"/>
  <c r="BK20" i="16"/>
  <c r="BJ20" i="16"/>
  <c r="BI20" i="16"/>
  <c r="BH20" i="16"/>
  <c r="BG20" i="16"/>
  <c r="BF20" i="16"/>
  <c r="BE20" i="16"/>
  <c r="BD20" i="16"/>
  <c r="BC20" i="16"/>
  <c r="BB20" i="16"/>
  <c r="BA20" i="16"/>
  <c r="AZ20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I20" i="16"/>
  <c r="BO19" i="16"/>
  <c r="BN19" i="16"/>
  <c r="BM19" i="16"/>
  <c r="BL19" i="16"/>
  <c r="BK19" i="16"/>
  <c r="BJ19" i="16"/>
  <c r="BI19" i="16"/>
  <c r="BH19" i="16"/>
  <c r="BG19" i="16"/>
  <c r="BF19" i="16"/>
  <c r="BE19" i="16"/>
  <c r="BD19" i="16"/>
  <c r="BC19" i="16"/>
  <c r="BB19" i="16"/>
  <c r="BA19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I19" i="16"/>
  <c r="BO18" i="16"/>
  <c r="BN18" i="16"/>
  <c r="BM18" i="16"/>
  <c r="BL18" i="16"/>
  <c r="BK18" i="16"/>
  <c r="BJ18" i="16"/>
  <c r="BI18" i="16"/>
  <c r="BH18" i="16"/>
  <c r="BG18" i="16"/>
  <c r="BF18" i="16"/>
  <c r="BE18" i="16"/>
  <c r="BD18" i="16"/>
  <c r="BC18" i="16"/>
  <c r="BB18" i="16"/>
  <c r="BA18" i="16"/>
  <c r="AZ18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I18" i="16"/>
  <c r="BO17" i="16"/>
  <c r="BN17" i="16"/>
  <c r="BM17" i="16"/>
  <c r="BL17" i="16"/>
  <c r="BK17" i="16"/>
  <c r="BJ17" i="16"/>
  <c r="BI17" i="16"/>
  <c r="BH17" i="16"/>
  <c r="BG17" i="16"/>
  <c r="BF17" i="16"/>
  <c r="BE17" i="16"/>
  <c r="BD17" i="16"/>
  <c r="BC17" i="16"/>
  <c r="BB17" i="16"/>
  <c r="BA17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I17" i="16"/>
  <c r="BO16" i="16"/>
  <c r="BN16" i="16"/>
  <c r="BM16" i="16"/>
  <c r="BL16" i="16"/>
  <c r="BK16" i="16"/>
  <c r="BJ16" i="16"/>
  <c r="BI16" i="16"/>
  <c r="BH16" i="16"/>
  <c r="BG16" i="16"/>
  <c r="BF16" i="16"/>
  <c r="BE16" i="16"/>
  <c r="BD16" i="16"/>
  <c r="BC16" i="16"/>
  <c r="BB16" i="16"/>
  <c r="BA16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I16" i="16"/>
  <c r="BO15" i="16"/>
  <c r="BN15" i="16"/>
  <c r="BM15" i="16"/>
  <c r="BL15" i="16"/>
  <c r="BK15" i="16"/>
  <c r="BJ15" i="16"/>
  <c r="BI15" i="16"/>
  <c r="BH15" i="16"/>
  <c r="BG15" i="16"/>
  <c r="BF15" i="16"/>
  <c r="BE15" i="16"/>
  <c r="BD15" i="16"/>
  <c r="BC15" i="16"/>
  <c r="BB15" i="16"/>
  <c r="BA15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I15" i="16"/>
  <c r="BO14" i="16"/>
  <c r="BN14" i="16"/>
  <c r="BM14" i="16"/>
  <c r="BL14" i="16"/>
  <c r="BK14" i="16"/>
  <c r="BJ14" i="16"/>
  <c r="BI14" i="16"/>
  <c r="BH14" i="16"/>
  <c r="BG14" i="16"/>
  <c r="BF14" i="16"/>
  <c r="BE14" i="16"/>
  <c r="BD14" i="16"/>
  <c r="BC14" i="16"/>
  <c r="BB14" i="16"/>
  <c r="BA14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I14" i="16"/>
  <c r="BO13" i="16"/>
  <c r="BN13" i="16"/>
  <c r="BM13" i="16"/>
  <c r="BL13" i="16"/>
  <c r="BK13" i="16"/>
  <c r="BJ13" i="16"/>
  <c r="BI13" i="16"/>
  <c r="BH13" i="16"/>
  <c r="BG13" i="16"/>
  <c r="BF13" i="16"/>
  <c r="BE13" i="16"/>
  <c r="BD13" i="16"/>
  <c r="BC13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I13" i="16"/>
  <c r="BO12" i="16"/>
  <c r="BN12" i="16"/>
  <c r="BM12" i="16"/>
  <c r="BL12" i="16"/>
  <c r="BK12" i="16"/>
  <c r="BJ12" i="16"/>
  <c r="BI12" i="16"/>
  <c r="BH12" i="16"/>
  <c r="BG12" i="16"/>
  <c r="BF12" i="16"/>
  <c r="BE12" i="16"/>
  <c r="BD12" i="16"/>
  <c r="BC12" i="16"/>
  <c r="BB12" i="16"/>
  <c r="BA12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L12" i="16"/>
  <c r="AI12" i="16"/>
  <c r="BO11" i="16"/>
  <c r="BN11" i="16"/>
  <c r="BM11" i="16"/>
  <c r="BL11" i="16"/>
  <c r="BK11" i="16"/>
  <c r="BJ11" i="16"/>
  <c r="BI11" i="16"/>
  <c r="BH11" i="16"/>
  <c r="BG11" i="16"/>
  <c r="BF11" i="16"/>
  <c r="BE11" i="16"/>
  <c r="BD11" i="16"/>
  <c r="BC11" i="16"/>
  <c r="BB11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I11" i="16"/>
  <c r="BO10" i="16"/>
  <c r="BN10" i="16"/>
  <c r="BM10" i="16"/>
  <c r="BL10" i="16"/>
  <c r="BK10" i="16"/>
  <c r="BJ10" i="16"/>
  <c r="BI10" i="16"/>
  <c r="BH10" i="16"/>
  <c r="BG10" i="16"/>
  <c r="BF10" i="16"/>
  <c r="BE10" i="16"/>
  <c r="BD10" i="16"/>
  <c r="BC10" i="16"/>
  <c r="BB10" i="16"/>
  <c r="BA10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I10" i="16"/>
  <c r="BO9" i="16"/>
  <c r="BN9" i="16"/>
  <c r="BM9" i="16"/>
  <c r="BL9" i="16"/>
  <c r="BK9" i="16"/>
  <c r="BJ9" i="16"/>
  <c r="BI9" i="16"/>
  <c r="BH9" i="16"/>
  <c r="BG9" i="16"/>
  <c r="BF9" i="16"/>
  <c r="BE9" i="16"/>
  <c r="BD9" i="16"/>
  <c r="BC9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I9" i="16"/>
  <c r="BO8" i="16"/>
  <c r="BN8" i="16"/>
  <c r="BM8" i="16"/>
  <c r="BL8" i="16"/>
  <c r="BK8" i="16"/>
  <c r="BJ8" i="16"/>
  <c r="BI8" i="16"/>
  <c r="BH8" i="16"/>
  <c r="BG8" i="16"/>
  <c r="BF8" i="16"/>
  <c r="BE8" i="16"/>
  <c r="BD8" i="16"/>
  <c r="BC8" i="16"/>
  <c r="BB8" i="16"/>
  <c r="BA8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I8" i="16"/>
  <c r="BO7" i="16"/>
  <c r="BN7" i="16"/>
  <c r="BM7" i="16"/>
  <c r="BL7" i="16"/>
  <c r="BK7" i="16"/>
  <c r="BJ7" i="16"/>
  <c r="BI7" i="16"/>
  <c r="BH7" i="16"/>
  <c r="BG7" i="16"/>
  <c r="BF7" i="16"/>
  <c r="BE7" i="16"/>
  <c r="BD7" i="16"/>
  <c r="BC7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I7" i="16"/>
  <c r="BO6" i="16"/>
  <c r="BN6" i="16"/>
  <c r="BM6" i="16"/>
  <c r="BK6" i="16"/>
  <c r="BI6" i="16"/>
  <c r="BH6" i="16"/>
  <c r="BF6" i="16"/>
  <c r="BE6" i="16"/>
  <c r="BC6" i="16"/>
  <c r="BA6" i="16"/>
  <c r="AZ6" i="16"/>
  <c r="AX6" i="16"/>
  <c r="AW6" i="16"/>
  <c r="AU6" i="16"/>
  <c r="AS6" i="16"/>
  <c r="AR6" i="16"/>
  <c r="AP6" i="16"/>
  <c r="AO6" i="16"/>
  <c r="AM6" i="16"/>
  <c r="AF32" i="16"/>
  <c r="AE32" i="16"/>
  <c r="BL6" i="16"/>
  <c r="AC32" i="16"/>
  <c r="BJ6" i="16"/>
  <c r="AA32" i="16"/>
  <c r="Z32" i="16"/>
  <c r="Y32" i="16"/>
  <c r="X32" i="16"/>
  <c r="W32" i="16"/>
  <c r="BD6" i="16"/>
  <c r="U32" i="16"/>
  <c r="BB6" i="16"/>
  <c r="S32" i="16"/>
  <c r="R32" i="16"/>
  <c r="Q32" i="16"/>
  <c r="P32" i="16"/>
  <c r="O32" i="16"/>
  <c r="AV6" i="16"/>
  <c r="M32" i="16"/>
  <c r="AT6" i="16"/>
  <c r="K32" i="16"/>
  <c r="J32" i="16"/>
  <c r="I32" i="16"/>
  <c r="H32" i="16"/>
  <c r="G32" i="16"/>
  <c r="AN6" i="16"/>
  <c r="E32" i="16"/>
  <c r="BO5" i="16"/>
  <c r="BN5" i="16"/>
  <c r="BM5" i="16"/>
  <c r="BL5" i="16"/>
  <c r="BK5" i="16"/>
  <c r="BJ5" i="16"/>
  <c r="BI5" i="16"/>
  <c r="BH5" i="16"/>
  <c r="BG5" i="16"/>
  <c r="BF5" i="16"/>
  <c r="BE5" i="16"/>
  <c r="BD5" i="16"/>
  <c r="BC5" i="16"/>
  <c r="BB5" i="16"/>
  <c r="BA5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L5" i="16"/>
  <c r="AK5" i="16"/>
  <c r="K4" i="17"/>
  <c r="J88" i="17" l="1"/>
  <c r="X81" i="17"/>
  <c r="K19" i="14"/>
  <c r="BP10" i="16"/>
  <c r="K19" i="17"/>
  <c r="BP30" i="16"/>
  <c r="K82" i="17"/>
  <c r="K83" i="17" s="1"/>
  <c r="K5" i="17"/>
  <c r="BP11" i="16"/>
  <c r="K22" i="17"/>
  <c r="BP8" i="16"/>
  <c r="K13" i="17"/>
  <c r="BP7" i="16"/>
  <c r="K10" i="17"/>
  <c r="BP12" i="16"/>
  <c r="K25" i="17"/>
  <c r="BP28" i="16"/>
  <c r="K67" i="17"/>
  <c r="BP25" i="16"/>
  <c r="K73" i="17"/>
  <c r="BP24" i="16"/>
  <c r="K61" i="17"/>
  <c r="BP22" i="16"/>
  <c r="K55" i="17"/>
  <c r="BP29" i="16"/>
  <c r="K70" i="17"/>
  <c r="BP26" i="16"/>
  <c r="K76" i="17"/>
  <c r="BP13" i="16"/>
  <c r="K28" i="17"/>
  <c r="BP23" i="16"/>
  <c r="K58" i="17"/>
  <c r="BP15" i="16"/>
  <c r="K34" i="17"/>
  <c r="BP9" i="16"/>
  <c r="K16" i="17"/>
  <c r="BP27" i="16"/>
  <c r="K64" i="17"/>
  <c r="BP14" i="16"/>
  <c r="K31" i="17"/>
  <c r="BP16" i="16"/>
  <c r="K37" i="17"/>
  <c r="BP20" i="16"/>
  <c r="K49" i="17"/>
  <c r="BP21" i="16"/>
  <c r="K52" i="17"/>
  <c r="BP19" i="16"/>
  <c r="K46" i="17"/>
  <c r="BP18" i="16"/>
  <c r="K43" i="17"/>
  <c r="BP17" i="16"/>
  <c r="K40" i="17"/>
  <c r="X85" i="17"/>
  <c r="X78" i="17"/>
  <c r="D32" i="16"/>
  <c r="L32" i="16"/>
  <c r="T32" i="16"/>
  <c r="AB32" i="16"/>
  <c r="AQ6" i="16"/>
  <c r="AY6" i="16"/>
  <c r="BG6" i="16"/>
  <c r="BP5" i="16"/>
  <c r="F32" i="16"/>
  <c r="N32" i="16"/>
  <c r="V32" i="16"/>
  <c r="AD32" i="16"/>
  <c r="AK6" i="16"/>
  <c r="AL6" i="16"/>
  <c r="AI6" i="16"/>
  <c r="AF24" i="15"/>
  <c r="AF6" i="15"/>
  <c r="BM30" i="15"/>
  <c r="BL30" i="15"/>
  <c r="BK30" i="15"/>
  <c r="BJ30" i="15"/>
  <c r="BI30" i="15"/>
  <c r="BH30" i="15"/>
  <c r="BG30" i="15"/>
  <c r="BF30" i="15"/>
  <c r="BE30" i="15"/>
  <c r="BD30" i="15"/>
  <c r="BC30" i="15"/>
  <c r="BB30" i="15"/>
  <c r="BA30" i="15"/>
  <c r="AZ30" i="15"/>
  <c r="AY30" i="15"/>
  <c r="AX30" i="15"/>
  <c r="AW30" i="15"/>
  <c r="AV30" i="15"/>
  <c r="AU30" i="15"/>
  <c r="AT30" i="15"/>
  <c r="AS30" i="15"/>
  <c r="AR30" i="15"/>
  <c r="AQ30" i="15"/>
  <c r="AP30" i="15"/>
  <c r="AO30" i="15"/>
  <c r="AN30" i="15"/>
  <c r="AM30" i="15"/>
  <c r="AL30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AM44" i="15"/>
  <c r="AK30" i="15"/>
  <c r="BF20" i="15"/>
  <c r="BF21" i="15"/>
  <c r="BG20" i="15"/>
  <c r="BG17" i="15"/>
  <c r="BA21" i="15"/>
  <c r="AT21" i="15"/>
  <c r="AU21" i="15"/>
  <c r="AV21" i="15"/>
  <c r="AW20" i="15"/>
  <c r="BB14" i="15"/>
  <c r="BC7" i="15"/>
  <c r="BC8" i="15"/>
  <c r="BK5" i="15"/>
  <c r="AE24" i="15"/>
  <c r="AE6" i="15"/>
  <c r="AD6" i="15"/>
  <c r="AC6" i="15"/>
  <c r="AB6" i="15"/>
  <c r="AA6" i="15"/>
  <c r="Z6" i="15"/>
  <c r="K20" i="17" l="1"/>
  <c r="K23" i="17"/>
  <c r="K14" i="17"/>
  <c r="K11" i="17"/>
  <c r="K26" i="17"/>
  <c r="K68" i="17"/>
  <c r="K74" i="17"/>
  <c r="K62" i="17"/>
  <c r="K56" i="17"/>
  <c r="K71" i="17"/>
  <c r="K77" i="17"/>
  <c r="K29" i="17"/>
  <c r="K59" i="17"/>
  <c r="K35" i="17"/>
  <c r="K17" i="17"/>
  <c r="K65" i="17"/>
  <c r="K32" i="17"/>
  <c r="K38" i="17"/>
  <c r="K50" i="17"/>
  <c r="K53" i="17"/>
  <c r="K47" i="17"/>
  <c r="K44" i="17"/>
  <c r="K41" i="17"/>
  <c r="BP6" i="16"/>
  <c r="K7" i="17"/>
  <c r="AI32" i="16"/>
  <c r="Y6" i="15"/>
  <c r="K96" i="17" l="1"/>
  <c r="K8" i="17"/>
  <c r="K95" i="17" s="1"/>
  <c r="K87" i="17"/>
  <c r="AI36" i="16"/>
  <c r="AI35" i="16"/>
  <c r="AI34" i="16"/>
  <c r="AI33" i="16"/>
  <c r="X6" i="15"/>
  <c r="W6" i="15"/>
  <c r="V6" i="15"/>
  <c r="K88" i="17" l="1"/>
  <c r="U6" i="15"/>
  <c r="T6" i="15"/>
  <c r="S6" i="15" l="1"/>
  <c r="R6" i="15" l="1"/>
  <c r="Q6" i="15"/>
  <c r="P6" i="15" l="1"/>
  <c r="O6" i="15"/>
  <c r="N6" i="15"/>
  <c r="M6" i="15"/>
  <c r="L6" i="15"/>
  <c r="K6" i="15"/>
  <c r="J6" i="15"/>
  <c r="I6" i="15" l="1"/>
  <c r="H6" i="15"/>
  <c r="G6" i="15"/>
  <c r="AK29" i="15"/>
  <c r="F6" i="15"/>
  <c r="E6" i="15"/>
  <c r="D6" i="15" l="1"/>
  <c r="J67" i="15"/>
  <c r="K67" i="15" s="1"/>
  <c r="L67" i="15" s="1"/>
  <c r="M67" i="15" s="1"/>
  <c r="N67" i="15" s="1"/>
  <c r="O67" i="15" s="1"/>
  <c r="P67" i="15" s="1"/>
  <c r="Q67" i="15" s="1"/>
  <c r="R67" i="15" s="1"/>
  <c r="S67" i="15" s="1"/>
  <c r="T67" i="15" s="1"/>
  <c r="U67" i="15" s="1"/>
  <c r="V67" i="15" s="1"/>
  <c r="I67" i="15"/>
  <c r="D67" i="15"/>
  <c r="E67" i="15" s="1"/>
  <c r="F67" i="15" s="1"/>
  <c r="I66" i="15"/>
  <c r="J66" i="15" s="1"/>
  <c r="K66" i="15" s="1"/>
  <c r="L66" i="15" s="1"/>
  <c r="M66" i="15" s="1"/>
  <c r="N66" i="15" s="1"/>
  <c r="O66" i="15" s="1"/>
  <c r="P66" i="15" s="1"/>
  <c r="Q66" i="15" s="1"/>
  <c r="R66" i="15" s="1"/>
  <c r="S66" i="15" s="1"/>
  <c r="T66" i="15" s="1"/>
  <c r="U66" i="15" s="1"/>
  <c r="V66" i="15" s="1"/>
  <c r="D66" i="15"/>
  <c r="E66" i="15" s="1"/>
  <c r="F66" i="15" s="1"/>
  <c r="I65" i="15"/>
  <c r="J65" i="15" s="1"/>
  <c r="K65" i="15" s="1"/>
  <c r="L65" i="15" s="1"/>
  <c r="M65" i="15" s="1"/>
  <c r="N65" i="15" s="1"/>
  <c r="O65" i="15" s="1"/>
  <c r="P65" i="15" s="1"/>
  <c r="Q65" i="15" s="1"/>
  <c r="R65" i="15" s="1"/>
  <c r="S65" i="15" s="1"/>
  <c r="T65" i="15" s="1"/>
  <c r="U65" i="15" s="1"/>
  <c r="V65" i="15" s="1"/>
  <c r="E65" i="15"/>
  <c r="F65" i="15" s="1"/>
  <c r="D65" i="15"/>
  <c r="I64" i="15"/>
  <c r="J64" i="15" s="1"/>
  <c r="K64" i="15" s="1"/>
  <c r="L64" i="15" s="1"/>
  <c r="M64" i="15" s="1"/>
  <c r="N64" i="15" s="1"/>
  <c r="O64" i="15" s="1"/>
  <c r="P64" i="15" s="1"/>
  <c r="Q64" i="15" s="1"/>
  <c r="R64" i="15" s="1"/>
  <c r="S64" i="15" s="1"/>
  <c r="T64" i="15" s="1"/>
  <c r="U64" i="15" s="1"/>
  <c r="V64" i="15" s="1"/>
  <c r="D64" i="15"/>
  <c r="E64" i="15" s="1"/>
  <c r="F64" i="15" s="1"/>
  <c r="I63" i="15"/>
  <c r="J63" i="15" s="1"/>
  <c r="K63" i="15" s="1"/>
  <c r="L63" i="15" s="1"/>
  <c r="M63" i="15" s="1"/>
  <c r="N63" i="15" s="1"/>
  <c r="O63" i="15" s="1"/>
  <c r="P63" i="15" s="1"/>
  <c r="Q63" i="15" s="1"/>
  <c r="R63" i="15" s="1"/>
  <c r="S63" i="15" s="1"/>
  <c r="T63" i="15" s="1"/>
  <c r="U63" i="15" s="1"/>
  <c r="V63" i="15" s="1"/>
  <c r="D63" i="15"/>
  <c r="E63" i="15" s="1"/>
  <c r="F63" i="15" s="1"/>
  <c r="I62" i="15"/>
  <c r="J62" i="15" s="1"/>
  <c r="K62" i="15" s="1"/>
  <c r="L62" i="15" s="1"/>
  <c r="M62" i="15" s="1"/>
  <c r="N62" i="15" s="1"/>
  <c r="O62" i="15" s="1"/>
  <c r="P62" i="15" s="1"/>
  <c r="Q62" i="15" s="1"/>
  <c r="R62" i="15" s="1"/>
  <c r="S62" i="15" s="1"/>
  <c r="T62" i="15" s="1"/>
  <c r="U62" i="15" s="1"/>
  <c r="V62" i="15" s="1"/>
  <c r="D62" i="15"/>
  <c r="E62" i="15" s="1"/>
  <c r="F62" i="15" s="1"/>
  <c r="I61" i="15"/>
  <c r="J61" i="15" s="1"/>
  <c r="K61" i="15" s="1"/>
  <c r="L61" i="15" s="1"/>
  <c r="M61" i="15" s="1"/>
  <c r="N61" i="15" s="1"/>
  <c r="O61" i="15" s="1"/>
  <c r="P61" i="15" s="1"/>
  <c r="Q61" i="15" s="1"/>
  <c r="R61" i="15" s="1"/>
  <c r="S61" i="15" s="1"/>
  <c r="T61" i="15" s="1"/>
  <c r="U61" i="15" s="1"/>
  <c r="V61" i="15" s="1"/>
  <c r="D61" i="15"/>
  <c r="E61" i="15" s="1"/>
  <c r="F61" i="15" s="1"/>
  <c r="I60" i="15"/>
  <c r="J60" i="15" s="1"/>
  <c r="K60" i="15" s="1"/>
  <c r="L60" i="15" s="1"/>
  <c r="M60" i="15" s="1"/>
  <c r="N60" i="15" s="1"/>
  <c r="O60" i="15" s="1"/>
  <c r="P60" i="15" s="1"/>
  <c r="Q60" i="15" s="1"/>
  <c r="R60" i="15" s="1"/>
  <c r="S60" i="15" s="1"/>
  <c r="T60" i="15" s="1"/>
  <c r="U60" i="15" s="1"/>
  <c r="V60" i="15" s="1"/>
  <c r="D60" i="15"/>
  <c r="E60" i="15" s="1"/>
  <c r="F60" i="15" s="1"/>
  <c r="I59" i="15"/>
  <c r="J59" i="15" s="1"/>
  <c r="K59" i="15" s="1"/>
  <c r="L59" i="15" s="1"/>
  <c r="M59" i="15" s="1"/>
  <c r="N59" i="15" s="1"/>
  <c r="O59" i="15" s="1"/>
  <c r="P59" i="15" s="1"/>
  <c r="Q59" i="15" s="1"/>
  <c r="R59" i="15" s="1"/>
  <c r="S59" i="15" s="1"/>
  <c r="T59" i="15" s="1"/>
  <c r="U59" i="15" s="1"/>
  <c r="V59" i="15" s="1"/>
  <c r="D59" i="15"/>
  <c r="E59" i="15" s="1"/>
  <c r="F59" i="15" s="1"/>
  <c r="I58" i="15"/>
  <c r="J58" i="15" s="1"/>
  <c r="K58" i="15" s="1"/>
  <c r="L58" i="15" s="1"/>
  <c r="M58" i="15" s="1"/>
  <c r="N58" i="15" s="1"/>
  <c r="O58" i="15" s="1"/>
  <c r="P58" i="15" s="1"/>
  <c r="Q58" i="15" s="1"/>
  <c r="R58" i="15" s="1"/>
  <c r="S58" i="15" s="1"/>
  <c r="T58" i="15" s="1"/>
  <c r="U58" i="15" s="1"/>
  <c r="V58" i="15" s="1"/>
  <c r="D58" i="15"/>
  <c r="E58" i="15" s="1"/>
  <c r="F58" i="15" s="1"/>
  <c r="I57" i="15"/>
  <c r="J57" i="15" s="1"/>
  <c r="K57" i="15" s="1"/>
  <c r="L57" i="15" s="1"/>
  <c r="M57" i="15" s="1"/>
  <c r="N57" i="15" s="1"/>
  <c r="O57" i="15" s="1"/>
  <c r="P57" i="15" s="1"/>
  <c r="Q57" i="15" s="1"/>
  <c r="R57" i="15" s="1"/>
  <c r="S57" i="15" s="1"/>
  <c r="T57" i="15" s="1"/>
  <c r="U57" i="15" s="1"/>
  <c r="V57" i="15" s="1"/>
  <c r="D57" i="15"/>
  <c r="E57" i="15" s="1"/>
  <c r="F57" i="15" s="1"/>
  <c r="I56" i="15"/>
  <c r="J56" i="15" s="1"/>
  <c r="K56" i="15" s="1"/>
  <c r="L56" i="15" s="1"/>
  <c r="M56" i="15" s="1"/>
  <c r="N56" i="15" s="1"/>
  <c r="O56" i="15" s="1"/>
  <c r="P56" i="15" s="1"/>
  <c r="Q56" i="15" s="1"/>
  <c r="R56" i="15" s="1"/>
  <c r="S56" i="15" s="1"/>
  <c r="T56" i="15" s="1"/>
  <c r="U56" i="15" s="1"/>
  <c r="V56" i="15" s="1"/>
  <c r="D56" i="15"/>
  <c r="E56" i="15" s="1"/>
  <c r="F56" i="15" s="1"/>
  <c r="I55" i="15"/>
  <c r="J55" i="15" s="1"/>
  <c r="K55" i="15" s="1"/>
  <c r="L55" i="15" s="1"/>
  <c r="M55" i="15" s="1"/>
  <c r="N55" i="15" s="1"/>
  <c r="O55" i="15" s="1"/>
  <c r="P55" i="15" s="1"/>
  <c r="Q55" i="15" s="1"/>
  <c r="R55" i="15" s="1"/>
  <c r="S55" i="15" s="1"/>
  <c r="T55" i="15" s="1"/>
  <c r="U55" i="15" s="1"/>
  <c r="V55" i="15" s="1"/>
  <c r="D55" i="15"/>
  <c r="E55" i="15" s="1"/>
  <c r="F55" i="15" s="1"/>
  <c r="I54" i="15"/>
  <c r="J54" i="15" s="1"/>
  <c r="K54" i="15" s="1"/>
  <c r="L54" i="15" s="1"/>
  <c r="M54" i="15" s="1"/>
  <c r="N54" i="15" s="1"/>
  <c r="O54" i="15" s="1"/>
  <c r="P54" i="15" s="1"/>
  <c r="Q54" i="15" s="1"/>
  <c r="R54" i="15" s="1"/>
  <c r="S54" i="15" s="1"/>
  <c r="T54" i="15" s="1"/>
  <c r="U54" i="15" s="1"/>
  <c r="V54" i="15" s="1"/>
  <c r="D54" i="15"/>
  <c r="E54" i="15" s="1"/>
  <c r="F54" i="15" s="1"/>
  <c r="I53" i="15"/>
  <c r="J53" i="15" s="1"/>
  <c r="K53" i="15" s="1"/>
  <c r="L53" i="15" s="1"/>
  <c r="M53" i="15" s="1"/>
  <c r="N53" i="15" s="1"/>
  <c r="O53" i="15" s="1"/>
  <c r="P53" i="15" s="1"/>
  <c r="Q53" i="15" s="1"/>
  <c r="R53" i="15" s="1"/>
  <c r="S53" i="15" s="1"/>
  <c r="T53" i="15" s="1"/>
  <c r="U53" i="15" s="1"/>
  <c r="V53" i="15" s="1"/>
  <c r="D53" i="15"/>
  <c r="E53" i="15" s="1"/>
  <c r="F53" i="15" s="1"/>
  <c r="I52" i="15"/>
  <c r="J52" i="15" s="1"/>
  <c r="K52" i="15" s="1"/>
  <c r="L52" i="15" s="1"/>
  <c r="M52" i="15" s="1"/>
  <c r="N52" i="15" s="1"/>
  <c r="O52" i="15" s="1"/>
  <c r="P52" i="15" s="1"/>
  <c r="Q52" i="15" s="1"/>
  <c r="R52" i="15" s="1"/>
  <c r="S52" i="15" s="1"/>
  <c r="T52" i="15" s="1"/>
  <c r="U52" i="15" s="1"/>
  <c r="V52" i="15" s="1"/>
  <c r="D52" i="15"/>
  <c r="E52" i="15" s="1"/>
  <c r="F52" i="15" s="1"/>
  <c r="I51" i="15"/>
  <c r="J51" i="15" s="1"/>
  <c r="K51" i="15" s="1"/>
  <c r="L51" i="15" s="1"/>
  <c r="M51" i="15" s="1"/>
  <c r="N51" i="15" s="1"/>
  <c r="O51" i="15" s="1"/>
  <c r="P51" i="15" s="1"/>
  <c r="Q51" i="15" s="1"/>
  <c r="R51" i="15" s="1"/>
  <c r="S51" i="15" s="1"/>
  <c r="T51" i="15" s="1"/>
  <c r="U51" i="15" s="1"/>
  <c r="V51" i="15" s="1"/>
  <c r="D51" i="15"/>
  <c r="E51" i="15" s="1"/>
  <c r="F51" i="15" s="1"/>
  <c r="I50" i="15"/>
  <c r="J50" i="15" s="1"/>
  <c r="K50" i="15" s="1"/>
  <c r="L50" i="15" s="1"/>
  <c r="M50" i="15" s="1"/>
  <c r="N50" i="15" s="1"/>
  <c r="O50" i="15" s="1"/>
  <c r="P50" i="15" s="1"/>
  <c r="Q50" i="15" s="1"/>
  <c r="R50" i="15" s="1"/>
  <c r="S50" i="15" s="1"/>
  <c r="T50" i="15" s="1"/>
  <c r="U50" i="15" s="1"/>
  <c r="V50" i="15" s="1"/>
  <c r="D50" i="15"/>
  <c r="E50" i="15" s="1"/>
  <c r="F50" i="15" s="1"/>
  <c r="J49" i="15"/>
  <c r="K49" i="15" s="1"/>
  <c r="L49" i="15" s="1"/>
  <c r="M49" i="15" s="1"/>
  <c r="N49" i="15" s="1"/>
  <c r="O49" i="15" s="1"/>
  <c r="P49" i="15" s="1"/>
  <c r="Q49" i="15" s="1"/>
  <c r="R49" i="15" s="1"/>
  <c r="S49" i="15" s="1"/>
  <c r="T49" i="15" s="1"/>
  <c r="U49" i="15" s="1"/>
  <c r="V49" i="15" s="1"/>
  <c r="I49" i="15"/>
  <c r="D49" i="15"/>
  <c r="E49" i="15" s="1"/>
  <c r="F49" i="15" s="1"/>
  <c r="I48" i="15"/>
  <c r="J48" i="15" s="1"/>
  <c r="K48" i="15" s="1"/>
  <c r="L48" i="15" s="1"/>
  <c r="M48" i="15" s="1"/>
  <c r="N48" i="15" s="1"/>
  <c r="O48" i="15" s="1"/>
  <c r="P48" i="15" s="1"/>
  <c r="Q48" i="15" s="1"/>
  <c r="R48" i="15" s="1"/>
  <c r="S48" i="15" s="1"/>
  <c r="T48" i="15" s="1"/>
  <c r="U48" i="15" s="1"/>
  <c r="V48" i="15" s="1"/>
  <c r="D48" i="15"/>
  <c r="E48" i="15" s="1"/>
  <c r="F48" i="15" s="1"/>
  <c r="I47" i="15"/>
  <c r="J47" i="15" s="1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D47" i="15"/>
  <c r="E47" i="15" s="1"/>
  <c r="F47" i="15" s="1"/>
  <c r="I46" i="15"/>
  <c r="J46" i="15" s="1"/>
  <c r="K46" i="15" s="1"/>
  <c r="L46" i="15" s="1"/>
  <c r="M46" i="15" s="1"/>
  <c r="N46" i="15" s="1"/>
  <c r="O46" i="15" s="1"/>
  <c r="P46" i="15" s="1"/>
  <c r="Q46" i="15" s="1"/>
  <c r="R46" i="15" s="1"/>
  <c r="S46" i="15" s="1"/>
  <c r="T46" i="15" s="1"/>
  <c r="U46" i="15" s="1"/>
  <c r="V46" i="15" s="1"/>
  <c r="D46" i="15"/>
  <c r="E46" i="15" s="1"/>
  <c r="F46" i="15" s="1"/>
  <c r="H45" i="15"/>
  <c r="I45" i="15" s="1"/>
  <c r="J45" i="15" s="1"/>
  <c r="K45" i="15" s="1"/>
  <c r="L45" i="15" s="1"/>
  <c r="M45" i="15" s="1"/>
  <c r="N45" i="15" s="1"/>
  <c r="O45" i="15" s="1"/>
  <c r="P45" i="15" s="1"/>
  <c r="Q45" i="15" s="1"/>
  <c r="R45" i="15" s="1"/>
  <c r="S45" i="15" s="1"/>
  <c r="T45" i="15" s="1"/>
  <c r="U45" i="15" s="1"/>
  <c r="V45" i="15" s="1"/>
  <c r="G45" i="15"/>
  <c r="I44" i="15"/>
  <c r="J44" i="15" s="1"/>
  <c r="K44" i="15" s="1"/>
  <c r="L44" i="15" s="1"/>
  <c r="M44" i="15" s="1"/>
  <c r="N44" i="15" s="1"/>
  <c r="O44" i="15" s="1"/>
  <c r="P44" i="15" s="1"/>
  <c r="Q44" i="15" s="1"/>
  <c r="R44" i="15" s="1"/>
  <c r="S44" i="15" s="1"/>
  <c r="T44" i="15" s="1"/>
  <c r="U44" i="15" s="1"/>
  <c r="V44" i="15" s="1"/>
  <c r="D44" i="15"/>
  <c r="E44" i="15" s="1"/>
  <c r="F44" i="15" s="1"/>
  <c r="AG42" i="15"/>
  <c r="AA42" i="15"/>
  <c r="Z42" i="15"/>
  <c r="T42" i="15"/>
  <c r="S42" i="15"/>
  <c r="M42" i="15"/>
  <c r="L42" i="15"/>
  <c r="F42" i="15"/>
  <c r="E42" i="15"/>
  <c r="AF40" i="15"/>
  <c r="AF41" i="15" s="1"/>
  <c r="AE39" i="15"/>
  <c r="AC39" i="15"/>
  <c r="T37" i="15"/>
  <c r="N36" i="15"/>
  <c r="L36" i="15"/>
  <c r="AJ32" i="15"/>
  <c r="O32" i="15"/>
  <c r="N32" i="15"/>
  <c r="M32" i="15"/>
  <c r="L32" i="15"/>
  <c r="BP31" i="15"/>
  <c r="BO31" i="15"/>
  <c r="BN31" i="15"/>
  <c r="AI31" i="15"/>
  <c r="BO30" i="15"/>
  <c r="BN30" i="15"/>
  <c r="AI30" i="15"/>
  <c r="BP30" i="15" s="1"/>
  <c r="BO29" i="15"/>
  <c r="BN29" i="15"/>
  <c r="BM29" i="15"/>
  <c r="BL29" i="15"/>
  <c r="BK29" i="15"/>
  <c r="BJ29" i="15"/>
  <c r="BI29" i="15"/>
  <c r="BH29" i="15"/>
  <c r="BG29" i="15"/>
  <c r="BF29" i="15"/>
  <c r="BE29" i="15"/>
  <c r="BD29" i="15"/>
  <c r="BC29" i="15"/>
  <c r="BB29" i="15"/>
  <c r="BA29" i="15"/>
  <c r="AZ29" i="15"/>
  <c r="AY29" i="15"/>
  <c r="AX29" i="15"/>
  <c r="AW29" i="15"/>
  <c r="AV29" i="15"/>
  <c r="AU29" i="15"/>
  <c r="AT29" i="15"/>
  <c r="AS29" i="15"/>
  <c r="AR29" i="15"/>
  <c r="AQ29" i="15"/>
  <c r="AP29" i="15"/>
  <c r="AO29" i="15"/>
  <c r="AN29" i="15"/>
  <c r="AM29" i="15"/>
  <c r="AL29" i="15"/>
  <c r="AI29" i="15"/>
  <c r="BP29" i="15" s="1"/>
  <c r="BO28" i="15"/>
  <c r="BN28" i="15"/>
  <c r="BM28" i="15"/>
  <c r="BL28" i="15"/>
  <c r="BK28" i="15"/>
  <c r="BJ28" i="15"/>
  <c r="BI28" i="15"/>
  <c r="BH28" i="15"/>
  <c r="BG28" i="15"/>
  <c r="BF28" i="15"/>
  <c r="BE28" i="15"/>
  <c r="BD28" i="15"/>
  <c r="BC28" i="15"/>
  <c r="BB28" i="15"/>
  <c r="BA28" i="15"/>
  <c r="AZ28" i="15"/>
  <c r="AY28" i="15"/>
  <c r="AX28" i="15"/>
  <c r="AW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I28" i="15"/>
  <c r="BP28" i="15" s="1"/>
  <c r="BO27" i="15"/>
  <c r="BN27" i="15"/>
  <c r="BM27" i="15"/>
  <c r="BL27" i="15"/>
  <c r="BK27" i="15"/>
  <c r="BJ27" i="15"/>
  <c r="BI27" i="15"/>
  <c r="BH27" i="15"/>
  <c r="BG27" i="15"/>
  <c r="BF27" i="15"/>
  <c r="BE27" i="15"/>
  <c r="BD27" i="15"/>
  <c r="BC27" i="15"/>
  <c r="BB27" i="15"/>
  <c r="BA27" i="15"/>
  <c r="AZ27" i="15"/>
  <c r="AY27" i="15"/>
  <c r="AX27" i="15"/>
  <c r="AW27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I27" i="15"/>
  <c r="BP27" i="15" s="1"/>
  <c r="BO26" i="15"/>
  <c r="BN26" i="15"/>
  <c r="BM26" i="15"/>
  <c r="BL26" i="15"/>
  <c r="BK26" i="15"/>
  <c r="BJ26" i="15"/>
  <c r="BI26" i="15"/>
  <c r="BH26" i="15"/>
  <c r="BG26" i="15"/>
  <c r="BF26" i="15"/>
  <c r="BE26" i="15"/>
  <c r="BD26" i="15"/>
  <c r="BC26" i="15"/>
  <c r="BB26" i="15"/>
  <c r="BA26" i="15"/>
  <c r="AZ26" i="15"/>
  <c r="AY26" i="15"/>
  <c r="AX26" i="15"/>
  <c r="AW26" i="15"/>
  <c r="AV26" i="15"/>
  <c r="AU26" i="15"/>
  <c r="AT26" i="15"/>
  <c r="AS26" i="15"/>
  <c r="AR26" i="15"/>
  <c r="AQ26" i="15"/>
  <c r="AP26" i="15"/>
  <c r="AO26" i="15"/>
  <c r="AN26" i="15"/>
  <c r="AM26" i="15"/>
  <c r="AL26" i="15"/>
  <c r="AK26" i="15"/>
  <c r="AI26" i="15"/>
  <c r="BP26" i="15" s="1"/>
  <c r="BO25" i="15"/>
  <c r="BN25" i="15"/>
  <c r="BM25" i="15"/>
  <c r="BL25" i="15"/>
  <c r="BK25" i="15"/>
  <c r="BJ25" i="15"/>
  <c r="BI25" i="15"/>
  <c r="BH25" i="15"/>
  <c r="BG25" i="15"/>
  <c r="BF25" i="15"/>
  <c r="BE25" i="15"/>
  <c r="BD25" i="15"/>
  <c r="BC25" i="15"/>
  <c r="BB25" i="15"/>
  <c r="BA25" i="15"/>
  <c r="AZ25" i="15"/>
  <c r="AY25" i="15"/>
  <c r="AX25" i="15"/>
  <c r="AW25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I25" i="15"/>
  <c r="BP25" i="15" s="1"/>
  <c r="BO24" i="15"/>
  <c r="BN24" i="15"/>
  <c r="BM24" i="15"/>
  <c r="BL24" i="15"/>
  <c r="BK24" i="15"/>
  <c r="BJ24" i="15"/>
  <c r="BI24" i="15"/>
  <c r="BH24" i="15"/>
  <c r="BG24" i="15"/>
  <c r="BF24" i="15"/>
  <c r="BE24" i="15"/>
  <c r="BD24" i="15"/>
  <c r="BC24" i="15"/>
  <c r="BB24" i="15"/>
  <c r="BA24" i="15"/>
  <c r="AZ24" i="15"/>
  <c r="AY24" i="15"/>
  <c r="AX24" i="15"/>
  <c r="AW24" i="15"/>
  <c r="AV24" i="15"/>
  <c r="AU24" i="15"/>
  <c r="AT24" i="15"/>
  <c r="AS24" i="15"/>
  <c r="AR24" i="15"/>
  <c r="AQ24" i="15"/>
  <c r="AP24" i="15"/>
  <c r="AO24" i="15"/>
  <c r="AN24" i="15"/>
  <c r="AM24" i="15"/>
  <c r="AL24" i="15"/>
  <c r="AK24" i="15"/>
  <c r="AI24" i="15"/>
  <c r="BP24" i="15" s="1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I23" i="15"/>
  <c r="BP23" i="15" s="1"/>
  <c r="BO22" i="15"/>
  <c r="BN22" i="15"/>
  <c r="BM22" i="15"/>
  <c r="BL22" i="15"/>
  <c r="BK22" i="15"/>
  <c r="BJ22" i="15"/>
  <c r="BI22" i="15"/>
  <c r="BH22" i="15"/>
  <c r="BG22" i="15"/>
  <c r="BF22" i="15"/>
  <c r="BE22" i="15"/>
  <c r="BD22" i="15"/>
  <c r="BC22" i="15"/>
  <c r="BB22" i="15"/>
  <c r="BA22" i="15"/>
  <c r="AZ22" i="15"/>
  <c r="AY22" i="15"/>
  <c r="AX22" i="15"/>
  <c r="AW22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I22" i="15"/>
  <c r="BP22" i="15" s="1"/>
  <c r="BO21" i="15"/>
  <c r="BN21" i="15"/>
  <c r="BM21" i="15"/>
  <c r="BL21" i="15"/>
  <c r="BK21" i="15"/>
  <c r="BJ21" i="15"/>
  <c r="BI21" i="15"/>
  <c r="BH21" i="15"/>
  <c r="BG21" i="15"/>
  <c r="BE21" i="15"/>
  <c r="BD21" i="15"/>
  <c r="BC21" i="15"/>
  <c r="BB21" i="15"/>
  <c r="AZ21" i="15"/>
  <c r="AY21" i="15"/>
  <c r="AX21" i="15"/>
  <c r="AW21" i="15"/>
  <c r="AS21" i="15"/>
  <c r="AR21" i="15"/>
  <c r="AQ21" i="15"/>
  <c r="AP21" i="15"/>
  <c r="AO21" i="15"/>
  <c r="AN21" i="15"/>
  <c r="AM21" i="15"/>
  <c r="AL21" i="15"/>
  <c r="AK21" i="15"/>
  <c r="AI21" i="15"/>
  <c r="BP21" i="15" s="1"/>
  <c r="BO20" i="15"/>
  <c r="BN20" i="15"/>
  <c r="BM20" i="15"/>
  <c r="BL20" i="15"/>
  <c r="BK20" i="15"/>
  <c r="BJ20" i="15"/>
  <c r="BI20" i="15"/>
  <c r="BH20" i="15"/>
  <c r="BE20" i="15"/>
  <c r="BD20" i="15"/>
  <c r="BC20" i="15"/>
  <c r="BB20" i="15"/>
  <c r="BA20" i="15"/>
  <c r="AZ20" i="15"/>
  <c r="AY20" i="15"/>
  <c r="AX20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I20" i="15"/>
  <c r="BP20" i="15" s="1"/>
  <c r="BO19" i="15"/>
  <c r="BN19" i="15"/>
  <c r="BM19" i="15"/>
  <c r="BL19" i="15"/>
  <c r="BK19" i="15"/>
  <c r="BJ19" i="15"/>
  <c r="BI19" i="15"/>
  <c r="BH19" i="15"/>
  <c r="BG19" i="15"/>
  <c r="BF19" i="15"/>
  <c r="BE19" i="15"/>
  <c r="BD19" i="15"/>
  <c r="BC19" i="15"/>
  <c r="BB19" i="15"/>
  <c r="BA19" i="15"/>
  <c r="AZ19" i="15"/>
  <c r="AY19" i="15"/>
  <c r="AX19" i="15"/>
  <c r="AW19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I19" i="15"/>
  <c r="BP19" i="15" s="1"/>
  <c r="BO18" i="15"/>
  <c r="BN18" i="15"/>
  <c r="BM18" i="15"/>
  <c r="BL18" i="15"/>
  <c r="BK18" i="15"/>
  <c r="BJ18" i="15"/>
  <c r="BI18" i="15"/>
  <c r="BH18" i="15"/>
  <c r="BG18" i="15"/>
  <c r="BF18" i="15"/>
  <c r="BE18" i="15"/>
  <c r="BD18" i="15"/>
  <c r="BC18" i="15"/>
  <c r="BB18" i="15"/>
  <c r="BA18" i="15"/>
  <c r="AZ18" i="15"/>
  <c r="AY18" i="15"/>
  <c r="AX18" i="15"/>
  <c r="AW18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I18" i="15"/>
  <c r="BP18" i="15" s="1"/>
  <c r="BO17" i="15"/>
  <c r="BN17" i="15"/>
  <c r="BM17" i="15"/>
  <c r="BL17" i="15"/>
  <c r="BK17" i="15"/>
  <c r="BJ17" i="15"/>
  <c r="BI17" i="15"/>
  <c r="BH17" i="15"/>
  <c r="BF17" i="15"/>
  <c r="BE17" i="15"/>
  <c r="BD17" i="15"/>
  <c r="BC17" i="15"/>
  <c r="BB17" i="15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I17" i="15"/>
  <c r="BP17" i="15" s="1"/>
  <c r="BO16" i="15"/>
  <c r="BN16" i="15"/>
  <c r="BM16" i="15"/>
  <c r="BL16" i="15"/>
  <c r="BK16" i="15"/>
  <c r="BJ16" i="15"/>
  <c r="BI16" i="15"/>
  <c r="BH16" i="15"/>
  <c r="BG16" i="15"/>
  <c r="BF16" i="15"/>
  <c r="BE16" i="15"/>
  <c r="BD16" i="15"/>
  <c r="BC16" i="15"/>
  <c r="BB16" i="15"/>
  <c r="BA16" i="15"/>
  <c r="AZ16" i="15"/>
  <c r="AY16" i="15"/>
  <c r="AX16" i="15"/>
  <c r="AW16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I16" i="15"/>
  <c r="BP16" i="15" s="1"/>
  <c r="BO15" i="15"/>
  <c r="BN15" i="15"/>
  <c r="BM15" i="15"/>
  <c r="BL15" i="15"/>
  <c r="BK15" i="15"/>
  <c r="BJ15" i="15"/>
  <c r="BI15" i="15"/>
  <c r="BH15" i="15"/>
  <c r="BG15" i="15"/>
  <c r="BF15" i="15"/>
  <c r="BE15" i="15"/>
  <c r="BD15" i="15"/>
  <c r="BC15" i="15"/>
  <c r="BB15" i="15"/>
  <c r="BA15" i="15"/>
  <c r="AZ15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I15" i="15"/>
  <c r="BP15" i="15" s="1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BC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I14" i="15"/>
  <c r="BP14" i="15" s="1"/>
  <c r="BO13" i="15"/>
  <c r="BN13" i="15"/>
  <c r="BM13" i="15"/>
  <c r="BL13" i="15"/>
  <c r="BK13" i="15"/>
  <c r="BJ13" i="15"/>
  <c r="BI13" i="15"/>
  <c r="BH13" i="15"/>
  <c r="BG13" i="15"/>
  <c r="BF13" i="15"/>
  <c r="BE13" i="15"/>
  <c r="BD13" i="15"/>
  <c r="BC13" i="15"/>
  <c r="BB13" i="15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I13" i="15"/>
  <c r="BP13" i="15" s="1"/>
  <c r="BO12" i="15"/>
  <c r="BN12" i="15"/>
  <c r="BM12" i="15"/>
  <c r="BL12" i="15"/>
  <c r="BK12" i="15"/>
  <c r="BJ12" i="15"/>
  <c r="BI12" i="15"/>
  <c r="BH12" i="15"/>
  <c r="BG12" i="15"/>
  <c r="BF12" i="15"/>
  <c r="BE12" i="15"/>
  <c r="BD12" i="15"/>
  <c r="BC12" i="15"/>
  <c r="BB12" i="15"/>
  <c r="BA12" i="15"/>
  <c r="AZ12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AL12" i="15"/>
  <c r="AI12" i="15"/>
  <c r="BP12" i="15" s="1"/>
  <c r="BO11" i="15"/>
  <c r="BN11" i="15"/>
  <c r="BM11" i="15"/>
  <c r="BL11" i="15"/>
  <c r="BK11" i="15"/>
  <c r="BJ11" i="15"/>
  <c r="BI11" i="15"/>
  <c r="BH11" i="15"/>
  <c r="BG11" i="15"/>
  <c r="BF11" i="15"/>
  <c r="BE11" i="15"/>
  <c r="BD11" i="15"/>
  <c r="BC11" i="15"/>
  <c r="BB11" i="15"/>
  <c r="BA11" i="15"/>
  <c r="AZ11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I11" i="15"/>
  <c r="BP11" i="15" s="1"/>
  <c r="BO10" i="15"/>
  <c r="BN10" i="15"/>
  <c r="BM10" i="15"/>
  <c r="BL10" i="15"/>
  <c r="BK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I10" i="15"/>
  <c r="BP10" i="15" s="1"/>
  <c r="BO9" i="15"/>
  <c r="BN9" i="15"/>
  <c r="BM9" i="15"/>
  <c r="BL9" i="15"/>
  <c r="BK9" i="15"/>
  <c r="BJ9" i="15"/>
  <c r="BI9" i="15"/>
  <c r="BH9" i="15"/>
  <c r="BG9" i="15"/>
  <c r="BF9" i="15"/>
  <c r="BE9" i="15"/>
  <c r="BD9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I9" i="15"/>
  <c r="BP9" i="15" s="1"/>
  <c r="BO8" i="15"/>
  <c r="BN8" i="15"/>
  <c r="BM8" i="15"/>
  <c r="BL8" i="15"/>
  <c r="BK8" i="15"/>
  <c r="BJ8" i="15"/>
  <c r="BI8" i="15"/>
  <c r="BH8" i="15"/>
  <c r="BG8" i="15"/>
  <c r="BF8" i="15"/>
  <c r="BE8" i="15"/>
  <c r="BD8" i="15"/>
  <c r="BB8" i="15"/>
  <c r="BA8" i="15"/>
  <c r="AZ8" i="15"/>
  <c r="AY8" i="15"/>
  <c r="AX8" i="15"/>
  <c r="AW8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I8" i="15"/>
  <c r="BP8" i="15" s="1"/>
  <c r="BO7" i="15"/>
  <c r="BN7" i="15"/>
  <c r="BM7" i="15"/>
  <c r="BL7" i="15"/>
  <c r="BK7" i="15"/>
  <c r="BJ7" i="15"/>
  <c r="BI7" i="15"/>
  <c r="BH7" i="15"/>
  <c r="BG7" i="15"/>
  <c r="BF7" i="15"/>
  <c r="BE7" i="15"/>
  <c r="BD7" i="15"/>
  <c r="BB7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I7" i="15"/>
  <c r="BP7" i="15" s="1"/>
  <c r="BN6" i="15"/>
  <c r="BK6" i="15"/>
  <c r="BH6" i="15"/>
  <c r="BF6" i="15"/>
  <c r="BC6" i="15"/>
  <c r="AZ6" i="15"/>
  <c r="AX6" i="15"/>
  <c r="AW6" i="15"/>
  <c r="AV6" i="15"/>
  <c r="AU6" i="15"/>
  <c r="AT6" i="15"/>
  <c r="AS6" i="15"/>
  <c r="AN6" i="15"/>
  <c r="AM6" i="15"/>
  <c r="AK6" i="15"/>
  <c r="AI6" i="15"/>
  <c r="BP6" i="15" s="1"/>
  <c r="AH32" i="15"/>
  <c r="AG32" i="15"/>
  <c r="AF32" i="15"/>
  <c r="AE32" i="15"/>
  <c r="AD32" i="15"/>
  <c r="AC32" i="15"/>
  <c r="AB32" i="15"/>
  <c r="BI6" i="15"/>
  <c r="Z32" i="15"/>
  <c r="Y32" i="15"/>
  <c r="X32" i="15"/>
  <c r="W32" i="15"/>
  <c r="BD6" i="15"/>
  <c r="U32" i="15"/>
  <c r="T32" i="15"/>
  <c r="BA6" i="15"/>
  <c r="R32" i="15"/>
  <c r="Q32" i="15"/>
  <c r="P32" i="15"/>
  <c r="K32" i="15"/>
  <c r="J32" i="15"/>
  <c r="I32" i="15"/>
  <c r="AP6" i="15"/>
  <c r="G32" i="15"/>
  <c r="F32" i="15"/>
  <c r="E32" i="15"/>
  <c r="D45" i="15"/>
  <c r="E45" i="15" s="1"/>
  <c r="F45" i="15" s="1"/>
  <c r="BO5" i="15"/>
  <c r="BN5" i="15"/>
  <c r="BM5" i="15"/>
  <c r="BL5" i="15"/>
  <c r="BJ5" i="15"/>
  <c r="BI5" i="15"/>
  <c r="BH5" i="15"/>
  <c r="BG5" i="15"/>
  <c r="BF5" i="15"/>
  <c r="BE5" i="15"/>
  <c r="BD5" i="15"/>
  <c r="BC5" i="15"/>
  <c r="BB5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I5" i="15"/>
  <c r="BP5" i="15" s="1"/>
  <c r="AH6" i="13"/>
  <c r="S32" i="15" l="1"/>
  <c r="AA32" i="15"/>
  <c r="AI32" i="15"/>
  <c r="AL6" i="15"/>
  <c r="BB6" i="15"/>
  <c r="BJ6" i="15"/>
  <c r="D32" i="15"/>
  <c r="BL6" i="15"/>
  <c r="V32" i="15"/>
  <c r="AO6" i="15"/>
  <c r="BE6" i="15"/>
  <c r="BM6" i="15"/>
  <c r="H32" i="15"/>
  <c r="AQ6" i="15"/>
  <c r="AY6" i="15"/>
  <c r="BG6" i="15"/>
  <c r="BO6" i="15"/>
  <c r="AR6" i="15"/>
  <c r="AG6" i="13"/>
  <c r="AI36" i="15" l="1"/>
  <c r="AI35" i="15"/>
  <c r="AI34" i="15"/>
  <c r="AI33" i="15"/>
  <c r="AF6" i="13"/>
  <c r="AE6" i="13" l="1"/>
  <c r="AB6" i="13"/>
  <c r="AC6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AD6" i="13"/>
  <c r="AA6" i="13" l="1"/>
  <c r="Z6" i="13"/>
  <c r="Y6" i="13"/>
  <c r="X6" i="13"/>
  <c r="W6" i="13"/>
  <c r="V6" i="13"/>
  <c r="U6" i="13" l="1"/>
  <c r="T37" i="13"/>
  <c r="T6" i="13"/>
  <c r="S6" i="13"/>
  <c r="Q6" i="13" l="1"/>
  <c r="P6" i="13"/>
  <c r="K6" i="13" l="1"/>
  <c r="J6" i="13"/>
  <c r="I6" i="13"/>
  <c r="H6" i="13"/>
  <c r="G6" i="13"/>
  <c r="E6" i="13"/>
  <c r="F6" i="13"/>
  <c r="D6" i="13" l="1"/>
  <c r="I67" i="13"/>
  <c r="J67" i="13" s="1"/>
  <c r="K67" i="13" s="1"/>
  <c r="L67" i="13" s="1"/>
  <c r="M67" i="13" s="1"/>
  <c r="N67" i="13" s="1"/>
  <c r="O67" i="13" s="1"/>
  <c r="P67" i="13" s="1"/>
  <c r="Q67" i="13" s="1"/>
  <c r="R67" i="13" s="1"/>
  <c r="S67" i="13" s="1"/>
  <c r="T67" i="13" s="1"/>
  <c r="U67" i="13" s="1"/>
  <c r="V67" i="13" s="1"/>
  <c r="D67" i="13"/>
  <c r="E67" i="13" s="1"/>
  <c r="F67" i="13" s="1"/>
  <c r="I66" i="13"/>
  <c r="J66" i="13" s="1"/>
  <c r="K66" i="13" s="1"/>
  <c r="L66" i="13" s="1"/>
  <c r="M66" i="13" s="1"/>
  <c r="N66" i="13" s="1"/>
  <c r="O66" i="13" s="1"/>
  <c r="P66" i="13" s="1"/>
  <c r="Q66" i="13" s="1"/>
  <c r="R66" i="13" s="1"/>
  <c r="S66" i="13" s="1"/>
  <c r="T66" i="13" s="1"/>
  <c r="U66" i="13" s="1"/>
  <c r="V66" i="13" s="1"/>
  <c r="D66" i="13"/>
  <c r="E66" i="13" s="1"/>
  <c r="F66" i="13" s="1"/>
  <c r="I65" i="13"/>
  <c r="J65" i="13" s="1"/>
  <c r="K65" i="13" s="1"/>
  <c r="L65" i="13" s="1"/>
  <c r="M65" i="13" s="1"/>
  <c r="N65" i="13" s="1"/>
  <c r="O65" i="13" s="1"/>
  <c r="P65" i="13" s="1"/>
  <c r="Q65" i="13" s="1"/>
  <c r="R65" i="13" s="1"/>
  <c r="S65" i="13" s="1"/>
  <c r="T65" i="13" s="1"/>
  <c r="U65" i="13" s="1"/>
  <c r="V65" i="13" s="1"/>
  <c r="D65" i="13"/>
  <c r="E65" i="13" s="1"/>
  <c r="F65" i="13" s="1"/>
  <c r="I64" i="13"/>
  <c r="J64" i="13" s="1"/>
  <c r="K64" i="13" s="1"/>
  <c r="L64" i="13" s="1"/>
  <c r="M64" i="13" s="1"/>
  <c r="N64" i="13" s="1"/>
  <c r="O64" i="13" s="1"/>
  <c r="P64" i="13" s="1"/>
  <c r="Q64" i="13" s="1"/>
  <c r="R64" i="13" s="1"/>
  <c r="S64" i="13" s="1"/>
  <c r="T64" i="13" s="1"/>
  <c r="U64" i="13" s="1"/>
  <c r="V64" i="13" s="1"/>
  <c r="D64" i="13"/>
  <c r="E64" i="13" s="1"/>
  <c r="F64" i="13" s="1"/>
  <c r="I63" i="13"/>
  <c r="J63" i="13" s="1"/>
  <c r="K63" i="13" s="1"/>
  <c r="L63" i="13" s="1"/>
  <c r="M63" i="13" s="1"/>
  <c r="N63" i="13" s="1"/>
  <c r="O63" i="13" s="1"/>
  <c r="P63" i="13" s="1"/>
  <c r="Q63" i="13" s="1"/>
  <c r="R63" i="13" s="1"/>
  <c r="S63" i="13" s="1"/>
  <c r="T63" i="13" s="1"/>
  <c r="U63" i="13" s="1"/>
  <c r="V63" i="13" s="1"/>
  <c r="D63" i="13"/>
  <c r="E63" i="13" s="1"/>
  <c r="F63" i="13" s="1"/>
  <c r="I62" i="13"/>
  <c r="J62" i="13" s="1"/>
  <c r="K62" i="13" s="1"/>
  <c r="L62" i="13" s="1"/>
  <c r="M62" i="13" s="1"/>
  <c r="N62" i="13" s="1"/>
  <c r="O62" i="13" s="1"/>
  <c r="P62" i="13" s="1"/>
  <c r="Q62" i="13" s="1"/>
  <c r="R62" i="13" s="1"/>
  <c r="S62" i="13" s="1"/>
  <c r="T62" i="13" s="1"/>
  <c r="U62" i="13" s="1"/>
  <c r="V62" i="13" s="1"/>
  <c r="D62" i="13"/>
  <c r="E62" i="13" s="1"/>
  <c r="F62" i="13" s="1"/>
  <c r="I61" i="13"/>
  <c r="J61" i="13" s="1"/>
  <c r="K61" i="13" s="1"/>
  <c r="L61" i="13" s="1"/>
  <c r="M61" i="13" s="1"/>
  <c r="N61" i="13" s="1"/>
  <c r="O61" i="13" s="1"/>
  <c r="P61" i="13" s="1"/>
  <c r="Q61" i="13" s="1"/>
  <c r="R61" i="13" s="1"/>
  <c r="S61" i="13" s="1"/>
  <c r="T61" i="13" s="1"/>
  <c r="U61" i="13" s="1"/>
  <c r="V61" i="13" s="1"/>
  <c r="D61" i="13"/>
  <c r="E61" i="13" s="1"/>
  <c r="F61" i="13" s="1"/>
  <c r="I60" i="13"/>
  <c r="J60" i="13" s="1"/>
  <c r="K60" i="13" s="1"/>
  <c r="L60" i="13" s="1"/>
  <c r="M60" i="13" s="1"/>
  <c r="N60" i="13" s="1"/>
  <c r="O60" i="13" s="1"/>
  <c r="P60" i="13" s="1"/>
  <c r="Q60" i="13" s="1"/>
  <c r="R60" i="13" s="1"/>
  <c r="S60" i="13" s="1"/>
  <c r="T60" i="13" s="1"/>
  <c r="U60" i="13" s="1"/>
  <c r="V60" i="13" s="1"/>
  <c r="D60" i="13"/>
  <c r="E60" i="13" s="1"/>
  <c r="F60" i="13" s="1"/>
  <c r="I59" i="13"/>
  <c r="J59" i="13" s="1"/>
  <c r="K59" i="13" s="1"/>
  <c r="L59" i="13" s="1"/>
  <c r="M59" i="13" s="1"/>
  <c r="N59" i="13" s="1"/>
  <c r="O59" i="13" s="1"/>
  <c r="P59" i="13" s="1"/>
  <c r="Q59" i="13" s="1"/>
  <c r="R59" i="13" s="1"/>
  <c r="S59" i="13" s="1"/>
  <c r="T59" i="13" s="1"/>
  <c r="U59" i="13" s="1"/>
  <c r="V59" i="13" s="1"/>
  <c r="D59" i="13"/>
  <c r="E59" i="13" s="1"/>
  <c r="F59" i="13" s="1"/>
  <c r="I58" i="13"/>
  <c r="J58" i="13" s="1"/>
  <c r="K58" i="13" s="1"/>
  <c r="L58" i="13" s="1"/>
  <c r="M58" i="13" s="1"/>
  <c r="N58" i="13" s="1"/>
  <c r="O58" i="13" s="1"/>
  <c r="P58" i="13" s="1"/>
  <c r="Q58" i="13" s="1"/>
  <c r="R58" i="13" s="1"/>
  <c r="S58" i="13" s="1"/>
  <c r="T58" i="13" s="1"/>
  <c r="U58" i="13" s="1"/>
  <c r="V58" i="13" s="1"/>
  <c r="D58" i="13"/>
  <c r="E58" i="13" s="1"/>
  <c r="F58" i="13" s="1"/>
  <c r="I57" i="13"/>
  <c r="J57" i="13" s="1"/>
  <c r="K57" i="13" s="1"/>
  <c r="L57" i="13" s="1"/>
  <c r="M57" i="13" s="1"/>
  <c r="N57" i="13" s="1"/>
  <c r="O57" i="13" s="1"/>
  <c r="P57" i="13" s="1"/>
  <c r="Q57" i="13" s="1"/>
  <c r="R57" i="13" s="1"/>
  <c r="S57" i="13" s="1"/>
  <c r="T57" i="13" s="1"/>
  <c r="U57" i="13" s="1"/>
  <c r="V57" i="13" s="1"/>
  <c r="D57" i="13"/>
  <c r="E57" i="13" s="1"/>
  <c r="F57" i="13" s="1"/>
  <c r="I56" i="13"/>
  <c r="J56" i="13" s="1"/>
  <c r="K56" i="13" s="1"/>
  <c r="L56" i="13" s="1"/>
  <c r="M56" i="13" s="1"/>
  <c r="N56" i="13" s="1"/>
  <c r="O56" i="13" s="1"/>
  <c r="P56" i="13" s="1"/>
  <c r="Q56" i="13" s="1"/>
  <c r="R56" i="13" s="1"/>
  <c r="S56" i="13" s="1"/>
  <c r="T56" i="13" s="1"/>
  <c r="U56" i="13" s="1"/>
  <c r="V56" i="13" s="1"/>
  <c r="D56" i="13"/>
  <c r="E56" i="13" s="1"/>
  <c r="F56" i="13" s="1"/>
  <c r="I55" i="13"/>
  <c r="J55" i="13" s="1"/>
  <c r="K55" i="13" s="1"/>
  <c r="L55" i="13" s="1"/>
  <c r="M55" i="13" s="1"/>
  <c r="N55" i="13" s="1"/>
  <c r="O55" i="13" s="1"/>
  <c r="P55" i="13" s="1"/>
  <c r="Q55" i="13" s="1"/>
  <c r="R55" i="13" s="1"/>
  <c r="S55" i="13" s="1"/>
  <c r="T55" i="13" s="1"/>
  <c r="U55" i="13" s="1"/>
  <c r="V55" i="13" s="1"/>
  <c r="D55" i="13"/>
  <c r="E55" i="13" s="1"/>
  <c r="F55" i="13" s="1"/>
  <c r="I54" i="13"/>
  <c r="J54" i="13" s="1"/>
  <c r="K54" i="13" s="1"/>
  <c r="L54" i="13" s="1"/>
  <c r="M54" i="13" s="1"/>
  <c r="N54" i="13" s="1"/>
  <c r="O54" i="13" s="1"/>
  <c r="P54" i="13" s="1"/>
  <c r="Q54" i="13" s="1"/>
  <c r="R54" i="13" s="1"/>
  <c r="S54" i="13" s="1"/>
  <c r="T54" i="13" s="1"/>
  <c r="U54" i="13" s="1"/>
  <c r="V54" i="13" s="1"/>
  <c r="D54" i="13"/>
  <c r="E54" i="13" s="1"/>
  <c r="F54" i="13" s="1"/>
  <c r="I53" i="13"/>
  <c r="J53" i="13" s="1"/>
  <c r="K53" i="13" s="1"/>
  <c r="L53" i="13" s="1"/>
  <c r="M53" i="13" s="1"/>
  <c r="N53" i="13" s="1"/>
  <c r="O53" i="13" s="1"/>
  <c r="P53" i="13" s="1"/>
  <c r="Q53" i="13" s="1"/>
  <c r="R53" i="13" s="1"/>
  <c r="S53" i="13" s="1"/>
  <c r="T53" i="13" s="1"/>
  <c r="U53" i="13" s="1"/>
  <c r="V53" i="13" s="1"/>
  <c r="D53" i="13"/>
  <c r="E53" i="13" s="1"/>
  <c r="F53" i="13" s="1"/>
  <c r="I52" i="13"/>
  <c r="J52" i="13" s="1"/>
  <c r="K52" i="13" s="1"/>
  <c r="L52" i="13" s="1"/>
  <c r="M52" i="13" s="1"/>
  <c r="N52" i="13" s="1"/>
  <c r="O52" i="13" s="1"/>
  <c r="P52" i="13" s="1"/>
  <c r="Q52" i="13" s="1"/>
  <c r="R52" i="13" s="1"/>
  <c r="S52" i="13" s="1"/>
  <c r="T52" i="13" s="1"/>
  <c r="U52" i="13" s="1"/>
  <c r="V52" i="13" s="1"/>
  <c r="D52" i="13"/>
  <c r="E52" i="13" s="1"/>
  <c r="F52" i="13" s="1"/>
  <c r="I51" i="13"/>
  <c r="J51" i="13" s="1"/>
  <c r="K51" i="13" s="1"/>
  <c r="L51" i="13" s="1"/>
  <c r="M51" i="13" s="1"/>
  <c r="N51" i="13" s="1"/>
  <c r="O51" i="13" s="1"/>
  <c r="P51" i="13" s="1"/>
  <c r="Q51" i="13" s="1"/>
  <c r="R51" i="13" s="1"/>
  <c r="S51" i="13" s="1"/>
  <c r="T51" i="13" s="1"/>
  <c r="U51" i="13" s="1"/>
  <c r="V51" i="13" s="1"/>
  <c r="D51" i="13"/>
  <c r="E51" i="13" s="1"/>
  <c r="F51" i="13" s="1"/>
  <c r="I50" i="13"/>
  <c r="J50" i="13" s="1"/>
  <c r="K50" i="13" s="1"/>
  <c r="L50" i="13" s="1"/>
  <c r="M50" i="13" s="1"/>
  <c r="N50" i="13" s="1"/>
  <c r="O50" i="13" s="1"/>
  <c r="P50" i="13" s="1"/>
  <c r="Q50" i="13" s="1"/>
  <c r="R50" i="13" s="1"/>
  <c r="S50" i="13" s="1"/>
  <c r="T50" i="13" s="1"/>
  <c r="U50" i="13" s="1"/>
  <c r="V50" i="13" s="1"/>
  <c r="D50" i="13"/>
  <c r="E50" i="13" s="1"/>
  <c r="F50" i="13" s="1"/>
  <c r="I49" i="13"/>
  <c r="J49" i="13" s="1"/>
  <c r="K49" i="13" s="1"/>
  <c r="L49" i="13" s="1"/>
  <c r="M49" i="13" s="1"/>
  <c r="N49" i="13" s="1"/>
  <c r="O49" i="13" s="1"/>
  <c r="P49" i="13" s="1"/>
  <c r="Q49" i="13" s="1"/>
  <c r="R49" i="13" s="1"/>
  <c r="S49" i="13" s="1"/>
  <c r="T49" i="13" s="1"/>
  <c r="U49" i="13" s="1"/>
  <c r="V49" i="13" s="1"/>
  <c r="D49" i="13"/>
  <c r="E49" i="13" s="1"/>
  <c r="F49" i="13" s="1"/>
  <c r="I48" i="13"/>
  <c r="J48" i="13" s="1"/>
  <c r="K48" i="13" s="1"/>
  <c r="L48" i="13" s="1"/>
  <c r="M48" i="13" s="1"/>
  <c r="N48" i="13" s="1"/>
  <c r="O48" i="13" s="1"/>
  <c r="P48" i="13" s="1"/>
  <c r="Q48" i="13" s="1"/>
  <c r="R48" i="13" s="1"/>
  <c r="S48" i="13" s="1"/>
  <c r="T48" i="13" s="1"/>
  <c r="U48" i="13" s="1"/>
  <c r="V48" i="13" s="1"/>
  <c r="D48" i="13"/>
  <c r="E48" i="13" s="1"/>
  <c r="F48" i="13" s="1"/>
  <c r="I47" i="13"/>
  <c r="J47" i="13" s="1"/>
  <c r="K47" i="13" s="1"/>
  <c r="L47" i="13" s="1"/>
  <c r="M47" i="13" s="1"/>
  <c r="N47" i="13" s="1"/>
  <c r="O47" i="13" s="1"/>
  <c r="P47" i="13" s="1"/>
  <c r="Q47" i="13" s="1"/>
  <c r="R47" i="13" s="1"/>
  <c r="S47" i="13" s="1"/>
  <c r="T47" i="13" s="1"/>
  <c r="U47" i="13" s="1"/>
  <c r="V47" i="13" s="1"/>
  <c r="D47" i="13"/>
  <c r="E47" i="13" s="1"/>
  <c r="F47" i="13" s="1"/>
  <c r="I46" i="13"/>
  <c r="J46" i="13" s="1"/>
  <c r="K46" i="13" s="1"/>
  <c r="L46" i="13" s="1"/>
  <c r="M46" i="13" s="1"/>
  <c r="N46" i="13" s="1"/>
  <c r="O46" i="13" s="1"/>
  <c r="P46" i="13" s="1"/>
  <c r="Q46" i="13" s="1"/>
  <c r="R46" i="13" s="1"/>
  <c r="S46" i="13" s="1"/>
  <c r="T46" i="13" s="1"/>
  <c r="U46" i="13" s="1"/>
  <c r="V46" i="13" s="1"/>
  <c r="D46" i="13"/>
  <c r="E46" i="13" s="1"/>
  <c r="F46" i="13" s="1"/>
  <c r="H45" i="13"/>
  <c r="G45" i="13"/>
  <c r="AM44" i="13"/>
  <c r="I44" i="13"/>
  <c r="J44" i="13" s="1"/>
  <c r="K44" i="13" s="1"/>
  <c r="L44" i="13" s="1"/>
  <c r="M44" i="13" s="1"/>
  <c r="N44" i="13" s="1"/>
  <c r="O44" i="13" s="1"/>
  <c r="P44" i="13" s="1"/>
  <c r="Q44" i="13" s="1"/>
  <c r="R44" i="13" s="1"/>
  <c r="S44" i="13" s="1"/>
  <c r="T44" i="13" s="1"/>
  <c r="U44" i="13" s="1"/>
  <c r="V44" i="13" s="1"/>
  <c r="D44" i="13"/>
  <c r="E44" i="13" s="1"/>
  <c r="F44" i="13" s="1"/>
  <c r="AG42" i="13"/>
  <c r="AA42" i="13"/>
  <c r="Z42" i="13"/>
  <c r="T42" i="13"/>
  <c r="S42" i="13"/>
  <c r="M42" i="13"/>
  <c r="L42" i="13"/>
  <c r="F42" i="13"/>
  <c r="E42" i="13"/>
  <c r="AF40" i="13"/>
  <c r="AF41" i="13" s="1"/>
  <c r="AE39" i="13"/>
  <c r="AC39" i="13"/>
  <c r="N36" i="13"/>
  <c r="L36" i="13"/>
  <c r="AJ32" i="13"/>
  <c r="N32" i="13"/>
  <c r="BO31" i="13"/>
  <c r="BN31" i="13"/>
  <c r="BM31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I31" i="13"/>
  <c r="BP31" i="13" s="1"/>
  <c r="BO30" i="13"/>
  <c r="BN30" i="13"/>
  <c r="BM30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I30" i="13"/>
  <c r="BO29" i="13"/>
  <c r="BN29" i="13"/>
  <c r="BM29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I29" i="13"/>
  <c r="AI28" i="13"/>
  <c r="I67" i="17" s="1"/>
  <c r="V67" i="17" s="1"/>
  <c r="V68" i="17" s="1"/>
  <c r="BO27" i="13"/>
  <c r="BN27" i="13"/>
  <c r="BM27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I27" i="13"/>
  <c r="BO26" i="13"/>
  <c r="BN26" i="13"/>
  <c r="BM26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I26" i="13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I25" i="13"/>
  <c r="BO24" i="13"/>
  <c r="BN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I24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N23" i="13"/>
  <c r="AM23" i="13"/>
  <c r="AL23" i="13"/>
  <c r="AK23" i="13"/>
  <c r="AO23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I22" i="13"/>
  <c r="BO21" i="13"/>
  <c r="BN21" i="13"/>
  <c r="BM21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I21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I20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I19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I18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I17" i="13"/>
  <c r="BO16" i="13"/>
  <c r="BN16" i="13"/>
  <c r="BM16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I16" i="13"/>
  <c r="BO15" i="13"/>
  <c r="BN15" i="13"/>
  <c r="BM15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N15" i="13"/>
  <c r="AM15" i="13"/>
  <c r="AL15" i="13"/>
  <c r="AK15" i="13"/>
  <c r="AI15" i="13"/>
  <c r="AO15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I14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I13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I12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I11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I10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I9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I8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I7" i="13"/>
  <c r="BN6" i="13"/>
  <c r="BK6" i="13"/>
  <c r="BF6" i="13"/>
  <c r="BC6" i="13"/>
  <c r="AX6" i="13"/>
  <c r="AV6" i="13"/>
  <c r="AH32" i="13"/>
  <c r="AG32" i="13"/>
  <c r="AF32" i="13"/>
  <c r="BM6" i="13"/>
  <c r="AD32" i="13"/>
  <c r="AC32" i="13"/>
  <c r="AB32" i="13"/>
  <c r="AA32" i="13"/>
  <c r="Z32" i="13"/>
  <c r="Y32" i="13"/>
  <c r="X32" i="13"/>
  <c r="BE6" i="13"/>
  <c r="BD6" i="13"/>
  <c r="U32" i="13"/>
  <c r="T32" i="13"/>
  <c r="S32" i="13"/>
  <c r="R32" i="13"/>
  <c r="Q32" i="13"/>
  <c r="P32" i="13"/>
  <c r="AW6" i="13"/>
  <c r="M32" i="13"/>
  <c r="L32" i="13"/>
  <c r="K32" i="13"/>
  <c r="J32" i="13"/>
  <c r="I45" i="13"/>
  <c r="J45" i="13" s="1"/>
  <c r="K45" i="13" s="1"/>
  <c r="L45" i="13" s="1"/>
  <c r="M45" i="13" s="1"/>
  <c r="N45" i="13" s="1"/>
  <c r="O45" i="13" s="1"/>
  <c r="P45" i="13" s="1"/>
  <c r="Q45" i="13" s="1"/>
  <c r="R45" i="13" s="1"/>
  <c r="S45" i="13" s="1"/>
  <c r="T45" i="13" s="1"/>
  <c r="U45" i="13" s="1"/>
  <c r="V45" i="13" s="1"/>
  <c r="H32" i="13"/>
  <c r="AO6" i="13"/>
  <c r="AK6" i="13"/>
  <c r="E32" i="13"/>
  <c r="D45" i="13"/>
  <c r="E45" i="13" s="1"/>
  <c r="F45" i="13" s="1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I5" i="13"/>
  <c r="I4" i="17" s="1"/>
  <c r="V4" i="17" s="1"/>
  <c r="V5" i="17" s="1"/>
  <c r="AH6" i="12"/>
  <c r="AG6" i="12"/>
  <c r="AF6" i="12"/>
  <c r="BP12" i="13" l="1"/>
  <c r="I25" i="17"/>
  <c r="V25" i="17" s="1"/>
  <c r="V26" i="17" s="1"/>
  <c r="BP13" i="13"/>
  <c r="I28" i="17"/>
  <c r="V28" i="17" s="1"/>
  <c r="V29" i="17" s="1"/>
  <c r="BP20" i="13"/>
  <c r="I49" i="17"/>
  <c r="V49" i="17" s="1"/>
  <c r="V50" i="17" s="1"/>
  <c r="BP21" i="13"/>
  <c r="I52" i="17"/>
  <c r="V52" i="17" s="1"/>
  <c r="V53" i="17" s="1"/>
  <c r="BP24" i="13"/>
  <c r="I61" i="17"/>
  <c r="BP25" i="13"/>
  <c r="I73" i="17"/>
  <c r="V73" i="17" s="1"/>
  <c r="V74" i="17" s="1"/>
  <c r="BP26" i="13"/>
  <c r="I76" i="17"/>
  <c r="V76" i="17" s="1"/>
  <c r="V77" i="17" s="1"/>
  <c r="BP7" i="13"/>
  <c r="I10" i="17"/>
  <c r="V10" i="17" s="1"/>
  <c r="V11" i="17" s="1"/>
  <c r="BP14" i="13"/>
  <c r="I31" i="17"/>
  <c r="V31" i="17" s="1"/>
  <c r="V32" i="17" s="1"/>
  <c r="BP22" i="13"/>
  <c r="I55" i="17"/>
  <c r="V55" i="17" s="1"/>
  <c r="V56" i="17" s="1"/>
  <c r="BP27" i="13"/>
  <c r="I64" i="17"/>
  <c r="V64" i="17" s="1"/>
  <c r="V65" i="17" s="1"/>
  <c r="I68" i="17"/>
  <c r="U67" i="17"/>
  <c r="U68" i="17" s="1"/>
  <c r="BP30" i="13"/>
  <c r="I82" i="17"/>
  <c r="I5" i="17"/>
  <c r="U4" i="17"/>
  <c r="BP8" i="13"/>
  <c r="I13" i="17"/>
  <c r="V13" i="17" s="1"/>
  <c r="V14" i="17" s="1"/>
  <c r="BP29" i="13"/>
  <c r="I70" i="17"/>
  <c r="V70" i="17" s="1"/>
  <c r="V71" i="17" s="1"/>
  <c r="BP15" i="13"/>
  <c r="I34" i="17"/>
  <c r="BP16" i="13"/>
  <c r="I37" i="17"/>
  <c r="V37" i="17" s="1"/>
  <c r="V38" i="17" s="1"/>
  <c r="BP17" i="13"/>
  <c r="I40" i="17"/>
  <c r="V40" i="17" s="1"/>
  <c r="V41" i="17" s="1"/>
  <c r="BP9" i="13"/>
  <c r="I16" i="17"/>
  <c r="V16" i="17" s="1"/>
  <c r="V17" i="17" s="1"/>
  <c r="BP10" i="13"/>
  <c r="I19" i="17"/>
  <c r="V19" i="17" s="1"/>
  <c r="V20" i="17" s="1"/>
  <c r="BP18" i="13"/>
  <c r="I43" i="17"/>
  <c r="V43" i="17" s="1"/>
  <c r="V44" i="17" s="1"/>
  <c r="BP11" i="13"/>
  <c r="I22" i="17"/>
  <c r="V22" i="17" s="1"/>
  <c r="V23" i="17" s="1"/>
  <c r="BP19" i="13"/>
  <c r="I46" i="17"/>
  <c r="V46" i="17" s="1"/>
  <c r="V47" i="17" s="1"/>
  <c r="BP28" i="13"/>
  <c r="BP5" i="13"/>
  <c r="BL6" i="13"/>
  <c r="AQ6" i="13"/>
  <c r="BG6" i="13"/>
  <c r="AR6" i="13"/>
  <c r="BH6" i="13"/>
  <c r="F32" i="13"/>
  <c r="V32" i="13"/>
  <c r="AS6" i="13"/>
  <c r="BA6" i="13"/>
  <c r="BI6" i="13"/>
  <c r="G32" i="13"/>
  <c r="O32" i="13"/>
  <c r="W32" i="13"/>
  <c r="AE32" i="13"/>
  <c r="AM6" i="13"/>
  <c r="AU6" i="13"/>
  <c r="AN6" i="13"/>
  <c r="AP6" i="13"/>
  <c r="AY6" i="13"/>
  <c r="BO6" i="13"/>
  <c r="AI23" i="13"/>
  <c r="I58" i="17" s="1"/>
  <c r="V58" i="17" s="1"/>
  <c r="V59" i="17" s="1"/>
  <c r="AI6" i="13"/>
  <c r="I7" i="17" s="1"/>
  <c r="V7" i="17" s="1"/>
  <c r="V8" i="17" s="1"/>
  <c r="AZ6" i="13"/>
  <c r="AL6" i="13"/>
  <c r="AT6" i="13"/>
  <c r="BB6" i="13"/>
  <c r="BJ6" i="13"/>
  <c r="I32" i="13"/>
  <c r="D32" i="13"/>
  <c r="AE6" i="12"/>
  <c r="AD6" i="12"/>
  <c r="O54" i="7"/>
  <c r="AC6" i="12"/>
  <c r="AC32" i="12" s="1"/>
  <c r="AB6" i="12"/>
  <c r="AB32" i="12" s="1"/>
  <c r="AA6" i="12"/>
  <c r="AA32" i="12" s="1"/>
  <c r="Z6" i="12"/>
  <c r="Y6" i="12"/>
  <c r="O56" i="7"/>
  <c r="X6" i="12"/>
  <c r="BF6" i="12" s="1"/>
  <c r="W6" i="12"/>
  <c r="V6" i="12"/>
  <c r="U6" i="12"/>
  <c r="O39" i="7"/>
  <c r="T6" i="12"/>
  <c r="S6" i="12"/>
  <c r="S32" i="12" s="1"/>
  <c r="R6" i="12"/>
  <c r="Q6" i="12"/>
  <c r="P6" i="12"/>
  <c r="O6" i="12"/>
  <c r="O32" i="12" s="1"/>
  <c r="AV6" i="12"/>
  <c r="M6" i="12"/>
  <c r="L6" i="12"/>
  <c r="K6" i="12"/>
  <c r="J6" i="12"/>
  <c r="J32" i="12" s="1"/>
  <c r="I6" i="12"/>
  <c r="H6" i="12"/>
  <c r="AP6" i="12" s="1"/>
  <c r="G9" i="12"/>
  <c r="AO9" i="12" s="1"/>
  <c r="G23" i="12"/>
  <c r="G15" i="12"/>
  <c r="G27" i="12"/>
  <c r="AI27" i="12" s="1"/>
  <c r="BP27" i="12" s="1"/>
  <c r="G6" i="12"/>
  <c r="F6" i="12"/>
  <c r="E6" i="12"/>
  <c r="D6" i="12"/>
  <c r="D45" i="12" s="1"/>
  <c r="I67" i="12"/>
  <c r="J67" i="12" s="1"/>
  <c r="K67" i="12" s="1"/>
  <c r="L67" i="12" s="1"/>
  <c r="M67" i="12" s="1"/>
  <c r="N67" i="12" s="1"/>
  <c r="O67" i="12" s="1"/>
  <c r="P67" i="12" s="1"/>
  <c r="Q67" i="12" s="1"/>
  <c r="R67" i="12" s="1"/>
  <c r="S67" i="12" s="1"/>
  <c r="T67" i="12" s="1"/>
  <c r="U67" i="12" s="1"/>
  <c r="V67" i="12" s="1"/>
  <c r="D67" i="12"/>
  <c r="E67" i="12" s="1"/>
  <c r="F67" i="12" s="1"/>
  <c r="I66" i="12"/>
  <c r="J66" i="12" s="1"/>
  <c r="K66" i="12" s="1"/>
  <c r="L66" i="12" s="1"/>
  <c r="M66" i="12" s="1"/>
  <c r="N66" i="12" s="1"/>
  <c r="O66" i="12" s="1"/>
  <c r="P66" i="12" s="1"/>
  <c r="Q66" i="12" s="1"/>
  <c r="R66" i="12" s="1"/>
  <c r="S66" i="12" s="1"/>
  <c r="T66" i="12" s="1"/>
  <c r="U66" i="12" s="1"/>
  <c r="V66" i="12" s="1"/>
  <c r="D66" i="12"/>
  <c r="E66" i="12" s="1"/>
  <c r="F66" i="12" s="1"/>
  <c r="I65" i="12"/>
  <c r="J65" i="12" s="1"/>
  <c r="K65" i="12" s="1"/>
  <c r="L65" i="12" s="1"/>
  <c r="M65" i="12" s="1"/>
  <c r="N65" i="12" s="1"/>
  <c r="O65" i="12" s="1"/>
  <c r="P65" i="12" s="1"/>
  <c r="Q65" i="12" s="1"/>
  <c r="R65" i="12" s="1"/>
  <c r="S65" i="12" s="1"/>
  <c r="T65" i="12" s="1"/>
  <c r="U65" i="12" s="1"/>
  <c r="V65" i="12" s="1"/>
  <c r="D65" i="12"/>
  <c r="E65" i="12" s="1"/>
  <c r="F65" i="12" s="1"/>
  <c r="I64" i="12"/>
  <c r="J64" i="12" s="1"/>
  <c r="K64" i="12" s="1"/>
  <c r="L64" i="12" s="1"/>
  <c r="M64" i="12" s="1"/>
  <c r="N64" i="12" s="1"/>
  <c r="O64" i="12" s="1"/>
  <c r="P64" i="12" s="1"/>
  <c r="Q64" i="12" s="1"/>
  <c r="R64" i="12" s="1"/>
  <c r="S64" i="12" s="1"/>
  <c r="T64" i="12" s="1"/>
  <c r="U64" i="12" s="1"/>
  <c r="V64" i="12" s="1"/>
  <c r="D64" i="12"/>
  <c r="E64" i="12" s="1"/>
  <c r="F64" i="12" s="1"/>
  <c r="I63" i="12"/>
  <c r="J63" i="12" s="1"/>
  <c r="K63" i="12" s="1"/>
  <c r="L63" i="12" s="1"/>
  <c r="M63" i="12" s="1"/>
  <c r="N63" i="12" s="1"/>
  <c r="O63" i="12" s="1"/>
  <c r="P63" i="12" s="1"/>
  <c r="Q63" i="12" s="1"/>
  <c r="R63" i="12" s="1"/>
  <c r="S63" i="12" s="1"/>
  <c r="T63" i="12" s="1"/>
  <c r="U63" i="12" s="1"/>
  <c r="V63" i="12" s="1"/>
  <c r="D63" i="12"/>
  <c r="E63" i="12" s="1"/>
  <c r="F63" i="12" s="1"/>
  <c r="I62" i="12"/>
  <c r="J62" i="12" s="1"/>
  <c r="K62" i="12" s="1"/>
  <c r="L62" i="12" s="1"/>
  <c r="M62" i="12" s="1"/>
  <c r="N62" i="12" s="1"/>
  <c r="O62" i="12" s="1"/>
  <c r="P62" i="12" s="1"/>
  <c r="Q62" i="12" s="1"/>
  <c r="R62" i="12" s="1"/>
  <c r="S62" i="12" s="1"/>
  <c r="T62" i="12" s="1"/>
  <c r="U62" i="12" s="1"/>
  <c r="V62" i="12" s="1"/>
  <c r="D62" i="12"/>
  <c r="E62" i="12" s="1"/>
  <c r="F62" i="12" s="1"/>
  <c r="I61" i="12"/>
  <c r="J61" i="12" s="1"/>
  <c r="K61" i="12" s="1"/>
  <c r="L61" i="12" s="1"/>
  <c r="M61" i="12" s="1"/>
  <c r="N61" i="12" s="1"/>
  <c r="O61" i="12" s="1"/>
  <c r="P61" i="12" s="1"/>
  <c r="Q61" i="12" s="1"/>
  <c r="R61" i="12" s="1"/>
  <c r="S61" i="12" s="1"/>
  <c r="T61" i="12" s="1"/>
  <c r="U61" i="12" s="1"/>
  <c r="V61" i="12" s="1"/>
  <c r="D61" i="12"/>
  <c r="E61" i="12" s="1"/>
  <c r="F61" i="12" s="1"/>
  <c r="I60" i="12"/>
  <c r="J60" i="12" s="1"/>
  <c r="K60" i="12" s="1"/>
  <c r="L60" i="12" s="1"/>
  <c r="M60" i="12" s="1"/>
  <c r="N60" i="12" s="1"/>
  <c r="O60" i="12" s="1"/>
  <c r="P60" i="12" s="1"/>
  <c r="Q60" i="12" s="1"/>
  <c r="R60" i="12" s="1"/>
  <c r="S60" i="12" s="1"/>
  <c r="T60" i="12" s="1"/>
  <c r="U60" i="12" s="1"/>
  <c r="V60" i="12" s="1"/>
  <c r="D60" i="12"/>
  <c r="E60" i="12" s="1"/>
  <c r="F60" i="12" s="1"/>
  <c r="I59" i="12"/>
  <c r="J59" i="12" s="1"/>
  <c r="K59" i="12" s="1"/>
  <c r="L59" i="12" s="1"/>
  <c r="M59" i="12" s="1"/>
  <c r="N59" i="12" s="1"/>
  <c r="O59" i="12" s="1"/>
  <c r="P59" i="12" s="1"/>
  <c r="Q59" i="12" s="1"/>
  <c r="R59" i="12" s="1"/>
  <c r="S59" i="12" s="1"/>
  <c r="T59" i="12" s="1"/>
  <c r="U59" i="12" s="1"/>
  <c r="V59" i="12" s="1"/>
  <c r="D59" i="12"/>
  <c r="E59" i="12" s="1"/>
  <c r="F59" i="12" s="1"/>
  <c r="I58" i="12"/>
  <c r="J58" i="12" s="1"/>
  <c r="K58" i="12" s="1"/>
  <c r="L58" i="12" s="1"/>
  <c r="M58" i="12" s="1"/>
  <c r="N58" i="12" s="1"/>
  <c r="O58" i="12" s="1"/>
  <c r="P58" i="12" s="1"/>
  <c r="Q58" i="12" s="1"/>
  <c r="R58" i="12" s="1"/>
  <c r="S58" i="12" s="1"/>
  <c r="T58" i="12" s="1"/>
  <c r="U58" i="12" s="1"/>
  <c r="V58" i="12" s="1"/>
  <c r="D58" i="12"/>
  <c r="E58" i="12" s="1"/>
  <c r="F58" i="12" s="1"/>
  <c r="I57" i="12"/>
  <c r="J57" i="12" s="1"/>
  <c r="K57" i="12" s="1"/>
  <c r="L57" i="12" s="1"/>
  <c r="M57" i="12" s="1"/>
  <c r="N57" i="12" s="1"/>
  <c r="O57" i="12" s="1"/>
  <c r="P57" i="12" s="1"/>
  <c r="Q57" i="12" s="1"/>
  <c r="R57" i="12" s="1"/>
  <c r="S57" i="12" s="1"/>
  <c r="T57" i="12" s="1"/>
  <c r="U57" i="12" s="1"/>
  <c r="V57" i="12" s="1"/>
  <c r="D57" i="12"/>
  <c r="E57" i="12" s="1"/>
  <c r="F57" i="12" s="1"/>
  <c r="I56" i="12"/>
  <c r="J56" i="12" s="1"/>
  <c r="K56" i="12" s="1"/>
  <c r="L56" i="12" s="1"/>
  <c r="M56" i="12" s="1"/>
  <c r="N56" i="12" s="1"/>
  <c r="O56" i="12" s="1"/>
  <c r="P56" i="12" s="1"/>
  <c r="Q56" i="12" s="1"/>
  <c r="R56" i="12" s="1"/>
  <c r="S56" i="12" s="1"/>
  <c r="T56" i="12" s="1"/>
  <c r="U56" i="12" s="1"/>
  <c r="V56" i="12" s="1"/>
  <c r="D56" i="12"/>
  <c r="E56" i="12" s="1"/>
  <c r="F56" i="12" s="1"/>
  <c r="I55" i="12"/>
  <c r="J55" i="12" s="1"/>
  <c r="K55" i="12" s="1"/>
  <c r="L55" i="12" s="1"/>
  <c r="M55" i="12" s="1"/>
  <c r="N55" i="12" s="1"/>
  <c r="O55" i="12" s="1"/>
  <c r="P55" i="12" s="1"/>
  <c r="Q55" i="12" s="1"/>
  <c r="R55" i="12" s="1"/>
  <c r="S55" i="12" s="1"/>
  <c r="T55" i="12" s="1"/>
  <c r="U55" i="12" s="1"/>
  <c r="V55" i="12" s="1"/>
  <c r="D55" i="12"/>
  <c r="E55" i="12" s="1"/>
  <c r="F55" i="12" s="1"/>
  <c r="I54" i="12"/>
  <c r="J54" i="12" s="1"/>
  <c r="K54" i="12" s="1"/>
  <c r="L54" i="12" s="1"/>
  <c r="M54" i="12" s="1"/>
  <c r="N54" i="12" s="1"/>
  <c r="O54" i="12" s="1"/>
  <c r="P54" i="12" s="1"/>
  <c r="Q54" i="12" s="1"/>
  <c r="R54" i="12" s="1"/>
  <c r="S54" i="12" s="1"/>
  <c r="T54" i="12" s="1"/>
  <c r="U54" i="12" s="1"/>
  <c r="V54" i="12" s="1"/>
  <c r="D54" i="12"/>
  <c r="E54" i="12" s="1"/>
  <c r="F54" i="12" s="1"/>
  <c r="I53" i="12"/>
  <c r="J53" i="12" s="1"/>
  <c r="K53" i="12" s="1"/>
  <c r="L53" i="12" s="1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D53" i="12"/>
  <c r="E53" i="12" s="1"/>
  <c r="F53" i="12" s="1"/>
  <c r="I52" i="12"/>
  <c r="J52" i="12" s="1"/>
  <c r="K52" i="12" s="1"/>
  <c r="L52" i="12" s="1"/>
  <c r="M52" i="12" s="1"/>
  <c r="N52" i="12" s="1"/>
  <c r="O52" i="12" s="1"/>
  <c r="P52" i="12" s="1"/>
  <c r="Q52" i="12" s="1"/>
  <c r="R52" i="12" s="1"/>
  <c r="S52" i="12" s="1"/>
  <c r="T52" i="12" s="1"/>
  <c r="U52" i="12" s="1"/>
  <c r="V52" i="12" s="1"/>
  <c r="D52" i="12"/>
  <c r="E52" i="12" s="1"/>
  <c r="F52" i="12" s="1"/>
  <c r="I51" i="12"/>
  <c r="J51" i="12" s="1"/>
  <c r="K51" i="12" s="1"/>
  <c r="L51" i="12" s="1"/>
  <c r="M51" i="12" s="1"/>
  <c r="N51" i="12" s="1"/>
  <c r="O51" i="12" s="1"/>
  <c r="P51" i="12" s="1"/>
  <c r="Q51" i="12" s="1"/>
  <c r="R51" i="12" s="1"/>
  <c r="S51" i="12" s="1"/>
  <c r="T51" i="12" s="1"/>
  <c r="U51" i="12" s="1"/>
  <c r="V51" i="12" s="1"/>
  <c r="D51" i="12"/>
  <c r="E51" i="12" s="1"/>
  <c r="F51" i="12" s="1"/>
  <c r="I50" i="12"/>
  <c r="J50" i="12" s="1"/>
  <c r="K50" i="12" s="1"/>
  <c r="L50" i="12" s="1"/>
  <c r="M50" i="12" s="1"/>
  <c r="N50" i="12" s="1"/>
  <c r="O50" i="12" s="1"/>
  <c r="P50" i="12" s="1"/>
  <c r="Q50" i="12" s="1"/>
  <c r="R50" i="12" s="1"/>
  <c r="S50" i="12" s="1"/>
  <c r="T50" i="12" s="1"/>
  <c r="U50" i="12" s="1"/>
  <c r="V50" i="12" s="1"/>
  <c r="D50" i="12"/>
  <c r="E50" i="12" s="1"/>
  <c r="F50" i="12" s="1"/>
  <c r="I49" i="12"/>
  <c r="J49" i="12" s="1"/>
  <c r="K49" i="12" s="1"/>
  <c r="L49" i="12" s="1"/>
  <c r="M49" i="12" s="1"/>
  <c r="N49" i="12" s="1"/>
  <c r="O49" i="12" s="1"/>
  <c r="P49" i="12" s="1"/>
  <c r="Q49" i="12" s="1"/>
  <c r="R49" i="12" s="1"/>
  <c r="S49" i="12" s="1"/>
  <c r="T49" i="12" s="1"/>
  <c r="U49" i="12" s="1"/>
  <c r="V49" i="12" s="1"/>
  <c r="D49" i="12"/>
  <c r="E49" i="12" s="1"/>
  <c r="F49" i="12" s="1"/>
  <c r="I48" i="12"/>
  <c r="J48" i="12" s="1"/>
  <c r="K48" i="12" s="1"/>
  <c r="L48" i="12" s="1"/>
  <c r="M48" i="12" s="1"/>
  <c r="N48" i="12" s="1"/>
  <c r="O48" i="12" s="1"/>
  <c r="P48" i="12" s="1"/>
  <c r="Q48" i="12" s="1"/>
  <c r="R48" i="12" s="1"/>
  <c r="S48" i="12" s="1"/>
  <c r="T48" i="12" s="1"/>
  <c r="U48" i="12" s="1"/>
  <c r="V48" i="12" s="1"/>
  <c r="D48" i="12"/>
  <c r="E48" i="12" s="1"/>
  <c r="F48" i="12" s="1"/>
  <c r="I47" i="12"/>
  <c r="J47" i="12" s="1"/>
  <c r="K47" i="12" s="1"/>
  <c r="L47" i="12" s="1"/>
  <c r="M47" i="12" s="1"/>
  <c r="N47" i="12" s="1"/>
  <c r="O47" i="12" s="1"/>
  <c r="P47" i="12" s="1"/>
  <c r="Q47" i="12" s="1"/>
  <c r="R47" i="12" s="1"/>
  <c r="S47" i="12" s="1"/>
  <c r="T47" i="12" s="1"/>
  <c r="U47" i="12" s="1"/>
  <c r="V47" i="12" s="1"/>
  <c r="D47" i="12"/>
  <c r="E47" i="12" s="1"/>
  <c r="F47" i="12" s="1"/>
  <c r="I46" i="12"/>
  <c r="J46" i="12" s="1"/>
  <c r="K46" i="12" s="1"/>
  <c r="L46" i="12" s="1"/>
  <c r="M46" i="12" s="1"/>
  <c r="N46" i="12" s="1"/>
  <c r="O46" i="12" s="1"/>
  <c r="P46" i="12" s="1"/>
  <c r="Q46" i="12" s="1"/>
  <c r="R46" i="12" s="1"/>
  <c r="S46" i="12" s="1"/>
  <c r="T46" i="12" s="1"/>
  <c r="U46" i="12" s="1"/>
  <c r="V46" i="12" s="1"/>
  <c r="D46" i="12"/>
  <c r="E46" i="12" s="1"/>
  <c r="F46" i="12" s="1"/>
  <c r="H45" i="12"/>
  <c r="G45" i="12"/>
  <c r="AM44" i="12"/>
  <c r="I44" i="12"/>
  <c r="J44" i="12" s="1"/>
  <c r="K44" i="12" s="1"/>
  <c r="L44" i="12" s="1"/>
  <c r="M44" i="12" s="1"/>
  <c r="N44" i="12" s="1"/>
  <c r="O44" i="12" s="1"/>
  <c r="P44" i="12" s="1"/>
  <c r="Q44" i="12" s="1"/>
  <c r="R44" i="12" s="1"/>
  <c r="S44" i="12" s="1"/>
  <c r="T44" i="12" s="1"/>
  <c r="U44" i="12" s="1"/>
  <c r="V44" i="12" s="1"/>
  <c r="D44" i="12"/>
  <c r="E44" i="12" s="1"/>
  <c r="F44" i="12" s="1"/>
  <c r="AG42" i="12"/>
  <c r="AA42" i="12"/>
  <c r="Z42" i="12"/>
  <c r="T42" i="12"/>
  <c r="S42" i="12"/>
  <c r="M42" i="12"/>
  <c r="L42" i="12"/>
  <c r="F42" i="12"/>
  <c r="E42" i="12"/>
  <c r="AF41" i="12"/>
  <c r="AF40" i="12"/>
  <c r="AE39" i="12"/>
  <c r="AC39" i="12"/>
  <c r="Y39" i="12"/>
  <c r="Y40" i="12" s="1"/>
  <c r="Y41" i="12" s="1"/>
  <c r="X39" i="12"/>
  <c r="V36" i="12"/>
  <c r="V37" i="12" s="1"/>
  <c r="X37" i="12" s="1"/>
  <c r="N36" i="12"/>
  <c r="L36" i="12"/>
  <c r="X35" i="12"/>
  <c r="Z35" i="12" s="1"/>
  <c r="AJ32" i="12"/>
  <c r="AH32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I31" i="12"/>
  <c r="BP31" i="12" s="1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I30" i="12"/>
  <c r="BP30" i="12" s="1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I29" i="12"/>
  <c r="BP29" i="12" s="1"/>
  <c r="AI28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N27" i="12"/>
  <c r="AM27" i="12"/>
  <c r="AL27" i="12"/>
  <c r="AK27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I26" i="12"/>
  <c r="BP26" i="12" s="1"/>
  <c r="BB26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I25" i="12"/>
  <c r="BP25" i="12" s="1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I24" i="12"/>
  <c r="BP24" i="12" s="1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I23" i="12"/>
  <c r="BP23" i="12" s="1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I22" i="12"/>
  <c r="BP22" i="12" s="1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I21" i="12"/>
  <c r="BP21" i="12" s="1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I20" i="12"/>
  <c r="BP20" i="12" s="1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I19" i="12"/>
  <c r="BP19" i="12" s="1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I18" i="12"/>
  <c r="BP18" i="12" s="1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I17" i="12"/>
  <c r="BP17" i="12" s="1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I16" i="12"/>
  <c r="BP16" i="12" s="1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I15" i="12"/>
  <c r="BP15" i="12" s="1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I14" i="12"/>
  <c r="BP14" i="12" s="1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I13" i="12"/>
  <c r="BP13" i="12" s="1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I12" i="12"/>
  <c r="BP12" i="12" s="1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I11" i="12"/>
  <c r="BP11" i="12" s="1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I10" i="12"/>
  <c r="BP10" i="12" s="1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N9" i="12"/>
  <c r="AM9" i="12"/>
  <c r="AL9" i="12"/>
  <c r="AK9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I8" i="12"/>
  <c r="BP8" i="12" s="1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I7" i="12"/>
  <c r="BP7" i="12" s="1"/>
  <c r="BK6" i="12"/>
  <c r="AK6" i="12"/>
  <c r="AG32" i="12"/>
  <c r="BN6" i="12"/>
  <c r="AE32" i="12"/>
  <c r="BL6" i="12"/>
  <c r="Z32" i="12"/>
  <c r="Y32" i="12"/>
  <c r="BE6" i="12"/>
  <c r="BD6" i="12"/>
  <c r="U32" i="12"/>
  <c r="T32" i="12"/>
  <c r="R32" i="12"/>
  <c r="Q32" i="12"/>
  <c r="AX6" i="12"/>
  <c r="M32" i="12"/>
  <c r="L32" i="12"/>
  <c r="K32" i="12"/>
  <c r="I32" i="12"/>
  <c r="AO6" i="12"/>
  <c r="AN6" i="12"/>
  <c r="E32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I5" i="12"/>
  <c r="AG6" i="10"/>
  <c r="AF41" i="10"/>
  <c r="AF40" i="10"/>
  <c r="AF6" i="10"/>
  <c r="AE6" i="10"/>
  <c r="AE39" i="10"/>
  <c r="AD6" i="10"/>
  <c r="AC39" i="10"/>
  <c r="AC6" i="10"/>
  <c r="AB6" i="10"/>
  <c r="AA6" i="10"/>
  <c r="Z26" i="10"/>
  <c r="Z6" i="10"/>
  <c r="Y6" i="10"/>
  <c r="Y41" i="10"/>
  <c r="Y40" i="10"/>
  <c r="Y39" i="10"/>
  <c r="X6" i="10"/>
  <c r="X41" i="10"/>
  <c r="X40" i="10"/>
  <c r="X39" i="10"/>
  <c r="X37" i="10"/>
  <c r="W6" i="10"/>
  <c r="V37" i="10"/>
  <c r="V36" i="10"/>
  <c r="V6" i="10"/>
  <c r="V61" i="17" l="1"/>
  <c r="W61" i="17"/>
  <c r="V34" i="17"/>
  <c r="V35" i="17" s="1"/>
  <c r="W34" i="17"/>
  <c r="X34" i="17" s="1"/>
  <c r="I87" i="17"/>
  <c r="I41" i="17"/>
  <c r="U40" i="17"/>
  <c r="U41" i="17" s="1"/>
  <c r="I8" i="17"/>
  <c r="U7" i="17"/>
  <c r="U8" i="17" s="1"/>
  <c r="I44" i="17"/>
  <c r="U43" i="17"/>
  <c r="U44" i="17" s="1"/>
  <c r="I38" i="17"/>
  <c r="U37" i="17"/>
  <c r="U38" i="17" s="1"/>
  <c r="U5" i="17"/>
  <c r="I11" i="17"/>
  <c r="U10" i="17"/>
  <c r="U11" i="17" s="1"/>
  <c r="I53" i="17"/>
  <c r="U52" i="17"/>
  <c r="U53" i="17" s="1"/>
  <c r="I59" i="17"/>
  <c r="U58" i="17"/>
  <c r="U59" i="17" s="1"/>
  <c r="I20" i="17"/>
  <c r="U19" i="17"/>
  <c r="U20" i="17" s="1"/>
  <c r="I35" i="17"/>
  <c r="U34" i="17"/>
  <c r="U35" i="17" s="1"/>
  <c r="I65" i="17"/>
  <c r="U64" i="17"/>
  <c r="U65" i="17" s="1"/>
  <c r="I77" i="17"/>
  <c r="U76" i="17"/>
  <c r="U77" i="17" s="1"/>
  <c r="I50" i="17"/>
  <c r="U49" i="17"/>
  <c r="U50" i="17" s="1"/>
  <c r="I47" i="17"/>
  <c r="U46" i="17"/>
  <c r="U47" i="17" s="1"/>
  <c r="I17" i="17"/>
  <c r="U16" i="17"/>
  <c r="U17" i="17" s="1"/>
  <c r="I71" i="17"/>
  <c r="U70" i="17"/>
  <c r="U71" i="17" s="1"/>
  <c r="I56" i="17"/>
  <c r="U55" i="17"/>
  <c r="U56" i="17" s="1"/>
  <c r="I74" i="17"/>
  <c r="U73" i="17"/>
  <c r="U74" i="17" s="1"/>
  <c r="I29" i="17"/>
  <c r="U28" i="17"/>
  <c r="U29" i="17" s="1"/>
  <c r="I83" i="17"/>
  <c r="U82" i="17"/>
  <c r="U83" i="17" s="1"/>
  <c r="I14" i="17"/>
  <c r="U13" i="17"/>
  <c r="U14" i="17" s="1"/>
  <c r="I32" i="17"/>
  <c r="U31" i="17"/>
  <c r="U32" i="17" s="1"/>
  <c r="I62" i="17"/>
  <c r="W62" i="17" s="1"/>
  <c r="U61" i="17"/>
  <c r="U62" i="17" s="1"/>
  <c r="I26" i="17"/>
  <c r="U25" i="17"/>
  <c r="U26" i="17" s="1"/>
  <c r="I23" i="17"/>
  <c r="U22" i="17"/>
  <c r="U23" i="17" s="1"/>
  <c r="BP23" i="13"/>
  <c r="BP6" i="13"/>
  <c r="AI32" i="13"/>
  <c r="O48" i="7"/>
  <c r="O33" i="7"/>
  <c r="O41" i="7"/>
  <c r="O50" i="7"/>
  <c r="O42" i="7"/>
  <c r="O34" i="7"/>
  <c r="O51" i="7"/>
  <c r="O37" i="7"/>
  <c r="O46" i="7"/>
  <c r="O40" i="7"/>
  <c r="O35" i="7"/>
  <c r="O44" i="7"/>
  <c r="O52" i="7"/>
  <c r="O36" i="7"/>
  <c r="O45" i="7"/>
  <c r="O53" i="7"/>
  <c r="O57" i="7"/>
  <c r="O32" i="7"/>
  <c r="O49" i="7"/>
  <c r="O31" i="7"/>
  <c r="O38" i="7"/>
  <c r="O47" i="7"/>
  <c r="O55" i="7"/>
  <c r="AO27" i="12"/>
  <c r="X40" i="12"/>
  <c r="X41" i="12" s="1"/>
  <c r="E45" i="12"/>
  <c r="F45" i="12" s="1"/>
  <c r="I45" i="12"/>
  <c r="J45" i="12" s="1"/>
  <c r="K45" i="12" s="1"/>
  <c r="L45" i="12" s="1"/>
  <c r="M45" i="12" s="1"/>
  <c r="N45" i="12" s="1"/>
  <c r="O45" i="12" s="1"/>
  <c r="P45" i="12" s="1"/>
  <c r="Q45" i="12" s="1"/>
  <c r="R45" i="12" s="1"/>
  <c r="S45" i="12" s="1"/>
  <c r="T45" i="12" s="1"/>
  <c r="U45" i="12" s="1"/>
  <c r="V45" i="12" s="1"/>
  <c r="AI9" i="12"/>
  <c r="BP9" i="12" s="1"/>
  <c r="AM6" i="12"/>
  <c r="BC6" i="12"/>
  <c r="AW6" i="12"/>
  <c r="BM6" i="12"/>
  <c r="AQ6" i="12"/>
  <c r="AY6" i="12"/>
  <c r="BG6" i="12"/>
  <c r="BO6" i="12"/>
  <c r="AI6" i="12"/>
  <c r="AR6" i="12"/>
  <c r="AZ6" i="12"/>
  <c r="BH6" i="12"/>
  <c r="F32" i="12"/>
  <c r="N32" i="12"/>
  <c r="V32" i="12"/>
  <c r="AD32" i="12"/>
  <c r="AS6" i="12"/>
  <c r="BA6" i="12"/>
  <c r="BI6" i="12"/>
  <c r="G32" i="12"/>
  <c r="W32" i="12"/>
  <c r="AU6" i="12"/>
  <c r="AL6" i="12"/>
  <c r="AT6" i="12"/>
  <c r="BB6" i="12"/>
  <c r="BJ6" i="12"/>
  <c r="BC26" i="12"/>
  <c r="H32" i="12"/>
  <c r="P32" i="12"/>
  <c r="X32" i="12"/>
  <c r="AF32" i="12"/>
  <c r="BP5" i="12"/>
  <c r="D32" i="12"/>
  <c r="U6" i="10"/>
  <c r="U26" i="10"/>
  <c r="J57" i="7"/>
  <c r="T26" i="10"/>
  <c r="T6" i="10"/>
  <c r="S6" i="10"/>
  <c r="R6" i="10"/>
  <c r="R32" i="10" s="1"/>
  <c r="Q6" i="10"/>
  <c r="Q32" i="10"/>
  <c r="P6" i="10"/>
  <c r="O6" i="10"/>
  <c r="N6" i="10"/>
  <c r="N32" i="10" s="1"/>
  <c r="N36" i="10"/>
  <c r="M6" i="10"/>
  <c r="L36" i="10"/>
  <c r="L6" i="10"/>
  <c r="J24" i="10"/>
  <c r="K6" i="10"/>
  <c r="K32" i="10" s="1"/>
  <c r="J6" i="10"/>
  <c r="J32" i="10" s="1"/>
  <c r="I6" i="10"/>
  <c r="I32" i="10" s="1"/>
  <c r="H6" i="10"/>
  <c r="H32" i="10" s="1"/>
  <c r="G6" i="10"/>
  <c r="AI31" i="10"/>
  <c r="BP31" i="10" s="1"/>
  <c r="G32" i="10"/>
  <c r="L32" i="10"/>
  <c r="O32" i="10"/>
  <c r="P32" i="10"/>
  <c r="S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F6" i="10"/>
  <c r="F32" i="10" s="1"/>
  <c r="E6" i="10"/>
  <c r="E32" i="10" s="1"/>
  <c r="AI28" i="10"/>
  <c r="AI29" i="10"/>
  <c r="AI30" i="10"/>
  <c r="BP30" i="10" s="1"/>
  <c r="D6" i="10"/>
  <c r="D32" i="10" s="1"/>
  <c r="D59" i="7"/>
  <c r="AJ32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V87" i="17" l="1"/>
  <c r="AA89" i="17" s="1"/>
  <c r="AA90" i="17" s="1"/>
  <c r="I88" i="17"/>
  <c r="V62" i="17"/>
  <c r="X62" i="17"/>
  <c r="X61" i="17"/>
  <c r="V82" i="17"/>
  <c r="V83" i="17" s="1"/>
  <c r="I95" i="17"/>
  <c r="U95" i="17" s="1"/>
  <c r="U87" i="17"/>
  <c r="U88" i="17" s="1"/>
  <c r="I96" i="17"/>
  <c r="U96" i="17" s="1"/>
  <c r="AI36" i="13"/>
  <c r="AI33" i="13"/>
  <c r="AI35" i="13"/>
  <c r="AI34" i="13"/>
  <c r="BP6" i="12"/>
  <c r="AI32" i="12"/>
  <c r="U32" i="10"/>
  <c r="T32" i="10"/>
  <c r="M32" i="10"/>
  <c r="F59" i="7"/>
  <c r="G59" i="7"/>
  <c r="J44" i="7"/>
  <c r="L57" i="7"/>
  <c r="V88" i="17" l="1"/>
  <c r="AI36" i="12"/>
  <c r="AI33" i="12"/>
  <c r="AI35" i="12"/>
  <c r="AI34" i="12"/>
  <c r="AH29" i="9"/>
  <c r="I67" i="10"/>
  <c r="J67" i="10" s="1"/>
  <c r="K67" i="10" s="1"/>
  <c r="L67" i="10" s="1"/>
  <c r="M67" i="10" s="1"/>
  <c r="N67" i="10" s="1"/>
  <c r="O67" i="10" s="1"/>
  <c r="P67" i="10" s="1"/>
  <c r="Q67" i="10" s="1"/>
  <c r="R67" i="10" s="1"/>
  <c r="S67" i="10" s="1"/>
  <c r="T67" i="10" s="1"/>
  <c r="U67" i="10" s="1"/>
  <c r="V67" i="10" s="1"/>
  <c r="D67" i="10"/>
  <c r="E67" i="10" s="1"/>
  <c r="F67" i="10" s="1"/>
  <c r="I66" i="10"/>
  <c r="J66" i="10" s="1"/>
  <c r="K66" i="10" s="1"/>
  <c r="L66" i="10" s="1"/>
  <c r="M66" i="10" s="1"/>
  <c r="N66" i="10" s="1"/>
  <c r="O66" i="10" s="1"/>
  <c r="P66" i="10" s="1"/>
  <c r="Q66" i="10" s="1"/>
  <c r="R66" i="10" s="1"/>
  <c r="S66" i="10" s="1"/>
  <c r="T66" i="10" s="1"/>
  <c r="U66" i="10" s="1"/>
  <c r="V66" i="10" s="1"/>
  <c r="D66" i="10"/>
  <c r="E66" i="10" s="1"/>
  <c r="F66" i="10" s="1"/>
  <c r="I65" i="10"/>
  <c r="J65" i="10" s="1"/>
  <c r="K65" i="10" s="1"/>
  <c r="L65" i="10" s="1"/>
  <c r="M65" i="10" s="1"/>
  <c r="N65" i="10" s="1"/>
  <c r="O65" i="10" s="1"/>
  <c r="P65" i="10" s="1"/>
  <c r="Q65" i="10" s="1"/>
  <c r="R65" i="10" s="1"/>
  <c r="S65" i="10" s="1"/>
  <c r="T65" i="10" s="1"/>
  <c r="U65" i="10" s="1"/>
  <c r="V65" i="10" s="1"/>
  <c r="D65" i="10"/>
  <c r="E65" i="10" s="1"/>
  <c r="F65" i="10" s="1"/>
  <c r="I64" i="10"/>
  <c r="J64" i="10" s="1"/>
  <c r="K64" i="10" s="1"/>
  <c r="L64" i="10" s="1"/>
  <c r="M64" i="10" s="1"/>
  <c r="N64" i="10" s="1"/>
  <c r="O64" i="10" s="1"/>
  <c r="P64" i="10" s="1"/>
  <c r="Q64" i="10" s="1"/>
  <c r="R64" i="10" s="1"/>
  <c r="S64" i="10" s="1"/>
  <c r="T64" i="10" s="1"/>
  <c r="U64" i="10" s="1"/>
  <c r="V64" i="10" s="1"/>
  <c r="I63" i="10"/>
  <c r="J63" i="10" s="1"/>
  <c r="K63" i="10" s="1"/>
  <c r="L63" i="10" s="1"/>
  <c r="M63" i="10" s="1"/>
  <c r="N63" i="10" s="1"/>
  <c r="O63" i="10" s="1"/>
  <c r="P63" i="10" s="1"/>
  <c r="Q63" i="10" s="1"/>
  <c r="R63" i="10" s="1"/>
  <c r="S63" i="10" s="1"/>
  <c r="T63" i="10" s="1"/>
  <c r="U63" i="10" s="1"/>
  <c r="V63" i="10" s="1"/>
  <c r="D63" i="10"/>
  <c r="E63" i="10" s="1"/>
  <c r="F63" i="10" s="1"/>
  <c r="I62" i="10"/>
  <c r="J62" i="10" s="1"/>
  <c r="K62" i="10" s="1"/>
  <c r="L62" i="10" s="1"/>
  <c r="M62" i="10" s="1"/>
  <c r="N62" i="10" s="1"/>
  <c r="O62" i="10" s="1"/>
  <c r="P62" i="10" s="1"/>
  <c r="Q62" i="10" s="1"/>
  <c r="R62" i="10" s="1"/>
  <c r="S62" i="10" s="1"/>
  <c r="T62" i="10" s="1"/>
  <c r="U62" i="10" s="1"/>
  <c r="V62" i="10" s="1"/>
  <c r="D62" i="10"/>
  <c r="E62" i="10" s="1"/>
  <c r="F62" i="10" s="1"/>
  <c r="I61" i="10"/>
  <c r="J61" i="10" s="1"/>
  <c r="K61" i="10" s="1"/>
  <c r="L61" i="10" s="1"/>
  <c r="M61" i="10" s="1"/>
  <c r="N61" i="10" s="1"/>
  <c r="O61" i="10" s="1"/>
  <c r="P61" i="10" s="1"/>
  <c r="Q61" i="10" s="1"/>
  <c r="R61" i="10" s="1"/>
  <c r="S61" i="10" s="1"/>
  <c r="T61" i="10" s="1"/>
  <c r="U61" i="10" s="1"/>
  <c r="V61" i="10" s="1"/>
  <c r="D61" i="10"/>
  <c r="E61" i="10" s="1"/>
  <c r="F61" i="10" s="1"/>
  <c r="I60" i="10"/>
  <c r="J60" i="10" s="1"/>
  <c r="K60" i="10" s="1"/>
  <c r="L60" i="10" s="1"/>
  <c r="M60" i="10" s="1"/>
  <c r="N60" i="10" s="1"/>
  <c r="O60" i="10" s="1"/>
  <c r="P60" i="10" s="1"/>
  <c r="Q60" i="10" s="1"/>
  <c r="R60" i="10" s="1"/>
  <c r="S60" i="10" s="1"/>
  <c r="T60" i="10" s="1"/>
  <c r="U60" i="10" s="1"/>
  <c r="V60" i="10" s="1"/>
  <c r="D60" i="10"/>
  <c r="E60" i="10" s="1"/>
  <c r="F60" i="10" s="1"/>
  <c r="I59" i="10"/>
  <c r="J59" i="10" s="1"/>
  <c r="K59" i="10" s="1"/>
  <c r="L59" i="10" s="1"/>
  <c r="M59" i="10" s="1"/>
  <c r="N59" i="10" s="1"/>
  <c r="O59" i="10" s="1"/>
  <c r="P59" i="10" s="1"/>
  <c r="Q59" i="10" s="1"/>
  <c r="R59" i="10" s="1"/>
  <c r="S59" i="10" s="1"/>
  <c r="T59" i="10" s="1"/>
  <c r="U59" i="10" s="1"/>
  <c r="V59" i="10" s="1"/>
  <c r="D59" i="10"/>
  <c r="E59" i="10" s="1"/>
  <c r="F59" i="10" s="1"/>
  <c r="I58" i="10"/>
  <c r="J58" i="10" s="1"/>
  <c r="K58" i="10" s="1"/>
  <c r="L58" i="10" s="1"/>
  <c r="M58" i="10" s="1"/>
  <c r="N58" i="10" s="1"/>
  <c r="O58" i="10" s="1"/>
  <c r="P58" i="10" s="1"/>
  <c r="Q58" i="10" s="1"/>
  <c r="R58" i="10" s="1"/>
  <c r="S58" i="10" s="1"/>
  <c r="T58" i="10" s="1"/>
  <c r="U58" i="10" s="1"/>
  <c r="V58" i="10" s="1"/>
  <c r="D58" i="10"/>
  <c r="E58" i="10" s="1"/>
  <c r="F58" i="10" s="1"/>
  <c r="I57" i="10"/>
  <c r="J57" i="10" s="1"/>
  <c r="K57" i="10" s="1"/>
  <c r="L57" i="10" s="1"/>
  <c r="M57" i="10" s="1"/>
  <c r="N57" i="10" s="1"/>
  <c r="O57" i="10" s="1"/>
  <c r="P57" i="10" s="1"/>
  <c r="Q57" i="10" s="1"/>
  <c r="R57" i="10" s="1"/>
  <c r="S57" i="10" s="1"/>
  <c r="T57" i="10" s="1"/>
  <c r="U57" i="10" s="1"/>
  <c r="V57" i="10" s="1"/>
  <c r="D57" i="10"/>
  <c r="E57" i="10" s="1"/>
  <c r="F57" i="10" s="1"/>
  <c r="I56" i="10"/>
  <c r="J56" i="10" s="1"/>
  <c r="K56" i="10" s="1"/>
  <c r="L56" i="10" s="1"/>
  <c r="M56" i="10" s="1"/>
  <c r="N56" i="10" s="1"/>
  <c r="O56" i="10" s="1"/>
  <c r="P56" i="10" s="1"/>
  <c r="Q56" i="10" s="1"/>
  <c r="R56" i="10" s="1"/>
  <c r="S56" i="10" s="1"/>
  <c r="T56" i="10" s="1"/>
  <c r="U56" i="10" s="1"/>
  <c r="V56" i="10" s="1"/>
  <c r="D56" i="10"/>
  <c r="E56" i="10" s="1"/>
  <c r="F56" i="10" s="1"/>
  <c r="I55" i="10"/>
  <c r="J55" i="10" s="1"/>
  <c r="K55" i="10" s="1"/>
  <c r="L55" i="10" s="1"/>
  <c r="M55" i="10" s="1"/>
  <c r="N55" i="10" s="1"/>
  <c r="O55" i="10" s="1"/>
  <c r="P55" i="10" s="1"/>
  <c r="Q55" i="10" s="1"/>
  <c r="R55" i="10" s="1"/>
  <c r="S55" i="10" s="1"/>
  <c r="T55" i="10" s="1"/>
  <c r="U55" i="10" s="1"/>
  <c r="V55" i="10" s="1"/>
  <c r="D55" i="10"/>
  <c r="E55" i="10" s="1"/>
  <c r="F55" i="10" s="1"/>
  <c r="I54" i="10"/>
  <c r="J54" i="10" s="1"/>
  <c r="K54" i="10" s="1"/>
  <c r="L54" i="10" s="1"/>
  <c r="M54" i="10" s="1"/>
  <c r="N54" i="10" s="1"/>
  <c r="O54" i="10" s="1"/>
  <c r="P54" i="10" s="1"/>
  <c r="Q54" i="10" s="1"/>
  <c r="R54" i="10" s="1"/>
  <c r="S54" i="10" s="1"/>
  <c r="T54" i="10" s="1"/>
  <c r="U54" i="10" s="1"/>
  <c r="V54" i="10" s="1"/>
  <c r="D54" i="10"/>
  <c r="E54" i="10" s="1"/>
  <c r="F54" i="10" s="1"/>
  <c r="I53" i="10"/>
  <c r="J53" i="10" s="1"/>
  <c r="K53" i="10" s="1"/>
  <c r="L53" i="10" s="1"/>
  <c r="M53" i="10" s="1"/>
  <c r="N53" i="10" s="1"/>
  <c r="O53" i="10" s="1"/>
  <c r="P53" i="10" s="1"/>
  <c r="Q53" i="10" s="1"/>
  <c r="R53" i="10" s="1"/>
  <c r="S53" i="10" s="1"/>
  <c r="T53" i="10" s="1"/>
  <c r="U53" i="10" s="1"/>
  <c r="V53" i="10" s="1"/>
  <c r="D53" i="10"/>
  <c r="E53" i="10" s="1"/>
  <c r="F53" i="10" s="1"/>
  <c r="I52" i="10"/>
  <c r="J52" i="10" s="1"/>
  <c r="K52" i="10" s="1"/>
  <c r="L52" i="10" s="1"/>
  <c r="M52" i="10" s="1"/>
  <c r="N52" i="10" s="1"/>
  <c r="O52" i="10" s="1"/>
  <c r="P52" i="10" s="1"/>
  <c r="Q52" i="10" s="1"/>
  <c r="R52" i="10" s="1"/>
  <c r="S52" i="10" s="1"/>
  <c r="T52" i="10" s="1"/>
  <c r="U52" i="10" s="1"/>
  <c r="V52" i="10" s="1"/>
  <c r="D52" i="10"/>
  <c r="E52" i="10" s="1"/>
  <c r="F52" i="10" s="1"/>
  <c r="I51" i="10"/>
  <c r="J51" i="10" s="1"/>
  <c r="K51" i="10" s="1"/>
  <c r="L51" i="10" s="1"/>
  <c r="M51" i="10" s="1"/>
  <c r="N51" i="10" s="1"/>
  <c r="O51" i="10" s="1"/>
  <c r="P51" i="10" s="1"/>
  <c r="Q51" i="10" s="1"/>
  <c r="R51" i="10" s="1"/>
  <c r="S51" i="10" s="1"/>
  <c r="T51" i="10" s="1"/>
  <c r="U51" i="10" s="1"/>
  <c r="V51" i="10" s="1"/>
  <c r="D51" i="10"/>
  <c r="I50" i="10"/>
  <c r="J50" i="10" s="1"/>
  <c r="K50" i="10" s="1"/>
  <c r="L50" i="10" s="1"/>
  <c r="M50" i="10" s="1"/>
  <c r="N50" i="10" s="1"/>
  <c r="O50" i="10" s="1"/>
  <c r="P50" i="10" s="1"/>
  <c r="Q50" i="10" s="1"/>
  <c r="R50" i="10" s="1"/>
  <c r="S50" i="10" s="1"/>
  <c r="T50" i="10" s="1"/>
  <c r="U50" i="10" s="1"/>
  <c r="V50" i="10" s="1"/>
  <c r="D50" i="10"/>
  <c r="E50" i="10" s="1"/>
  <c r="F50" i="10" s="1"/>
  <c r="I49" i="10"/>
  <c r="J49" i="10" s="1"/>
  <c r="K49" i="10" s="1"/>
  <c r="L49" i="10" s="1"/>
  <c r="M49" i="10" s="1"/>
  <c r="N49" i="10" s="1"/>
  <c r="O49" i="10" s="1"/>
  <c r="P49" i="10" s="1"/>
  <c r="Q49" i="10" s="1"/>
  <c r="R49" i="10" s="1"/>
  <c r="S49" i="10" s="1"/>
  <c r="T49" i="10" s="1"/>
  <c r="U49" i="10" s="1"/>
  <c r="V49" i="10" s="1"/>
  <c r="D49" i="10"/>
  <c r="E49" i="10" s="1"/>
  <c r="F49" i="10" s="1"/>
  <c r="I48" i="10"/>
  <c r="J48" i="10" s="1"/>
  <c r="K48" i="10" s="1"/>
  <c r="L48" i="10" s="1"/>
  <c r="M48" i="10" s="1"/>
  <c r="N48" i="10" s="1"/>
  <c r="O48" i="10" s="1"/>
  <c r="P48" i="10" s="1"/>
  <c r="Q48" i="10" s="1"/>
  <c r="R48" i="10" s="1"/>
  <c r="S48" i="10" s="1"/>
  <c r="T48" i="10" s="1"/>
  <c r="U48" i="10" s="1"/>
  <c r="V48" i="10" s="1"/>
  <c r="D48" i="10"/>
  <c r="E48" i="10" s="1"/>
  <c r="F48" i="10" s="1"/>
  <c r="I47" i="10"/>
  <c r="J47" i="10" s="1"/>
  <c r="K47" i="10" s="1"/>
  <c r="L47" i="10" s="1"/>
  <c r="M47" i="10" s="1"/>
  <c r="N47" i="10" s="1"/>
  <c r="O47" i="10" s="1"/>
  <c r="P47" i="10" s="1"/>
  <c r="Q47" i="10" s="1"/>
  <c r="R47" i="10" s="1"/>
  <c r="S47" i="10" s="1"/>
  <c r="T47" i="10" s="1"/>
  <c r="U47" i="10" s="1"/>
  <c r="V47" i="10" s="1"/>
  <c r="D47" i="10"/>
  <c r="E47" i="10" s="1"/>
  <c r="F47" i="10" s="1"/>
  <c r="I46" i="10"/>
  <c r="J46" i="10" s="1"/>
  <c r="K46" i="10" s="1"/>
  <c r="L46" i="10" s="1"/>
  <c r="M46" i="10" s="1"/>
  <c r="N46" i="10" s="1"/>
  <c r="O46" i="10" s="1"/>
  <c r="P46" i="10" s="1"/>
  <c r="Q46" i="10" s="1"/>
  <c r="R46" i="10" s="1"/>
  <c r="S46" i="10" s="1"/>
  <c r="T46" i="10" s="1"/>
  <c r="U46" i="10" s="1"/>
  <c r="V46" i="10" s="1"/>
  <c r="D46" i="10"/>
  <c r="E46" i="10" s="1"/>
  <c r="F46" i="10" s="1"/>
  <c r="H45" i="10"/>
  <c r="I45" i="10" s="1"/>
  <c r="G45" i="10"/>
  <c r="AM44" i="10"/>
  <c r="I44" i="10"/>
  <c r="J44" i="10" s="1"/>
  <c r="K44" i="10" s="1"/>
  <c r="L44" i="10" s="1"/>
  <c r="M44" i="10" s="1"/>
  <c r="N44" i="10" s="1"/>
  <c r="O44" i="10" s="1"/>
  <c r="P44" i="10" s="1"/>
  <c r="Q44" i="10" s="1"/>
  <c r="R44" i="10" s="1"/>
  <c r="S44" i="10" s="1"/>
  <c r="T44" i="10" s="1"/>
  <c r="U44" i="10" s="1"/>
  <c r="V44" i="10" s="1"/>
  <c r="D44" i="10"/>
  <c r="E44" i="10" s="1"/>
  <c r="F44" i="10" s="1"/>
  <c r="AG42" i="10"/>
  <c r="AA42" i="10"/>
  <c r="Z42" i="10"/>
  <c r="T42" i="10"/>
  <c r="S42" i="10"/>
  <c r="M42" i="10"/>
  <c r="L42" i="10"/>
  <c r="F42" i="10"/>
  <c r="E42" i="10"/>
  <c r="X35" i="10"/>
  <c r="Z35" i="10" s="1"/>
  <c r="BO29" i="10"/>
  <c r="BN29" i="10"/>
  <c r="BM29" i="10"/>
  <c r="BL29" i="10"/>
  <c r="BK29" i="10"/>
  <c r="BJ29" i="10"/>
  <c r="BI29" i="10"/>
  <c r="BH29" i="10"/>
  <c r="BG29" i="10"/>
  <c r="BF29" i="10"/>
  <c r="BE29" i="10"/>
  <c r="BD29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BP29" i="10"/>
  <c r="BO27" i="10"/>
  <c r="BN27" i="10"/>
  <c r="BM27" i="10"/>
  <c r="BL27" i="10"/>
  <c r="BK27" i="10"/>
  <c r="BJ27" i="10"/>
  <c r="BI27" i="10"/>
  <c r="BH27" i="10"/>
  <c r="BG27" i="10"/>
  <c r="BF27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I27" i="10"/>
  <c r="BO26" i="10"/>
  <c r="BN26" i="10"/>
  <c r="BM26" i="10"/>
  <c r="BL26" i="10"/>
  <c r="BK26" i="10"/>
  <c r="BJ26" i="10"/>
  <c r="BI26" i="10"/>
  <c r="BH26" i="10"/>
  <c r="BG26" i="10"/>
  <c r="BF26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I26" i="10"/>
  <c r="BO25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K25" i="10"/>
  <c r="BO24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I24" i="10"/>
  <c r="BO23" i="10"/>
  <c r="BN23" i="10"/>
  <c r="BM23" i="10"/>
  <c r="BL23" i="10"/>
  <c r="BK23" i="10"/>
  <c r="BJ23" i="10"/>
  <c r="BI23" i="10"/>
  <c r="BH23" i="10"/>
  <c r="BG23" i="10"/>
  <c r="BF23" i="10"/>
  <c r="BE23" i="10"/>
  <c r="BD23" i="10"/>
  <c r="BC23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I23" i="10"/>
  <c r="BO22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I22" i="10"/>
  <c r="BO21" i="10"/>
  <c r="BN21" i="10"/>
  <c r="BM21" i="10"/>
  <c r="BL21" i="10"/>
  <c r="BK21" i="10"/>
  <c r="BJ21" i="10"/>
  <c r="BI21" i="10"/>
  <c r="BH21" i="10"/>
  <c r="BG21" i="10"/>
  <c r="BF21" i="10"/>
  <c r="BE21" i="10"/>
  <c r="BD21" i="10"/>
  <c r="BC21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I21" i="10"/>
  <c r="BO20" i="10"/>
  <c r="BN20" i="10"/>
  <c r="BM20" i="10"/>
  <c r="BL20" i="10"/>
  <c r="BK20" i="10"/>
  <c r="BJ20" i="10"/>
  <c r="BI20" i="10"/>
  <c r="BH20" i="10"/>
  <c r="BG20" i="10"/>
  <c r="BF20" i="10"/>
  <c r="BE20" i="10"/>
  <c r="BD20" i="10"/>
  <c r="BC20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I20" i="10"/>
  <c r="BO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I19" i="10"/>
  <c r="BO18" i="10"/>
  <c r="BN18" i="10"/>
  <c r="BM18" i="10"/>
  <c r="BL18" i="10"/>
  <c r="BK18" i="10"/>
  <c r="BJ18" i="10"/>
  <c r="BI18" i="10"/>
  <c r="BH18" i="10"/>
  <c r="BG18" i="10"/>
  <c r="BF18" i="10"/>
  <c r="BE18" i="10"/>
  <c r="BD18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I18" i="10"/>
  <c r="BO17" i="10"/>
  <c r="BN17" i="10"/>
  <c r="BM17" i="10"/>
  <c r="BL17" i="10"/>
  <c r="BK17" i="10"/>
  <c r="BJ17" i="10"/>
  <c r="BI17" i="10"/>
  <c r="BH17" i="10"/>
  <c r="BG17" i="10"/>
  <c r="BF17" i="10"/>
  <c r="BE17" i="10"/>
  <c r="BD17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I17" i="10"/>
  <c r="BO16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I16" i="10"/>
  <c r="BO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I15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I14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I13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L12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I11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I10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I9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I8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I7" i="10"/>
  <c r="BO6" i="10"/>
  <c r="BL6" i="10"/>
  <c r="BK6" i="10"/>
  <c r="BG6" i="10"/>
  <c r="BD6" i="10"/>
  <c r="BC6" i="10"/>
  <c r="AZ6" i="10"/>
  <c r="AY6" i="10"/>
  <c r="AV6" i="10"/>
  <c r="AU6" i="10"/>
  <c r="AR6" i="10"/>
  <c r="AQ6" i="10"/>
  <c r="AM6" i="10"/>
  <c r="AK6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I5" i="10"/>
  <c r="AH6" i="9"/>
  <c r="AI6" i="9"/>
  <c r="AI7" i="9"/>
  <c r="AI8" i="9"/>
  <c r="BP8" i="9" s="1"/>
  <c r="AI9" i="9"/>
  <c r="BP9" i="9" s="1"/>
  <c r="AI10" i="9"/>
  <c r="AI11" i="9"/>
  <c r="AI12" i="9"/>
  <c r="AI13" i="9"/>
  <c r="BP13" i="9" s="1"/>
  <c r="AI14" i="9"/>
  <c r="BP14" i="9" s="1"/>
  <c r="AI15" i="9"/>
  <c r="BP15" i="9" s="1"/>
  <c r="AI16" i="9"/>
  <c r="BP16" i="9" s="1"/>
  <c r="AI17" i="9"/>
  <c r="AI18" i="9"/>
  <c r="AI19" i="9"/>
  <c r="BP19" i="9" s="1"/>
  <c r="AI20" i="9"/>
  <c r="BP20" i="9" s="1"/>
  <c r="AI21" i="9"/>
  <c r="BP21" i="9" s="1"/>
  <c r="AI22" i="9"/>
  <c r="AI23" i="9"/>
  <c r="AI24" i="9"/>
  <c r="BP24" i="9" s="1"/>
  <c r="AI25" i="9"/>
  <c r="AI26" i="9"/>
  <c r="AI27" i="9"/>
  <c r="AI28" i="9"/>
  <c r="BP28" i="9" s="1"/>
  <c r="BP11" i="9"/>
  <c r="BP27" i="9"/>
  <c r="AI5" i="9"/>
  <c r="AG6" i="9"/>
  <c r="AF6" i="9"/>
  <c r="AE6" i="9"/>
  <c r="AE29" i="9"/>
  <c r="AD6" i="9"/>
  <c r="AC6" i="9"/>
  <c r="AB6" i="9"/>
  <c r="AA6" i="9"/>
  <c r="AA29" i="9" s="1"/>
  <c r="Z6" i="9"/>
  <c r="BH6" i="9"/>
  <c r="X32" i="9"/>
  <c r="Z32" i="9" s="1"/>
  <c r="Z32" i="7"/>
  <c r="Y6" i="9"/>
  <c r="X6" i="9"/>
  <c r="W6" i="9"/>
  <c r="X32" i="7"/>
  <c r="V6" i="9"/>
  <c r="U6" i="9"/>
  <c r="BC6" i="9" s="1"/>
  <c r="T6" i="9"/>
  <c r="S6" i="9"/>
  <c r="S29" i="9" s="1"/>
  <c r="R6" i="9"/>
  <c r="Q6" i="9"/>
  <c r="P6" i="9"/>
  <c r="P29" i="9" s="1"/>
  <c r="O6" i="9"/>
  <c r="AW6" i="9" s="1"/>
  <c r="N6" i="9"/>
  <c r="N29" i="9" s="1"/>
  <c r="AV6" i="9"/>
  <c r="M6" i="9"/>
  <c r="M29" i="9" s="1"/>
  <c r="L6" i="9"/>
  <c r="K6" i="9"/>
  <c r="K29" i="9" s="1"/>
  <c r="J6" i="9"/>
  <c r="I6" i="9"/>
  <c r="AQ6" i="9" s="1"/>
  <c r="H6" i="9"/>
  <c r="G6" i="9"/>
  <c r="AO6" i="9" s="1"/>
  <c r="F6" i="9"/>
  <c r="AK6" i="9" s="1"/>
  <c r="E6" i="9"/>
  <c r="AM6" i="9" s="1"/>
  <c r="E12" i="9"/>
  <c r="D25" i="9"/>
  <c r="D6" i="9"/>
  <c r="AL6" i="9" s="1"/>
  <c r="I64" i="9"/>
  <c r="J64" i="9" s="1"/>
  <c r="K64" i="9" s="1"/>
  <c r="L64" i="9" s="1"/>
  <c r="M64" i="9" s="1"/>
  <c r="N64" i="9" s="1"/>
  <c r="O64" i="9" s="1"/>
  <c r="P64" i="9" s="1"/>
  <c r="Q64" i="9" s="1"/>
  <c r="R64" i="9" s="1"/>
  <c r="S64" i="9" s="1"/>
  <c r="T64" i="9" s="1"/>
  <c r="U64" i="9" s="1"/>
  <c r="V64" i="9" s="1"/>
  <c r="D64" i="9"/>
  <c r="E64" i="9" s="1"/>
  <c r="F64" i="9" s="1"/>
  <c r="I63" i="9"/>
  <c r="J63" i="9" s="1"/>
  <c r="K63" i="9" s="1"/>
  <c r="L63" i="9" s="1"/>
  <c r="M63" i="9" s="1"/>
  <c r="N63" i="9" s="1"/>
  <c r="O63" i="9" s="1"/>
  <c r="P63" i="9" s="1"/>
  <c r="Q63" i="9" s="1"/>
  <c r="R63" i="9" s="1"/>
  <c r="S63" i="9" s="1"/>
  <c r="T63" i="9" s="1"/>
  <c r="U63" i="9" s="1"/>
  <c r="V63" i="9" s="1"/>
  <c r="D63" i="9"/>
  <c r="E63" i="9" s="1"/>
  <c r="F63" i="9" s="1"/>
  <c r="I62" i="9"/>
  <c r="J62" i="9" s="1"/>
  <c r="K62" i="9" s="1"/>
  <c r="L62" i="9" s="1"/>
  <c r="M62" i="9" s="1"/>
  <c r="N62" i="9" s="1"/>
  <c r="O62" i="9" s="1"/>
  <c r="D62" i="9"/>
  <c r="E62" i="9" s="1"/>
  <c r="F62" i="9" s="1"/>
  <c r="I61" i="9"/>
  <c r="J61" i="9" s="1"/>
  <c r="K61" i="9" s="1"/>
  <c r="L61" i="9" s="1"/>
  <c r="M61" i="9" s="1"/>
  <c r="N61" i="9" s="1"/>
  <c r="O61" i="9" s="1"/>
  <c r="P61" i="9" s="1"/>
  <c r="Q61" i="9" s="1"/>
  <c r="R61" i="9" s="1"/>
  <c r="S61" i="9" s="1"/>
  <c r="T61" i="9" s="1"/>
  <c r="U61" i="9" s="1"/>
  <c r="V61" i="9" s="1"/>
  <c r="D61" i="9"/>
  <c r="E61" i="9" s="1"/>
  <c r="F61" i="9" s="1"/>
  <c r="I60" i="9"/>
  <c r="J60" i="9" s="1"/>
  <c r="K60" i="9" s="1"/>
  <c r="L60" i="9" s="1"/>
  <c r="M60" i="9" s="1"/>
  <c r="N60" i="9" s="1"/>
  <c r="O60" i="9" s="1"/>
  <c r="P60" i="9" s="1"/>
  <c r="Q60" i="9" s="1"/>
  <c r="R60" i="9" s="1"/>
  <c r="S60" i="9" s="1"/>
  <c r="T60" i="9" s="1"/>
  <c r="U60" i="9" s="1"/>
  <c r="V60" i="9" s="1"/>
  <c r="D60" i="9"/>
  <c r="E60" i="9" s="1"/>
  <c r="F60" i="9" s="1"/>
  <c r="I59" i="9"/>
  <c r="J59" i="9" s="1"/>
  <c r="K59" i="9" s="1"/>
  <c r="L59" i="9" s="1"/>
  <c r="M59" i="9" s="1"/>
  <c r="N59" i="9" s="1"/>
  <c r="O59" i="9" s="1"/>
  <c r="P59" i="9" s="1"/>
  <c r="Q59" i="9" s="1"/>
  <c r="R59" i="9" s="1"/>
  <c r="S59" i="9" s="1"/>
  <c r="T59" i="9" s="1"/>
  <c r="U59" i="9" s="1"/>
  <c r="V59" i="9" s="1"/>
  <c r="D59" i="9"/>
  <c r="E59" i="9" s="1"/>
  <c r="F59" i="9" s="1"/>
  <c r="I58" i="9"/>
  <c r="J58" i="9" s="1"/>
  <c r="K58" i="9" s="1"/>
  <c r="L58" i="9" s="1"/>
  <c r="M58" i="9" s="1"/>
  <c r="N58" i="9" s="1"/>
  <c r="O58" i="9" s="1"/>
  <c r="P58" i="9" s="1"/>
  <c r="Q58" i="9" s="1"/>
  <c r="R58" i="9" s="1"/>
  <c r="S58" i="9" s="1"/>
  <c r="T58" i="9" s="1"/>
  <c r="U58" i="9" s="1"/>
  <c r="V58" i="9" s="1"/>
  <c r="D58" i="9"/>
  <c r="E58" i="9" s="1"/>
  <c r="F58" i="9" s="1"/>
  <c r="I57" i="9"/>
  <c r="J57" i="9" s="1"/>
  <c r="K57" i="9" s="1"/>
  <c r="L57" i="9" s="1"/>
  <c r="M57" i="9" s="1"/>
  <c r="N57" i="9" s="1"/>
  <c r="O57" i="9" s="1"/>
  <c r="P57" i="9" s="1"/>
  <c r="Q57" i="9" s="1"/>
  <c r="R57" i="9" s="1"/>
  <c r="S57" i="9" s="1"/>
  <c r="T57" i="9" s="1"/>
  <c r="U57" i="9" s="1"/>
  <c r="V57" i="9" s="1"/>
  <c r="D57" i="9"/>
  <c r="E57" i="9" s="1"/>
  <c r="F57" i="9" s="1"/>
  <c r="I56" i="9"/>
  <c r="J56" i="9" s="1"/>
  <c r="K56" i="9" s="1"/>
  <c r="L56" i="9" s="1"/>
  <c r="M56" i="9" s="1"/>
  <c r="N56" i="9" s="1"/>
  <c r="O56" i="9" s="1"/>
  <c r="P56" i="9" s="1"/>
  <c r="Q56" i="9" s="1"/>
  <c r="R56" i="9" s="1"/>
  <c r="S56" i="9" s="1"/>
  <c r="T56" i="9" s="1"/>
  <c r="U56" i="9" s="1"/>
  <c r="V56" i="9" s="1"/>
  <c r="D56" i="9"/>
  <c r="E56" i="9" s="1"/>
  <c r="F56" i="9" s="1"/>
  <c r="I55" i="9"/>
  <c r="J55" i="9" s="1"/>
  <c r="K55" i="9" s="1"/>
  <c r="L55" i="9" s="1"/>
  <c r="M55" i="9" s="1"/>
  <c r="N55" i="9" s="1"/>
  <c r="O55" i="9" s="1"/>
  <c r="P55" i="9" s="1"/>
  <c r="Q55" i="9" s="1"/>
  <c r="R55" i="9" s="1"/>
  <c r="S55" i="9" s="1"/>
  <c r="T55" i="9" s="1"/>
  <c r="U55" i="9" s="1"/>
  <c r="V55" i="9" s="1"/>
  <c r="D55" i="9"/>
  <c r="E55" i="9" s="1"/>
  <c r="F55" i="9" s="1"/>
  <c r="I54" i="9"/>
  <c r="J54" i="9" s="1"/>
  <c r="K54" i="9" s="1"/>
  <c r="L54" i="9" s="1"/>
  <c r="M54" i="9" s="1"/>
  <c r="N54" i="9" s="1"/>
  <c r="O54" i="9" s="1"/>
  <c r="P54" i="9" s="1"/>
  <c r="Q54" i="9" s="1"/>
  <c r="R54" i="9" s="1"/>
  <c r="S54" i="9" s="1"/>
  <c r="T54" i="9" s="1"/>
  <c r="U54" i="9" s="1"/>
  <c r="V54" i="9" s="1"/>
  <c r="D54" i="9"/>
  <c r="E54" i="9" s="1"/>
  <c r="F54" i="9" s="1"/>
  <c r="I53" i="9"/>
  <c r="J53" i="9" s="1"/>
  <c r="K53" i="9" s="1"/>
  <c r="L53" i="9" s="1"/>
  <c r="M53" i="9" s="1"/>
  <c r="N53" i="9" s="1"/>
  <c r="O53" i="9" s="1"/>
  <c r="P53" i="9" s="1"/>
  <c r="Q53" i="9" s="1"/>
  <c r="R53" i="9" s="1"/>
  <c r="S53" i="9" s="1"/>
  <c r="T53" i="9" s="1"/>
  <c r="U53" i="9" s="1"/>
  <c r="V53" i="9" s="1"/>
  <c r="D53" i="9"/>
  <c r="E53" i="9" s="1"/>
  <c r="F53" i="9" s="1"/>
  <c r="I52" i="9"/>
  <c r="J52" i="9" s="1"/>
  <c r="K52" i="9" s="1"/>
  <c r="L52" i="9" s="1"/>
  <c r="M52" i="9" s="1"/>
  <c r="N52" i="9" s="1"/>
  <c r="O52" i="9" s="1"/>
  <c r="P52" i="9" s="1"/>
  <c r="Q52" i="9" s="1"/>
  <c r="R52" i="9" s="1"/>
  <c r="S52" i="9" s="1"/>
  <c r="T52" i="9" s="1"/>
  <c r="U52" i="9" s="1"/>
  <c r="V52" i="9" s="1"/>
  <c r="D52" i="9"/>
  <c r="E52" i="9" s="1"/>
  <c r="F52" i="9" s="1"/>
  <c r="I51" i="9"/>
  <c r="J51" i="9" s="1"/>
  <c r="K51" i="9" s="1"/>
  <c r="L51" i="9" s="1"/>
  <c r="M51" i="9" s="1"/>
  <c r="N51" i="9" s="1"/>
  <c r="O51" i="9" s="1"/>
  <c r="P51" i="9" s="1"/>
  <c r="Q51" i="9" s="1"/>
  <c r="R51" i="9" s="1"/>
  <c r="S51" i="9" s="1"/>
  <c r="T51" i="9" s="1"/>
  <c r="U51" i="9" s="1"/>
  <c r="V51" i="9" s="1"/>
  <c r="D51" i="9"/>
  <c r="E51" i="9" s="1"/>
  <c r="F51" i="9" s="1"/>
  <c r="I50" i="9"/>
  <c r="J50" i="9" s="1"/>
  <c r="K50" i="9" s="1"/>
  <c r="L50" i="9" s="1"/>
  <c r="M50" i="9" s="1"/>
  <c r="N50" i="9" s="1"/>
  <c r="O50" i="9" s="1"/>
  <c r="P50" i="9" s="1"/>
  <c r="Q50" i="9" s="1"/>
  <c r="R50" i="9" s="1"/>
  <c r="S50" i="9" s="1"/>
  <c r="T50" i="9" s="1"/>
  <c r="U50" i="9" s="1"/>
  <c r="V50" i="9" s="1"/>
  <c r="D50" i="9"/>
  <c r="E50" i="9" s="1"/>
  <c r="F50" i="9" s="1"/>
  <c r="I49" i="9"/>
  <c r="J49" i="9" s="1"/>
  <c r="K49" i="9" s="1"/>
  <c r="L49" i="9" s="1"/>
  <c r="M49" i="9" s="1"/>
  <c r="N49" i="9" s="1"/>
  <c r="O49" i="9" s="1"/>
  <c r="P49" i="9" s="1"/>
  <c r="Q49" i="9" s="1"/>
  <c r="R49" i="9" s="1"/>
  <c r="S49" i="9" s="1"/>
  <c r="T49" i="9" s="1"/>
  <c r="U49" i="9" s="1"/>
  <c r="V49" i="9" s="1"/>
  <c r="D49" i="9"/>
  <c r="E49" i="9" s="1"/>
  <c r="F49" i="9" s="1"/>
  <c r="I48" i="9"/>
  <c r="J48" i="9" s="1"/>
  <c r="K48" i="9" s="1"/>
  <c r="L48" i="9" s="1"/>
  <c r="M48" i="9" s="1"/>
  <c r="N48" i="9" s="1"/>
  <c r="O48" i="9" s="1"/>
  <c r="P48" i="9" s="1"/>
  <c r="Q48" i="9" s="1"/>
  <c r="R48" i="9" s="1"/>
  <c r="S48" i="9" s="1"/>
  <c r="T48" i="9" s="1"/>
  <c r="U48" i="9" s="1"/>
  <c r="V48" i="9" s="1"/>
  <c r="D48" i="9"/>
  <c r="I47" i="9"/>
  <c r="J47" i="9" s="1"/>
  <c r="K47" i="9" s="1"/>
  <c r="L47" i="9" s="1"/>
  <c r="M47" i="9" s="1"/>
  <c r="N47" i="9" s="1"/>
  <c r="O47" i="9" s="1"/>
  <c r="P47" i="9" s="1"/>
  <c r="Q47" i="9" s="1"/>
  <c r="R47" i="9" s="1"/>
  <c r="S47" i="9" s="1"/>
  <c r="T47" i="9" s="1"/>
  <c r="U47" i="9" s="1"/>
  <c r="V47" i="9" s="1"/>
  <c r="D47" i="9"/>
  <c r="E47" i="9" s="1"/>
  <c r="F47" i="9" s="1"/>
  <c r="I46" i="9"/>
  <c r="J46" i="9" s="1"/>
  <c r="K46" i="9" s="1"/>
  <c r="L46" i="9" s="1"/>
  <c r="M46" i="9" s="1"/>
  <c r="N46" i="9" s="1"/>
  <c r="O46" i="9" s="1"/>
  <c r="P46" i="9" s="1"/>
  <c r="Q46" i="9" s="1"/>
  <c r="R46" i="9" s="1"/>
  <c r="S46" i="9" s="1"/>
  <c r="T46" i="9" s="1"/>
  <c r="U46" i="9" s="1"/>
  <c r="V46" i="9" s="1"/>
  <c r="D46" i="9"/>
  <c r="E46" i="9" s="1"/>
  <c r="F46" i="9" s="1"/>
  <c r="I45" i="9"/>
  <c r="J45" i="9" s="1"/>
  <c r="K45" i="9" s="1"/>
  <c r="L45" i="9" s="1"/>
  <c r="M45" i="9" s="1"/>
  <c r="N45" i="9" s="1"/>
  <c r="O45" i="9" s="1"/>
  <c r="P45" i="9" s="1"/>
  <c r="Q45" i="9" s="1"/>
  <c r="R45" i="9" s="1"/>
  <c r="S45" i="9" s="1"/>
  <c r="T45" i="9" s="1"/>
  <c r="U45" i="9" s="1"/>
  <c r="V45" i="9" s="1"/>
  <c r="D45" i="9"/>
  <c r="E45" i="9" s="1"/>
  <c r="F45" i="9" s="1"/>
  <c r="I44" i="9"/>
  <c r="J44" i="9" s="1"/>
  <c r="K44" i="9" s="1"/>
  <c r="L44" i="9" s="1"/>
  <c r="M44" i="9" s="1"/>
  <c r="N44" i="9" s="1"/>
  <c r="O44" i="9" s="1"/>
  <c r="P44" i="9" s="1"/>
  <c r="Q44" i="9" s="1"/>
  <c r="R44" i="9" s="1"/>
  <c r="S44" i="9" s="1"/>
  <c r="T44" i="9" s="1"/>
  <c r="U44" i="9" s="1"/>
  <c r="V44" i="9" s="1"/>
  <c r="D44" i="9"/>
  <c r="E44" i="9" s="1"/>
  <c r="F44" i="9" s="1"/>
  <c r="I43" i="9"/>
  <c r="J43" i="9" s="1"/>
  <c r="K43" i="9" s="1"/>
  <c r="L43" i="9" s="1"/>
  <c r="M43" i="9" s="1"/>
  <c r="N43" i="9" s="1"/>
  <c r="O43" i="9" s="1"/>
  <c r="P43" i="9" s="1"/>
  <c r="Q43" i="9" s="1"/>
  <c r="R43" i="9" s="1"/>
  <c r="S43" i="9" s="1"/>
  <c r="T43" i="9" s="1"/>
  <c r="U43" i="9" s="1"/>
  <c r="V43" i="9" s="1"/>
  <c r="D43" i="9"/>
  <c r="E43" i="9" s="1"/>
  <c r="F43" i="9" s="1"/>
  <c r="H42" i="9"/>
  <c r="G42" i="9"/>
  <c r="AM41" i="9"/>
  <c r="I41" i="9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D41" i="9"/>
  <c r="E41" i="9" s="1"/>
  <c r="F41" i="9" s="1"/>
  <c r="AG39" i="9"/>
  <c r="AA39" i="9"/>
  <c r="Z39" i="9"/>
  <c r="T39" i="9"/>
  <c r="S39" i="9"/>
  <c r="M39" i="9"/>
  <c r="L39" i="9"/>
  <c r="F39" i="9"/>
  <c r="E39" i="9"/>
  <c r="AJ29" i="9"/>
  <c r="Z29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BB25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BB23" i="9"/>
  <c r="BO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BP22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BO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BO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BP18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BA17" i="9"/>
  <c r="R29" i="9"/>
  <c r="BO16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L12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BP10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BO8" i="9"/>
  <c r="BN8" i="9"/>
  <c r="BM8" i="9"/>
  <c r="BL8" i="9"/>
  <c r="BK8" i="9"/>
  <c r="BJ8" i="9"/>
  <c r="BI8" i="9"/>
  <c r="BH8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BP7" i="9"/>
  <c r="BL6" i="9"/>
  <c r="BK6" i="9"/>
  <c r="BG6" i="9"/>
  <c r="BF6" i="9"/>
  <c r="AZ6" i="9"/>
  <c r="AY6" i="9"/>
  <c r="AT6" i="9"/>
  <c r="AP6" i="9"/>
  <c r="AN6" i="9"/>
  <c r="AG29" i="9"/>
  <c r="AF29" i="9"/>
  <c r="AD29" i="9"/>
  <c r="AC29" i="9"/>
  <c r="BJ6" i="9"/>
  <c r="Y29" i="9"/>
  <c r="X29" i="9"/>
  <c r="BE6" i="9"/>
  <c r="BD6" i="9"/>
  <c r="BB6" i="9"/>
  <c r="Q29" i="9"/>
  <c r="L29" i="9"/>
  <c r="J29" i="9"/>
  <c r="I29" i="9"/>
  <c r="H29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Q69" i="7"/>
  <c r="Q68" i="7"/>
  <c r="AG6" i="6"/>
  <c r="AF6" i="6"/>
  <c r="BI8" i="6"/>
  <c r="BI9" i="6"/>
  <c r="BI20" i="6"/>
  <c r="AD6" i="6"/>
  <c r="AC6" i="6"/>
  <c r="AB6" i="6"/>
  <c r="S2" i="7"/>
  <c r="T2" i="7"/>
  <c r="U2" i="7"/>
  <c r="V2" i="7"/>
  <c r="W2" i="7"/>
  <c r="X2" i="7"/>
  <c r="Y2" i="7"/>
  <c r="Z2" i="7"/>
  <c r="AA2" i="7"/>
  <c r="AB2" i="7"/>
  <c r="S3" i="7"/>
  <c r="T3" i="7"/>
  <c r="U3" i="7"/>
  <c r="V3" i="7"/>
  <c r="W3" i="7"/>
  <c r="X3" i="7"/>
  <c r="Y3" i="7"/>
  <c r="BP5" i="47" s="1"/>
  <c r="Z3" i="7"/>
  <c r="AA3" i="7"/>
  <c r="AB3" i="7"/>
  <c r="S4" i="7"/>
  <c r="T4" i="7"/>
  <c r="U4" i="7"/>
  <c r="V4" i="7"/>
  <c r="W4" i="7"/>
  <c r="X4" i="7"/>
  <c r="Y4" i="7"/>
  <c r="BP6" i="47" s="1"/>
  <c r="Z4" i="7"/>
  <c r="AA4" i="7"/>
  <c r="AB4" i="7"/>
  <c r="S5" i="7"/>
  <c r="T5" i="7"/>
  <c r="U5" i="7"/>
  <c r="V5" i="7"/>
  <c r="W5" i="7"/>
  <c r="X5" i="7"/>
  <c r="Y5" i="7"/>
  <c r="BP7" i="47" s="1"/>
  <c r="Z5" i="7"/>
  <c r="AA5" i="7"/>
  <c r="AB5" i="7"/>
  <c r="S6" i="7"/>
  <c r="T6" i="7"/>
  <c r="U6" i="7"/>
  <c r="V6" i="7"/>
  <c r="W6" i="7"/>
  <c r="X6" i="7"/>
  <c r="Y6" i="7"/>
  <c r="BP8" i="47" s="1"/>
  <c r="Z6" i="7"/>
  <c r="AA6" i="7"/>
  <c r="AB6" i="7"/>
  <c r="S7" i="7"/>
  <c r="T7" i="7"/>
  <c r="U7" i="7"/>
  <c r="V7" i="7"/>
  <c r="W7" i="7"/>
  <c r="X7" i="7"/>
  <c r="Y7" i="7"/>
  <c r="BP9" i="47" s="1"/>
  <c r="Z7" i="7"/>
  <c r="AA7" i="7"/>
  <c r="AB7" i="7"/>
  <c r="S8" i="7"/>
  <c r="T8" i="7"/>
  <c r="U8" i="7"/>
  <c r="V8" i="7"/>
  <c r="W8" i="7"/>
  <c r="X8" i="7"/>
  <c r="Y8" i="7"/>
  <c r="BP10" i="47" s="1"/>
  <c r="Z8" i="7"/>
  <c r="AA8" i="7"/>
  <c r="AB8" i="7"/>
  <c r="S9" i="7"/>
  <c r="T9" i="7"/>
  <c r="U9" i="7"/>
  <c r="V9" i="7"/>
  <c r="W9" i="7"/>
  <c r="X9" i="7"/>
  <c r="Y9" i="7"/>
  <c r="Z9" i="7"/>
  <c r="AA9" i="7"/>
  <c r="AB9" i="7"/>
  <c r="S10" i="7"/>
  <c r="T10" i="7"/>
  <c r="U10" i="7"/>
  <c r="V10" i="7"/>
  <c r="W10" i="7"/>
  <c r="X10" i="7"/>
  <c r="Y10" i="7"/>
  <c r="BP12" i="47" s="1"/>
  <c r="BS12" i="47" s="1"/>
  <c r="Z10" i="7"/>
  <c r="AA10" i="7"/>
  <c r="AB10" i="7"/>
  <c r="S11" i="7"/>
  <c r="T11" i="7"/>
  <c r="U11" i="7"/>
  <c r="V11" i="7"/>
  <c r="W11" i="7"/>
  <c r="X11" i="7"/>
  <c r="Y11" i="7"/>
  <c r="Z11" i="7"/>
  <c r="AA11" i="7"/>
  <c r="AB11" i="7"/>
  <c r="S12" i="7"/>
  <c r="T12" i="7"/>
  <c r="U12" i="7"/>
  <c r="V12" i="7"/>
  <c r="W12" i="7"/>
  <c r="X12" i="7"/>
  <c r="Y12" i="7"/>
  <c r="Z12" i="7"/>
  <c r="AA12" i="7"/>
  <c r="AB12" i="7"/>
  <c r="S13" i="7"/>
  <c r="T13" i="7"/>
  <c r="U13" i="7"/>
  <c r="V13" i="7"/>
  <c r="W13" i="7"/>
  <c r="X13" i="7"/>
  <c r="Y13" i="7"/>
  <c r="BP15" i="47" s="1"/>
  <c r="Z13" i="7"/>
  <c r="AA13" i="7"/>
  <c r="AB13" i="7"/>
  <c r="S14" i="7"/>
  <c r="T14" i="7"/>
  <c r="U14" i="7"/>
  <c r="V14" i="7"/>
  <c r="W14" i="7"/>
  <c r="X14" i="7"/>
  <c r="Y14" i="7"/>
  <c r="BP17" i="47" s="1"/>
  <c r="Z14" i="7"/>
  <c r="AA14" i="7"/>
  <c r="AB14" i="7"/>
  <c r="S15" i="7"/>
  <c r="T15" i="7"/>
  <c r="U15" i="7"/>
  <c r="V15" i="7"/>
  <c r="W15" i="7"/>
  <c r="X15" i="7"/>
  <c r="Y15" i="7"/>
  <c r="Z15" i="7"/>
  <c r="AA15" i="7"/>
  <c r="AB15" i="7"/>
  <c r="S16" i="7"/>
  <c r="T16" i="7"/>
  <c r="U16" i="7"/>
  <c r="V16" i="7"/>
  <c r="W16" i="7"/>
  <c r="X16" i="7"/>
  <c r="Y16" i="7"/>
  <c r="Z16" i="7"/>
  <c r="AA16" i="7"/>
  <c r="AB16" i="7"/>
  <c r="S17" i="7"/>
  <c r="T17" i="7"/>
  <c r="U17" i="7"/>
  <c r="V17" i="7"/>
  <c r="W17" i="7"/>
  <c r="X17" i="7"/>
  <c r="Y17" i="7"/>
  <c r="BP20" i="47" s="1"/>
  <c r="Z17" i="7"/>
  <c r="AA17" i="7"/>
  <c r="AB17" i="7"/>
  <c r="S18" i="7"/>
  <c r="T18" i="7"/>
  <c r="U18" i="7"/>
  <c r="V18" i="7"/>
  <c r="W18" i="7"/>
  <c r="X18" i="7"/>
  <c r="Y18" i="7"/>
  <c r="Z18" i="7"/>
  <c r="AA18" i="7"/>
  <c r="AB18" i="7"/>
  <c r="S19" i="7"/>
  <c r="T19" i="7"/>
  <c r="U19" i="7"/>
  <c r="V19" i="7"/>
  <c r="W19" i="7"/>
  <c r="X19" i="7"/>
  <c r="Y19" i="7"/>
  <c r="Z19" i="7"/>
  <c r="AA19" i="7"/>
  <c r="AB19" i="7"/>
  <c r="S20" i="7"/>
  <c r="T20" i="7"/>
  <c r="U20" i="7"/>
  <c r="V20" i="7"/>
  <c r="W20" i="7"/>
  <c r="X20" i="7"/>
  <c r="Y20" i="7"/>
  <c r="Z20" i="7"/>
  <c r="AA20" i="7"/>
  <c r="AB20" i="7"/>
  <c r="S21" i="7"/>
  <c r="T21" i="7"/>
  <c r="U21" i="7"/>
  <c r="V21" i="7"/>
  <c r="W21" i="7"/>
  <c r="X21" i="7"/>
  <c r="Y21" i="7"/>
  <c r="Z21" i="7"/>
  <c r="AA21" i="7"/>
  <c r="AB21" i="7"/>
  <c r="S22" i="7"/>
  <c r="T22" i="7"/>
  <c r="U22" i="7"/>
  <c r="V22" i="7"/>
  <c r="W22" i="7"/>
  <c r="X22" i="7"/>
  <c r="Y22" i="7"/>
  <c r="Z22" i="7"/>
  <c r="AA22" i="7"/>
  <c r="AB22" i="7"/>
  <c r="S23" i="7"/>
  <c r="T23" i="7"/>
  <c r="U23" i="7"/>
  <c r="V23" i="7"/>
  <c r="W23" i="7"/>
  <c r="X23" i="7"/>
  <c r="Y23" i="7"/>
  <c r="Z23" i="7"/>
  <c r="AA23" i="7"/>
  <c r="AB23" i="7"/>
  <c r="S24" i="7"/>
  <c r="T24" i="7"/>
  <c r="U24" i="7"/>
  <c r="V24" i="7"/>
  <c r="W24" i="7"/>
  <c r="X24" i="7"/>
  <c r="Y24" i="7"/>
  <c r="Z24" i="7"/>
  <c r="AA24" i="7"/>
  <c r="AB24" i="7"/>
  <c r="S25" i="7"/>
  <c r="T25" i="7"/>
  <c r="U25" i="7"/>
  <c r="V25" i="7"/>
  <c r="W25" i="7"/>
  <c r="X25" i="7"/>
  <c r="Y25" i="7"/>
  <c r="Z25" i="7"/>
  <c r="AA25" i="7"/>
  <c r="AB25" i="7"/>
  <c r="S26" i="7"/>
  <c r="T26" i="7"/>
  <c r="U26" i="7"/>
  <c r="V26" i="7"/>
  <c r="W26" i="7"/>
  <c r="X26" i="7"/>
  <c r="Y26" i="7"/>
  <c r="Z26" i="7"/>
  <c r="AA26" i="7"/>
  <c r="AB26" i="7"/>
  <c r="R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3" i="7"/>
  <c r="Q2" i="7"/>
  <c r="BQ9" i="47" l="1"/>
  <c r="BR9" i="47"/>
  <c r="BS9" i="47"/>
  <c r="BQ17" i="47"/>
  <c r="BR17" i="47"/>
  <c r="BS17" i="47"/>
  <c r="BQ8" i="47"/>
  <c r="BR8" i="47"/>
  <c r="BS8" i="47"/>
  <c r="BQ7" i="47"/>
  <c r="BR7" i="47"/>
  <c r="BS7" i="47"/>
  <c r="BQ15" i="47"/>
  <c r="BR15" i="47"/>
  <c r="BS15" i="47"/>
  <c r="BQ20" i="47"/>
  <c r="BP26" i="47"/>
  <c r="BP27" i="47"/>
  <c r="BP25" i="47"/>
  <c r="BP30" i="47"/>
  <c r="BP21" i="47"/>
  <c r="BR20" i="47"/>
  <c r="BP28" i="47"/>
  <c r="BP31" i="47"/>
  <c r="BP22" i="47"/>
  <c r="BP24" i="47"/>
  <c r="BP29" i="47"/>
  <c r="BS20" i="47"/>
  <c r="BQ6" i="47"/>
  <c r="BR6" i="47"/>
  <c r="BS6" i="47"/>
  <c r="BQ5" i="47"/>
  <c r="BR5" i="47"/>
  <c r="BS5" i="47"/>
  <c r="BQ10" i="47"/>
  <c r="BR10" i="47"/>
  <c r="BS10" i="47"/>
  <c r="BP23" i="47"/>
  <c r="BP13" i="47"/>
  <c r="BP11" i="47"/>
  <c r="BP18" i="47"/>
  <c r="BP19" i="47"/>
  <c r="BP14" i="47"/>
  <c r="BQ15" i="46"/>
  <c r="BP15" i="43"/>
  <c r="BQ15" i="42"/>
  <c r="BN15" i="40"/>
  <c r="BQ15" i="38"/>
  <c r="BQ15" i="35"/>
  <c r="BP15" i="34"/>
  <c r="BQ15" i="33"/>
  <c r="BP15" i="30"/>
  <c r="BQ15" i="29"/>
  <c r="BQ15" i="28"/>
  <c r="BP15" i="26"/>
  <c r="BQ15" i="24"/>
  <c r="BP15" i="23"/>
  <c r="BQ15" i="16"/>
  <c r="BQ15" i="15"/>
  <c r="BQ15" i="13"/>
  <c r="BQ17" i="46"/>
  <c r="BP16" i="43"/>
  <c r="BQ16" i="42"/>
  <c r="BN16" i="40"/>
  <c r="BQ16" i="38"/>
  <c r="BQ16" i="35"/>
  <c r="BP16" i="34"/>
  <c r="BQ16" i="33"/>
  <c r="BP16" i="30"/>
  <c r="BQ16" i="29"/>
  <c r="BQ16" i="28"/>
  <c r="BP16" i="26"/>
  <c r="BQ16" i="24"/>
  <c r="BP16" i="23"/>
  <c r="BQ16" i="16"/>
  <c r="BQ16" i="15"/>
  <c r="BQ16" i="13"/>
  <c r="BQ12" i="46"/>
  <c r="BT12" i="46" s="1"/>
  <c r="BP12" i="43"/>
  <c r="BS12" i="43" s="1"/>
  <c r="BQ12" i="42"/>
  <c r="BT12" i="42" s="1"/>
  <c r="BN12" i="40"/>
  <c r="BQ12" i="40" s="1"/>
  <c r="BQ12" i="38"/>
  <c r="BT12" i="38" s="1"/>
  <c r="BQ12" i="35"/>
  <c r="BT12" i="35" s="1"/>
  <c r="BP12" i="34"/>
  <c r="BS12" i="34" s="1"/>
  <c r="BQ12" i="33"/>
  <c r="BT12" i="33" s="1"/>
  <c r="BP12" i="30"/>
  <c r="BS12" i="30" s="1"/>
  <c r="BQ12" i="29"/>
  <c r="BT12" i="29" s="1"/>
  <c r="BQ12" i="28"/>
  <c r="BT12" i="28" s="1"/>
  <c r="BP12" i="26"/>
  <c r="BS12" i="26" s="1"/>
  <c r="BQ12" i="24"/>
  <c r="BT12" i="24" s="1"/>
  <c r="BP12" i="23"/>
  <c r="BS12" i="23" s="1"/>
  <c r="BQ12" i="16"/>
  <c r="BT12" i="16" s="1"/>
  <c r="BQ12" i="15"/>
  <c r="BT12" i="15" s="1"/>
  <c r="BQ12" i="13"/>
  <c r="BT12" i="13" s="1"/>
  <c r="BQ8" i="46"/>
  <c r="BP8" i="43"/>
  <c r="BQ8" i="42"/>
  <c r="BN8" i="40"/>
  <c r="BQ8" i="38"/>
  <c r="BQ8" i="35"/>
  <c r="BP8" i="34"/>
  <c r="BQ8" i="33"/>
  <c r="BP8" i="30"/>
  <c r="BQ8" i="29"/>
  <c r="BQ8" i="28"/>
  <c r="BP8" i="26"/>
  <c r="BQ8" i="24"/>
  <c r="BP8" i="23"/>
  <c r="BQ8" i="16"/>
  <c r="BQ8" i="15"/>
  <c r="BQ8" i="13"/>
  <c r="BQ20" i="46"/>
  <c r="BP19" i="43"/>
  <c r="BQ19" i="42"/>
  <c r="BN19" i="40"/>
  <c r="BQ19" i="38"/>
  <c r="BQ19" i="35"/>
  <c r="BP19" i="34"/>
  <c r="BQ19" i="33"/>
  <c r="BP19" i="30"/>
  <c r="BQ19" i="29"/>
  <c r="BQ19" i="28"/>
  <c r="BP19" i="26"/>
  <c r="BQ19" i="24"/>
  <c r="BP19" i="23"/>
  <c r="BQ19" i="16"/>
  <c r="BQ19" i="15"/>
  <c r="BQ19" i="13"/>
  <c r="BQ7" i="46"/>
  <c r="BP7" i="43"/>
  <c r="BQ7" i="42"/>
  <c r="BN7" i="40"/>
  <c r="BQ7" i="38"/>
  <c r="BQ7" i="35"/>
  <c r="BP7" i="34"/>
  <c r="BQ7" i="33"/>
  <c r="BP7" i="30"/>
  <c r="BQ7" i="29"/>
  <c r="BQ7" i="28"/>
  <c r="BP7" i="26"/>
  <c r="BQ7" i="24"/>
  <c r="BP7" i="23"/>
  <c r="BQ7" i="16"/>
  <c r="BQ7" i="15"/>
  <c r="BQ7" i="13"/>
  <c r="BQ10" i="46"/>
  <c r="BP10" i="43"/>
  <c r="BQ10" i="42"/>
  <c r="BN10" i="40"/>
  <c r="BQ10" i="38"/>
  <c r="BQ10" i="35"/>
  <c r="BP10" i="34"/>
  <c r="BQ10" i="33"/>
  <c r="BP10" i="30"/>
  <c r="BQ10" i="29"/>
  <c r="BQ10" i="28"/>
  <c r="BP10" i="26"/>
  <c r="BQ10" i="24"/>
  <c r="BP10" i="23"/>
  <c r="BQ10" i="16"/>
  <c r="BQ10" i="15"/>
  <c r="BQ10" i="13"/>
  <c r="BQ6" i="46"/>
  <c r="BP6" i="43"/>
  <c r="BQ6" i="42"/>
  <c r="BN6" i="40"/>
  <c r="BQ6" i="38"/>
  <c r="BQ6" i="35"/>
  <c r="BP6" i="34"/>
  <c r="BQ6" i="33"/>
  <c r="BP6" i="30"/>
  <c r="BQ6" i="29"/>
  <c r="BQ6" i="28"/>
  <c r="BP6" i="26"/>
  <c r="BQ6" i="24"/>
  <c r="BP6" i="23"/>
  <c r="BQ6" i="16"/>
  <c r="BQ6" i="15"/>
  <c r="BQ6" i="13"/>
  <c r="BQ9" i="46"/>
  <c r="BP9" i="43"/>
  <c r="BQ9" i="42"/>
  <c r="BN9" i="40"/>
  <c r="BQ9" i="38"/>
  <c r="BQ9" i="35"/>
  <c r="BP9" i="34"/>
  <c r="BQ9" i="33"/>
  <c r="BP9" i="30"/>
  <c r="BQ9" i="29"/>
  <c r="BQ9" i="28"/>
  <c r="BP9" i="26"/>
  <c r="BQ9" i="24"/>
  <c r="BP9" i="23"/>
  <c r="BQ9" i="16"/>
  <c r="BQ9" i="15"/>
  <c r="BQ9" i="13"/>
  <c r="BQ5" i="46"/>
  <c r="BP5" i="43"/>
  <c r="BQ5" i="42"/>
  <c r="BN5" i="40"/>
  <c r="BQ5" i="38"/>
  <c r="BQ5" i="35"/>
  <c r="BP5" i="34"/>
  <c r="BQ5" i="33"/>
  <c r="BP5" i="30"/>
  <c r="BQ5" i="29"/>
  <c r="BQ5" i="28"/>
  <c r="BP5" i="26"/>
  <c r="BQ5" i="24"/>
  <c r="BP5" i="23"/>
  <c r="BQ5" i="16"/>
  <c r="BQ5" i="15"/>
  <c r="BQ5" i="13"/>
  <c r="BP9" i="6"/>
  <c r="BQ9" i="12"/>
  <c r="BQ5" i="9"/>
  <c r="BR5" i="9" s="1"/>
  <c r="BQ5" i="12"/>
  <c r="BQ16" i="9"/>
  <c r="BR16" i="9" s="1"/>
  <c r="BQ16" i="12"/>
  <c r="BQ12" i="10"/>
  <c r="BQ12" i="12"/>
  <c r="BT12" i="12" s="1"/>
  <c r="BQ8" i="10"/>
  <c r="BR8" i="10" s="1"/>
  <c r="BQ8" i="12"/>
  <c r="BP19" i="6"/>
  <c r="BP17" i="6" s="1"/>
  <c r="BQ19" i="12"/>
  <c r="BQ15" i="9"/>
  <c r="BR15" i="9" s="1"/>
  <c r="BQ15" i="12"/>
  <c r="BQ7" i="10"/>
  <c r="BR7" i="10" s="1"/>
  <c r="BQ7" i="12"/>
  <c r="BQ10" i="10"/>
  <c r="BS10" i="10" s="1"/>
  <c r="BQ10" i="12"/>
  <c r="BP6" i="6"/>
  <c r="BQ6" i="12"/>
  <c r="BP10" i="10"/>
  <c r="BP9" i="10"/>
  <c r="BP13" i="10"/>
  <c r="BP15" i="10"/>
  <c r="BP27" i="10"/>
  <c r="BP23" i="10"/>
  <c r="BP22" i="10"/>
  <c r="BP8" i="10"/>
  <c r="BP7" i="10"/>
  <c r="BP16" i="10"/>
  <c r="BP26" i="10"/>
  <c r="BP18" i="10"/>
  <c r="BP17" i="10"/>
  <c r="BP20" i="10"/>
  <c r="BP19" i="10"/>
  <c r="BP11" i="10"/>
  <c r="BP14" i="10"/>
  <c r="BP21" i="10"/>
  <c r="BP24" i="10"/>
  <c r="BQ10" i="9"/>
  <c r="BR10" i="9" s="1"/>
  <c r="BP10" i="6"/>
  <c r="BQ15" i="10"/>
  <c r="BR15" i="10" s="1"/>
  <c r="BQ7" i="9"/>
  <c r="BR7" i="9" s="1"/>
  <c r="BQ8" i="9"/>
  <c r="BR8" i="9" s="1"/>
  <c r="BP16" i="6"/>
  <c r="BP15" i="6"/>
  <c r="BQ6" i="10"/>
  <c r="BR6" i="10" s="1"/>
  <c r="BQ16" i="10"/>
  <c r="BR16" i="10" s="1"/>
  <c r="Q70" i="7"/>
  <c r="BQ12" i="9"/>
  <c r="BQ6" i="9"/>
  <c r="BR6" i="9" s="1"/>
  <c r="BQ9" i="9"/>
  <c r="BR9" i="9" s="1"/>
  <c r="BQ5" i="10"/>
  <c r="BR5" i="10" s="1"/>
  <c r="BP8" i="6"/>
  <c r="BP7" i="6"/>
  <c r="BQ9" i="10"/>
  <c r="BR9" i="10" s="1"/>
  <c r="BP5" i="6"/>
  <c r="BP12" i="6"/>
  <c r="BQ19" i="10"/>
  <c r="BQ19" i="9"/>
  <c r="BT19" i="9" s="1"/>
  <c r="BJ6" i="10"/>
  <c r="AL25" i="10"/>
  <c r="D64" i="10"/>
  <c r="E64" i="10" s="1"/>
  <c r="F64" i="10" s="1"/>
  <c r="AT6" i="10"/>
  <c r="AN6" i="10"/>
  <c r="BA6" i="10"/>
  <c r="BP5" i="10"/>
  <c r="AO6" i="10"/>
  <c r="AW6" i="10"/>
  <c r="BE6" i="10"/>
  <c r="BM6" i="10"/>
  <c r="AI25" i="10"/>
  <c r="AX6" i="10"/>
  <c r="BB6" i="10"/>
  <c r="AP6" i="10"/>
  <c r="BF6" i="10"/>
  <c r="BN6" i="10"/>
  <c r="AM12" i="10"/>
  <c r="AI12" i="10"/>
  <c r="E51" i="10"/>
  <c r="F51" i="10" s="1"/>
  <c r="AS6" i="10"/>
  <c r="BH6" i="10"/>
  <c r="D45" i="10"/>
  <c r="E45" i="10" s="1"/>
  <c r="F45" i="10" s="1"/>
  <c r="AL6" i="10"/>
  <c r="AI6" i="10"/>
  <c r="BI6" i="10"/>
  <c r="J45" i="10"/>
  <c r="K45" i="10" s="1"/>
  <c r="L45" i="10" s="1"/>
  <c r="M45" i="10" s="1"/>
  <c r="N45" i="10" s="1"/>
  <c r="O45" i="10" s="1"/>
  <c r="P45" i="10" s="1"/>
  <c r="Q45" i="10" s="1"/>
  <c r="R45" i="10" s="1"/>
  <c r="S45" i="10" s="1"/>
  <c r="T45" i="10" s="1"/>
  <c r="U45" i="10" s="1"/>
  <c r="V45" i="10" s="1"/>
  <c r="AI29" i="9"/>
  <c r="AI30" i="9" s="1"/>
  <c r="BP25" i="9"/>
  <c r="BP12" i="9"/>
  <c r="AM12" i="9"/>
  <c r="AX6" i="9"/>
  <c r="U29" i="9"/>
  <c r="BM6" i="9"/>
  <c r="AU6" i="9"/>
  <c r="P62" i="9"/>
  <c r="Q62" i="9" s="1"/>
  <c r="R62" i="9" s="1"/>
  <c r="S62" i="9" s="1"/>
  <c r="T62" i="9" s="1"/>
  <c r="U62" i="9" s="1"/>
  <c r="V62" i="9" s="1"/>
  <c r="AX26" i="9"/>
  <c r="BP26" i="9"/>
  <c r="E48" i="9"/>
  <c r="F48" i="9" s="1"/>
  <c r="D42" i="9"/>
  <c r="E42" i="9" s="1"/>
  <c r="F42" i="9" s="1"/>
  <c r="D29" i="9"/>
  <c r="T29" i="9"/>
  <c r="AB29" i="9"/>
  <c r="E29" i="9"/>
  <c r="BP5" i="9"/>
  <c r="F29" i="9"/>
  <c r="V29" i="9"/>
  <c r="BO6" i="9"/>
  <c r="AR6" i="9"/>
  <c r="AS6" i="9"/>
  <c r="BA6" i="9"/>
  <c r="BI6" i="9"/>
  <c r="AZ17" i="9"/>
  <c r="G29" i="9"/>
  <c r="O29" i="9"/>
  <c r="W29" i="9"/>
  <c r="BN6" i="9"/>
  <c r="I42" i="9"/>
  <c r="J42" i="9" s="1"/>
  <c r="K42" i="9" s="1"/>
  <c r="L42" i="9" s="1"/>
  <c r="M42" i="9" s="1"/>
  <c r="N42" i="9" s="1"/>
  <c r="O42" i="9" s="1"/>
  <c r="P42" i="9" s="1"/>
  <c r="Q42" i="9" s="1"/>
  <c r="R42" i="9" s="1"/>
  <c r="S42" i="9" s="1"/>
  <c r="T42" i="9" s="1"/>
  <c r="U42" i="9" s="1"/>
  <c r="V42" i="9" s="1"/>
  <c r="J31" i="7"/>
  <c r="AA6" i="6"/>
  <c r="BP22" i="6" l="1"/>
  <c r="BR10" i="10"/>
  <c r="BQ11" i="47"/>
  <c r="BS11" i="47"/>
  <c r="BR11" i="47"/>
  <c r="BQ13" i="47"/>
  <c r="BR13" i="47"/>
  <c r="BS13" i="47"/>
  <c r="BS28" i="47"/>
  <c r="BR28" i="47"/>
  <c r="BQ28" i="47"/>
  <c r="BQ21" i="47"/>
  <c r="BR21" i="47"/>
  <c r="BS21" i="47"/>
  <c r="BQ30" i="47"/>
  <c r="BS30" i="47"/>
  <c r="BR30" i="47"/>
  <c r="BQ31" i="47"/>
  <c r="BR31" i="47"/>
  <c r="BS31" i="47"/>
  <c r="BS8" i="10"/>
  <c r="BQ14" i="47"/>
  <c r="BR14" i="47"/>
  <c r="BS14" i="47"/>
  <c r="BQ29" i="47"/>
  <c r="BR29" i="47"/>
  <c r="BS29" i="47"/>
  <c r="BQ25" i="47"/>
  <c r="BR25" i="47"/>
  <c r="BS25" i="47"/>
  <c r="BP28" i="6"/>
  <c r="BS19" i="47"/>
  <c r="BR19" i="47"/>
  <c r="BQ19" i="47"/>
  <c r="BR24" i="47"/>
  <c r="BS24" i="47"/>
  <c r="BQ24" i="47"/>
  <c r="BS27" i="47"/>
  <c r="BR27" i="47"/>
  <c r="BQ27" i="47"/>
  <c r="BR23" i="47"/>
  <c r="BQ23" i="47"/>
  <c r="BS23" i="47"/>
  <c r="BP20" i="6"/>
  <c r="BP24" i="6"/>
  <c r="BT8" i="10"/>
  <c r="BQ18" i="47"/>
  <c r="BR18" i="47"/>
  <c r="BS18" i="47"/>
  <c r="BQ22" i="47"/>
  <c r="BS22" i="47"/>
  <c r="BR22" i="47"/>
  <c r="BQ26" i="47"/>
  <c r="BS26" i="47"/>
  <c r="BR26" i="47"/>
  <c r="BP14" i="6"/>
  <c r="BS5" i="16"/>
  <c r="BR5" i="16"/>
  <c r="BT5" i="16"/>
  <c r="BR5" i="34"/>
  <c r="BQ5" i="34"/>
  <c r="BS5" i="34"/>
  <c r="BR9" i="15"/>
  <c r="BT9" i="15"/>
  <c r="BS9" i="15"/>
  <c r="BR9" i="33"/>
  <c r="BT9" i="33"/>
  <c r="BS9" i="33"/>
  <c r="BR6" i="13"/>
  <c r="BS6" i="13"/>
  <c r="BT6" i="13"/>
  <c r="BQ6" i="30"/>
  <c r="BR6" i="30"/>
  <c r="BS6" i="30"/>
  <c r="BR6" i="46"/>
  <c r="BS6" i="46"/>
  <c r="BT6" i="46"/>
  <c r="BR10" i="29"/>
  <c r="BS10" i="29"/>
  <c r="BT10" i="29"/>
  <c r="BQ10" i="43"/>
  <c r="BS10" i="43"/>
  <c r="BR10" i="43"/>
  <c r="BR7" i="28"/>
  <c r="BS7" i="28"/>
  <c r="BT7" i="28"/>
  <c r="BR7" i="42"/>
  <c r="BS7" i="42"/>
  <c r="BT7" i="42"/>
  <c r="BP26" i="26"/>
  <c r="BP13" i="26"/>
  <c r="BP14" i="26"/>
  <c r="BP11" i="26"/>
  <c r="BP23" i="26"/>
  <c r="BP27" i="26"/>
  <c r="BP28" i="26"/>
  <c r="BP22" i="26"/>
  <c r="BR19" i="26"/>
  <c r="BP18" i="26"/>
  <c r="BS19" i="26"/>
  <c r="BP25" i="26"/>
  <c r="BP29" i="26"/>
  <c r="BP20" i="26"/>
  <c r="BP30" i="26"/>
  <c r="BP24" i="26"/>
  <c r="BP17" i="26"/>
  <c r="BQ19" i="26"/>
  <c r="BP21" i="26"/>
  <c r="BN26" i="40"/>
  <c r="BN14" i="40"/>
  <c r="BN29" i="40"/>
  <c r="BQ19" i="40"/>
  <c r="BN17" i="40"/>
  <c r="BN24" i="40"/>
  <c r="BN20" i="40"/>
  <c r="BN25" i="40"/>
  <c r="BN11" i="40"/>
  <c r="BN18" i="40"/>
  <c r="BN27" i="40"/>
  <c r="BO19" i="40"/>
  <c r="BP19" i="40"/>
  <c r="BN23" i="40"/>
  <c r="BN21" i="40"/>
  <c r="BN22" i="40"/>
  <c r="BN28" i="40"/>
  <c r="BN30" i="40"/>
  <c r="BN13" i="40"/>
  <c r="BR8" i="24"/>
  <c r="BS8" i="24"/>
  <c r="BT8" i="24"/>
  <c r="BR8" i="38"/>
  <c r="BS8" i="38"/>
  <c r="BT8" i="38"/>
  <c r="BR16" i="16"/>
  <c r="BS16" i="16"/>
  <c r="BT16" i="16"/>
  <c r="BQ16" i="34"/>
  <c r="BS16" i="34"/>
  <c r="BR16" i="34"/>
  <c r="BR15" i="15"/>
  <c r="BS15" i="15"/>
  <c r="BT15" i="15"/>
  <c r="BR15" i="33"/>
  <c r="BT15" i="33"/>
  <c r="BS15" i="33"/>
  <c r="BP13" i="6"/>
  <c r="BP25" i="6"/>
  <c r="BT10" i="10"/>
  <c r="BR5" i="23"/>
  <c r="BQ5" i="23"/>
  <c r="BS5" i="23"/>
  <c r="BR5" i="35"/>
  <c r="BT5" i="35"/>
  <c r="BS5" i="35"/>
  <c r="BR9" i="16"/>
  <c r="BS9" i="16"/>
  <c r="BT9" i="16"/>
  <c r="BQ9" i="34"/>
  <c r="BR9" i="34"/>
  <c r="BS9" i="34"/>
  <c r="BR6" i="15"/>
  <c r="BS6" i="15"/>
  <c r="BT6" i="15"/>
  <c r="BR6" i="33"/>
  <c r="BT6" i="33"/>
  <c r="BS6" i="33"/>
  <c r="BR10" i="13"/>
  <c r="BS10" i="13"/>
  <c r="BT10" i="13"/>
  <c r="BQ10" i="30"/>
  <c r="BR10" i="30"/>
  <c r="BS10" i="30"/>
  <c r="BR10" i="46"/>
  <c r="BS10" i="46"/>
  <c r="BT10" i="46"/>
  <c r="BR7" i="29"/>
  <c r="BS7" i="29"/>
  <c r="BT7" i="29"/>
  <c r="BQ7" i="43"/>
  <c r="BR7" i="43"/>
  <c r="BS7" i="43"/>
  <c r="BQ24" i="28"/>
  <c r="BQ11" i="28"/>
  <c r="BQ17" i="28"/>
  <c r="BQ30" i="28"/>
  <c r="BQ23" i="28"/>
  <c r="BS19" i="28"/>
  <c r="BQ28" i="28"/>
  <c r="BQ26" i="28"/>
  <c r="BQ29" i="28"/>
  <c r="BQ27" i="28"/>
  <c r="BQ21" i="28"/>
  <c r="BQ20" i="28"/>
  <c r="BQ18" i="28"/>
  <c r="BQ22" i="28"/>
  <c r="BQ14" i="28"/>
  <c r="BQ25" i="28"/>
  <c r="BR19" i="28"/>
  <c r="BQ13" i="28"/>
  <c r="BT19" i="28"/>
  <c r="BQ29" i="42"/>
  <c r="BQ24" i="42"/>
  <c r="BQ26" i="42"/>
  <c r="BQ17" i="42"/>
  <c r="BQ13" i="42"/>
  <c r="BQ11" i="42"/>
  <c r="BQ23" i="42"/>
  <c r="BQ22" i="42"/>
  <c r="BQ21" i="42"/>
  <c r="BR19" i="42"/>
  <c r="BQ18" i="42"/>
  <c r="BQ27" i="42"/>
  <c r="BQ28" i="42"/>
  <c r="BQ14" i="42"/>
  <c r="BS19" i="42"/>
  <c r="BQ25" i="42"/>
  <c r="BT19" i="42"/>
  <c r="BQ30" i="42"/>
  <c r="BQ20" i="42"/>
  <c r="BQ8" i="26"/>
  <c r="BS8" i="26"/>
  <c r="BR8" i="26"/>
  <c r="BO8" i="40"/>
  <c r="BP8" i="40"/>
  <c r="BQ8" i="40"/>
  <c r="BQ16" i="23"/>
  <c r="BS16" i="23"/>
  <c r="BR16" i="23"/>
  <c r="BR16" i="35"/>
  <c r="BT16" i="35"/>
  <c r="BS16" i="35"/>
  <c r="BR15" i="16"/>
  <c r="BS15" i="16"/>
  <c r="BT15" i="16"/>
  <c r="BQ15" i="34"/>
  <c r="BR15" i="34"/>
  <c r="BS15" i="34"/>
  <c r="BR7" i="15"/>
  <c r="BS7" i="15"/>
  <c r="BT7" i="15"/>
  <c r="BP13" i="30"/>
  <c r="BP28" i="30"/>
  <c r="BP24" i="30"/>
  <c r="BS19" i="30"/>
  <c r="BP25" i="30"/>
  <c r="BP27" i="30"/>
  <c r="BP23" i="30"/>
  <c r="BP17" i="30"/>
  <c r="BP20" i="30"/>
  <c r="BP22" i="30"/>
  <c r="BP18" i="30"/>
  <c r="BP30" i="30"/>
  <c r="BQ19" i="30"/>
  <c r="BR19" i="30"/>
  <c r="BP11" i="30"/>
  <c r="BP14" i="30"/>
  <c r="BP29" i="30"/>
  <c r="BP26" i="30"/>
  <c r="BP21" i="30"/>
  <c r="BQ8" i="43"/>
  <c r="BS8" i="43"/>
  <c r="BR8" i="43"/>
  <c r="BO16" i="40"/>
  <c r="BP16" i="40"/>
  <c r="BQ16" i="40"/>
  <c r="BR15" i="24"/>
  <c r="BS15" i="24"/>
  <c r="BT15" i="24"/>
  <c r="BR15" i="38"/>
  <c r="BS15" i="38"/>
  <c r="BT15" i="38"/>
  <c r="BQ9" i="23"/>
  <c r="BS9" i="23"/>
  <c r="BR9" i="23"/>
  <c r="BR6" i="16"/>
  <c r="BS6" i="16"/>
  <c r="BT6" i="16"/>
  <c r="BS10" i="15"/>
  <c r="BR10" i="15"/>
  <c r="BT10" i="15"/>
  <c r="BS10" i="33"/>
  <c r="BT10" i="33"/>
  <c r="BR10" i="33"/>
  <c r="BQ7" i="30"/>
  <c r="BR7" i="30"/>
  <c r="BS7" i="30"/>
  <c r="BQ15" i="23"/>
  <c r="BS15" i="23"/>
  <c r="BR15" i="23"/>
  <c r="BP5" i="40"/>
  <c r="BO5" i="40"/>
  <c r="BQ5" i="40"/>
  <c r="BR9" i="24"/>
  <c r="BS9" i="24"/>
  <c r="BT9" i="24"/>
  <c r="BS9" i="38"/>
  <c r="BT9" i="38"/>
  <c r="BR9" i="38"/>
  <c r="BQ6" i="23"/>
  <c r="BR6" i="23"/>
  <c r="BS6" i="23"/>
  <c r="BR6" i="35"/>
  <c r="BS6" i="35"/>
  <c r="BT6" i="35"/>
  <c r="BR10" i="16"/>
  <c r="BS10" i="16"/>
  <c r="BT10" i="16"/>
  <c r="BS10" i="34"/>
  <c r="BR10" i="34"/>
  <c r="BQ10" i="34"/>
  <c r="BR7" i="33"/>
  <c r="BT7" i="33"/>
  <c r="BS7" i="33"/>
  <c r="BQ29" i="13"/>
  <c r="BQ11" i="13"/>
  <c r="BS19" i="13"/>
  <c r="BQ25" i="13"/>
  <c r="BQ13" i="13"/>
  <c r="BQ23" i="13"/>
  <c r="BQ22" i="13"/>
  <c r="BR19" i="13"/>
  <c r="BQ18" i="13"/>
  <c r="BQ21" i="13"/>
  <c r="BQ24" i="13"/>
  <c r="BQ14" i="13"/>
  <c r="BQ26" i="13"/>
  <c r="BQ27" i="13"/>
  <c r="BQ17" i="13"/>
  <c r="BQ20" i="13"/>
  <c r="BT19" i="13"/>
  <c r="BQ27" i="46"/>
  <c r="BQ14" i="46"/>
  <c r="BQ13" i="46"/>
  <c r="BQ11" i="46"/>
  <c r="BQ18" i="46"/>
  <c r="BQ28" i="46"/>
  <c r="BQ19" i="46"/>
  <c r="BS20" i="46"/>
  <c r="BQ23" i="46"/>
  <c r="BQ26" i="46"/>
  <c r="BQ30" i="46"/>
  <c r="BT20" i="46"/>
  <c r="BQ25" i="46"/>
  <c r="BQ24" i="46"/>
  <c r="BQ22" i="46"/>
  <c r="BQ29" i="46"/>
  <c r="BQ21" i="46"/>
  <c r="BR20" i="46"/>
  <c r="BQ31" i="46"/>
  <c r="BR8" i="29"/>
  <c r="BS8" i="29"/>
  <c r="BT8" i="29"/>
  <c r="BQ16" i="26"/>
  <c r="BS16" i="26"/>
  <c r="BR16" i="26"/>
  <c r="BP27" i="6"/>
  <c r="BS5" i="28"/>
  <c r="BR5" i="28"/>
  <c r="BT5" i="28"/>
  <c r="BR5" i="42"/>
  <c r="BS5" i="42"/>
  <c r="BT5" i="42"/>
  <c r="BQ9" i="26"/>
  <c r="BR9" i="26"/>
  <c r="BS9" i="26"/>
  <c r="BO9" i="40"/>
  <c r="BP9" i="40"/>
  <c r="BQ9" i="40"/>
  <c r="BR6" i="24"/>
  <c r="BS6" i="24"/>
  <c r="BT6" i="24"/>
  <c r="BR6" i="38"/>
  <c r="BT6" i="38"/>
  <c r="BS6" i="38"/>
  <c r="BQ10" i="23"/>
  <c r="BS10" i="23"/>
  <c r="BR10" i="23"/>
  <c r="BR10" i="35"/>
  <c r="BS10" i="35"/>
  <c r="BT10" i="35"/>
  <c r="BR7" i="16"/>
  <c r="BS7" i="16"/>
  <c r="BT7" i="16"/>
  <c r="BQ7" i="34"/>
  <c r="BS7" i="34"/>
  <c r="BR7" i="34"/>
  <c r="BT19" i="15"/>
  <c r="BQ27" i="15"/>
  <c r="BQ26" i="15"/>
  <c r="BQ25" i="15"/>
  <c r="BQ24" i="15"/>
  <c r="BQ20" i="15"/>
  <c r="BQ14" i="15"/>
  <c r="BQ22" i="15"/>
  <c r="BS19" i="15"/>
  <c r="BQ21" i="15"/>
  <c r="BQ30" i="15"/>
  <c r="BQ13" i="15"/>
  <c r="BQ17" i="15"/>
  <c r="BQ11" i="15"/>
  <c r="BQ28" i="15"/>
  <c r="BQ23" i="15"/>
  <c r="BR19" i="15"/>
  <c r="BQ18" i="15"/>
  <c r="BQ29" i="15"/>
  <c r="BQ29" i="33"/>
  <c r="BQ28" i="33"/>
  <c r="BQ27" i="33"/>
  <c r="BQ23" i="33"/>
  <c r="BQ25" i="33"/>
  <c r="BT19" i="33"/>
  <c r="BR19" i="33"/>
  <c r="BQ22" i="33"/>
  <c r="BQ30" i="33"/>
  <c r="BQ11" i="33"/>
  <c r="BQ18" i="33"/>
  <c r="BQ14" i="33"/>
  <c r="BQ13" i="33"/>
  <c r="BQ21" i="33"/>
  <c r="BQ26" i="33"/>
  <c r="BQ20" i="33"/>
  <c r="BQ24" i="33"/>
  <c r="BS19" i="33"/>
  <c r="BQ17" i="33"/>
  <c r="BR8" i="13"/>
  <c r="BS8" i="13"/>
  <c r="BT8" i="13"/>
  <c r="BQ8" i="30"/>
  <c r="BR8" i="30"/>
  <c r="BS8" i="30"/>
  <c r="BR8" i="46"/>
  <c r="BT8" i="46"/>
  <c r="BS8" i="46"/>
  <c r="BR16" i="28"/>
  <c r="BS16" i="28"/>
  <c r="BT16" i="28"/>
  <c r="BR16" i="42"/>
  <c r="BT16" i="42"/>
  <c r="BS16" i="42"/>
  <c r="BQ15" i="26"/>
  <c r="BR15" i="26"/>
  <c r="BS15" i="26"/>
  <c r="BO15" i="40"/>
  <c r="BP15" i="40"/>
  <c r="BQ15" i="40"/>
  <c r="BR5" i="24"/>
  <c r="BS5" i="24"/>
  <c r="BT5" i="24"/>
  <c r="BS5" i="38"/>
  <c r="BR5" i="38"/>
  <c r="BT5" i="38"/>
  <c r="BR9" i="35"/>
  <c r="BS9" i="35"/>
  <c r="BT9" i="35"/>
  <c r="BS6" i="34"/>
  <c r="BQ6" i="34"/>
  <c r="BR6" i="34"/>
  <c r="BR7" i="13"/>
  <c r="BS7" i="13"/>
  <c r="BT7" i="13"/>
  <c r="BR7" i="46"/>
  <c r="BS7" i="46"/>
  <c r="BT7" i="46"/>
  <c r="BQ25" i="29"/>
  <c r="BQ11" i="29"/>
  <c r="BQ20" i="29"/>
  <c r="BQ14" i="29"/>
  <c r="BQ29" i="29"/>
  <c r="BR19" i="29"/>
  <c r="BQ24" i="29"/>
  <c r="BQ22" i="29"/>
  <c r="BQ27" i="29"/>
  <c r="BQ28" i="29"/>
  <c r="BQ21" i="29"/>
  <c r="BQ13" i="29"/>
  <c r="BS19" i="29"/>
  <c r="BQ23" i="29"/>
  <c r="BQ26" i="29"/>
  <c r="BQ30" i="29"/>
  <c r="BQ18" i="29"/>
  <c r="BQ17" i="29"/>
  <c r="BT19" i="29"/>
  <c r="BP17" i="43"/>
  <c r="BP25" i="43"/>
  <c r="BP18" i="43"/>
  <c r="BP28" i="43"/>
  <c r="BP27" i="43"/>
  <c r="BP26" i="43"/>
  <c r="BP24" i="43"/>
  <c r="BP22" i="43"/>
  <c r="BS19" i="43"/>
  <c r="BQ19" i="43"/>
  <c r="BP30" i="43"/>
  <c r="BP13" i="43"/>
  <c r="BP23" i="43"/>
  <c r="BP29" i="43"/>
  <c r="BP14" i="43"/>
  <c r="BR19" i="43"/>
  <c r="BP20" i="43"/>
  <c r="BP21" i="43"/>
  <c r="BP11" i="43"/>
  <c r="BR8" i="28"/>
  <c r="BS8" i="28"/>
  <c r="BT8" i="28"/>
  <c r="BR8" i="42"/>
  <c r="BT8" i="42"/>
  <c r="BS8" i="42"/>
  <c r="BR16" i="24"/>
  <c r="BS16" i="24"/>
  <c r="BT16" i="24"/>
  <c r="BR16" i="38"/>
  <c r="BT16" i="38"/>
  <c r="BS16" i="38"/>
  <c r="BR15" i="35"/>
  <c r="BT15" i="35"/>
  <c r="BS15" i="35"/>
  <c r="BQ5" i="26"/>
  <c r="BR5" i="26"/>
  <c r="BS5" i="26"/>
  <c r="BP23" i="6"/>
  <c r="BR5" i="29"/>
  <c r="BS5" i="29"/>
  <c r="BT5" i="29"/>
  <c r="BQ5" i="43"/>
  <c r="BR5" i="43"/>
  <c r="BS5" i="43"/>
  <c r="BR9" i="28"/>
  <c r="BS9" i="28"/>
  <c r="BT9" i="28"/>
  <c r="BR9" i="42"/>
  <c r="BT9" i="42"/>
  <c r="BS9" i="42"/>
  <c r="BQ6" i="26"/>
  <c r="BS6" i="26"/>
  <c r="BR6" i="26"/>
  <c r="BO6" i="40"/>
  <c r="BQ6" i="40"/>
  <c r="BP6" i="40"/>
  <c r="BR10" i="24"/>
  <c r="BS10" i="24"/>
  <c r="BT10" i="24"/>
  <c r="BR10" i="38"/>
  <c r="BS10" i="38"/>
  <c r="BT10" i="38"/>
  <c r="BQ7" i="23"/>
  <c r="BS7" i="23"/>
  <c r="BR7" i="23"/>
  <c r="BR7" i="35"/>
  <c r="BS7" i="35"/>
  <c r="BT7" i="35"/>
  <c r="BQ24" i="16"/>
  <c r="BQ11" i="16"/>
  <c r="BQ13" i="16"/>
  <c r="BQ27" i="16"/>
  <c r="BQ14" i="16"/>
  <c r="BQ29" i="16"/>
  <c r="BQ20" i="16"/>
  <c r="BQ17" i="16"/>
  <c r="BQ25" i="16"/>
  <c r="BQ18" i="16"/>
  <c r="BQ22" i="16"/>
  <c r="BQ28" i="16"/>
  <c r="BQ23" i="16"/>
  <c r="BR19" i="16"/>
  <c r="BQ30" i="16"/>
  <c r="BS19" i="16"/>
  <c r="BQ26" i="16"/>
  <c r="BQ21" i="16"/>
  <c r="BT19" i="16"/>
  <c r="BP29" i="34"/>
  <c r="BP14" i="34"/>
  <c r="BQ19" i="34"/>
  <c r="BP23" i="34"/>
  <c r="BP22" i="34"/>
  <c r="BP13" i="34"/>
  <c r="BP20" i="34"/>
  <c r="BR19" i="34"/>
  <c r="BP21" i="34"/>
  <c r="BP11" i="34"/>
  <c r="BP26" i="34"/>
  <c r="BP25" i="34"/>
  <c r="BP18" i="34"/>
  <c r="BS19" i="34"/>
  <c r="BP28" i="34"/>
  <c r="BP24" i="34"/>
  <c r="BP27" i="34"/>
  <c r="BP17" i="34"/>
  <c r="BP30" i="34"/>
  <c r="BR8" i="15"/>
  <c r="BT8" i="15"/>
  <c r="BS8" i="15"/>
  <c r="BR8" i="33"/>
  <c r="BT8" i="33"/>
  <c r="BS8" i="33"/>
  <c r="BR16" i="29"/>
  <c r="BS16" i="29"/>
  <c r="BT16" i="29"/>
  <c r="BQ16" i="43"/>
  <c r="BS16" i="43"/>
  <c r="BR16" i="43"/>
  <c r="BS15" i="28"/>
  <c r="BR15" i="28"/>
  <c r="BT15" i="28"/>
  <c r="BR15" i="42"/>
  <c r="BT15" i="42"/>
  <c r="BS15" i="42"/>
  <c r="BR15" i="29"/>
  <c r="BS15" i="29"/>
  <c r="BT15" i="29"/>
  <c r="BQ15" i="43"/>
  <c r="BS15" i="43"/>
  <c r="BR15" i="43"/>
  <c r="BR5" i="13"/>
  <c r="BS5" i="13"/>
  <c r="BT5" i="13"/>
  <c r="BQ5" i="30"/>
  <c r="BR5" i="30"/>
  <c r="BS5" i="30"/>
  <c r="BR5" i="46"/>
  <c r="BS5" i="46"/>
  <c r="BT5" i="46"/>
  <c r="BR9" i="29"/>
  <c r="BS9" i="29"/>
  <c r="BT9" i="29"/>
  <c r="BS9" i="43"/>
  <c r="BR9" i="43"/>
  <c r="BQ9" i="43"/>
  <c r="BR6" i="28"/>
  <c r="BS6" i="28"/>
  <c r="BT6" i="28"/>
  <c r="BR6" i="42"/>
  <c r="BT6" i="42"/>
  <c r="BS6" i="42"/>
  <c r="BQ10" i="26"/>
  <c r="BS10" i="26"/>
  <c r="BR10" i="26"/>
  <c r="BO10" i="40"/>
  <c r="BQ10" i="40"/>
  <c r="BP10" i="40"/>
  <c r="BS7" i="24"/>
  <c r="BR7" i="24"/>
  <c r="BT7" i="24"/>
  <c r="BR7" i="38"/>
  <c r="BS7" i="38"/>
  <c r="BT7" i="38"/>
  <c r="BP26" i="23"/>
  <c r="BP28" i="23"/>
  <c r="BP20" i="23"/>
  <c r="BR19" i="23"/>
  <c r="BP30" i="23"/>
  <c r="BP21" i="23"/>
  <c r="BP27" i="23"/>
  <c r="BP23" i="23"/>
  <c r="BS19" i="23"/>
  <c r="BP24" i="23"/>
  <c r="BP17" i="23"/>
  <c r="BP29" i="23"/>
  <c r="BQ19" i="23"/>
  <c r="BP14" i="23"/>
  <c r="BP18" i="23"/>
  <c r="BP13" i="23"/>
  <c r="BP11" i="23"/>
  <c r="BP25" i="23"/>
  <c r="BP22" i="23"/>
  <c r="BQ28" i="35"/>
  <c r="BQ14" i="35"/>
  <c r="BQ13" i="35"/>
  <c r="BQ29" i="35"/>
  <c r="BQ11" i="35"/>
  <c r="BQ18" i="35"/>
  <c r="BQ25" i="35"/>
  <c r="BQ17" i="35"/>
  <c r="BQ30" i="35"/>
  <c r="BR19" i="35"/>
  <c r="BQ27" i="35"/>
  <c r="BQ23" i="35"/>
  <c r="BQ26" i="35"/>
  <c r="BQ20" i="35"/>
  <c r="BQ22" i="35"/>
  <c r="BT19" i="35"/>
  <c r="BQ24" i="35"/>
  <c r="BS19" i="35"/>
  <c r="BQ21" i="35"/>
  <c r="BR8" i="16"/>
  <c r="BS8" i="16"/>
  <c r="BT8" i="16"/>
  <c r="BQ8" i="34"/>
  <c r="BR8" i="34"/>
  <c r="BS8" i="34"/>
  <c r="BR16" i="13"/>
  <c r="BS16" i="13"/>
  <c r="BT16" i="13"/>
  <c r="BQ16" i="30"/>
  <c r="BS16" i="30"/>
  <c r="BR16" i="30"/>
  <c r="BR17" i="46"/>
  <c r="BT17" i="46"/>
  <c r="BS17" i="46"/>
  <c r="BP21" i="6"/>
  <c r="BT5" i="9"/>
  <c r="BS5" i="9"/>
  <c r="BR5" i="15"/>
  <c r="BS5" i="15"/>
  <c r="BT5" i="15"/>
  <c r="BR5" i="33"/>
  <c r="BS5" i="33"/>
  <c r="BT5" i="33"/>
  <c r="BR9" i="13"/>
  <c r="BS9" i="13"/>
  <c r="BT9" i="13"/>
  <c r="BQ9" i="30"/>
  <c r="BR9" i="30"/>
  <c r="BS9" i="30"/>
  <c r="BR9" i="46"/>
  <c r="BS9" i="46"/>
  <c r="BT9" i="46"/>
  <c r="BR6" i="29"/>
  <c r="BS6" i="29"/>
  <c r="BT6" i="29"/>
  <c r="BR6" i="43"/>
  <c r="BS6" i="43"/>
  <c r="BQ6" i="43"/>
  <c r="BR10" i="28"/>
  <c r="BS10" i="28"/>
  <c r="BT10" i="28"/>
  <c r="BR10" i="42"/>
  <c r="BS10" i="42"/>
  <c r="BT10" i="42"/>
  <c r="BQ7" i="26"/>
  <c r="BS7" i="26"/>
  <c r="BR7" i="26"/>
  <c r="BO7" i="40"/>
  <c r="BP7" i="40"/>
  <c r="BQ7" i="40"/>
  <c r="BQ29" i="24"/>
  <c r="BQ18" i="24"/>
  <c r="BQ14" i="24"/>
  <c r="BQ28" i="24"/>
  <c r="BQ21" i="24"/>
  <c r="BQ17" i="24"/>
  <c r="BQ25" i="24"/>
  <c r="BQ26" i="24"/>
  <c r="BQ22" i="24"/>
  <c r="BS19" i="24"/>
  <c r="BQ24" i="24"/>
  <c r="BQ23" i="24"/>
  <c r="BQ11" i="24"/>
  <c r="BQ30" i="24"/>
  <c r="BQ13" i="24"/>
  <c r="BQ20" i="24"/>
  <c r="BR19" i="24"/>
  <c r="BQ27" i="24"/>
  <c r="BT19" i="24"/>
  <c r="BQ29" i="38"/>
  <c r="BQ22" i="38"/>
  <c r="BQ21" i="38"/>
  <c r="BQ27" i="38"/>
  <c r="BQ20" i="38"/>
  <c r="BQ14" i="38"/>
  <c r="BQ26" i="38"/>
  <c r="BQ25" i="38"/>
  <c r="BQ13" i="38"/>
  <c r="BQ18" i="38"/>
  <c r="BS19" i="38"/>
  <c r="BT19" i="38"/>
  <c r="BQ30" i="38"/>
  <c r="BQ23" i="38"/>
  <c r="BQ28" i="38"/>
  <c r="BQ24" i="38"/>
  <c r="BR19" i="38"/>
  <c r="BQ17" i="38"/>
  <c r="BQ11" i="38"/>
  <c r="BQ8" i="23"/>
  <c r="BR8" i="23"/>
  <c r="BS8" i="23"/>
  <c r="BR8" i="35"/>
  <c r="BT8" i="35"/>
  <c r="BS8" i="35"/>
  <c r="BR16" i="15"/>
  <c r="BT16" i="15"/>
  <c r="BS16" i="15"/>
  <c r="BR16" i="33"/>
  <c r="BT16" i="33"/>
  <c r="BS16" i="33"/>
  <c r="BR15" i="13"/>
  <c r="BS15" i="13"/>
  <c r="BT15" i="13"/>
  <c r="BR15" i="30"/>
  <c r="BQ15" i="30"/>
  <c r="BS15" i="30"/>
  <c r="BR15" i="46"/>
  <c r="BT15" i="46"/>
  <c r="BS15" i="46"/>
  <c r="BR15" i="12"/>
  <c r="BT15" i="12"/>
  <c r="BS15" i="12"/>
  <c r="BR16" i="12"/>
  <c r="BS16" i="12"/>
  <c r="BT16" i="12"/>
  <c r="BT7" i="10"/>
  <c r="BS7" i="10"/>
  <c r="BR6" i="12"/>
  <c r="BS6" i="12"/>
  <c r="BT6" i="12"/>
  <c r="BQ20" i="12"/>
  <c r="BQ14" i="12"/>
  <c r="BQ23" i="12"/>
  <c r="BQ13" i="12"/>
  <c r="BQ21" i="12"/>
  <c r="BQ11" i="12"/>
  <c r="BQ17" i="12"/>
  <c r="BQ24" i="12"/>
  <c r="BQ27" i="12"/>
  <c r="BT19" i="12"/>
  <c r="BQ22" i="12"/>
  <c r="BS19" i="12"/>
  <c r="BQ25" i="12"/>
  <c r="BR19" i="12"/>
  <c r="BQ18" i="12"/>
  <c r="BQ26" i="12"/>
  <c r="BQ29" i="12"/>
  <c r="BR5" i="12"/>
  <c r="BS5" i="12"/>
  <c r="BT5" i="12"/>
  <c r="BT15" i="9"/>
  <c r="BP18" i="6"/>
  <c r="BP11" i="6"/>
  <c r="BS16" i="9"/>
  <c r="BS15" i="9"/>
  <c r="BR10" i="12"/>
  <c r="BT10" i="12"/>
  <c r="BS10" i="12"/>
  <c r="BR8" i="12"/>
  <c r="BT8" i="12"/>
  <c r="BS8" i="12"/>
  <c r="BR9" i="12"/>
  <c r="BS9" i="12"/>
  <c r="BT9" i="12"/>
  <c r="BP26" i="6"/>
  <c r="BT16" i="9"/>
  <c r="BT7" i="12"/>
  <c r="BR7" i="12"/>
  <c r="BS7" i="12"/>
  <c r="BT8" i="9"/>
  <c r="AI32" i="10"/>
  <c r="AI34" i="10" s="1"/>
  <c r="BS5" i="10"/>
  <c r="BT10" i="9"/>
  <c r="BS16" i="10"/>
  <c r="BS10" i="9"/>
  <c r="BT19" i="10"/>
  <c r="BP12" i="10"/>
  <c r="BT12" i="10" s="1"/>
  <c r="BP6" i="10"/>
  <c r="BT6" i="10" s="1"/>
  <c r="BP25" i="10"/>
  <c r="L44" i="7"/>
  <c r="BQ23" i="9"/>
  <c r="BS23" i="9" s="1"/>
  <c r="BS8" i="9"/>
  <c r="BT12" i="9"/>
  <c r="BT7" i="9"/>
  <c r="BR19" i="10"/>
  <c r="BS7" i="9"/>
  <c r="BT9" i="9"/>
  <c r="BT5" i="10"/>
  <c r="BS9" i="10"/>
  <c r="BQ24" i="10"/>
  <c r="BT24" i="10" s="1"/>
  <c r="BQ22" i="10"/>
  <c r="BR22" i="10" s="1"/>
  <c r="BS15" i="10"/>
  <c r="BQ29" i="10"/>
  <c r="BR29" i="10" s="1"/>
  <c r="BS19" i="10"/>
  <c r="BT15" i="10"/>
  <c r="BS6" i="10"/>
  <c r="BQ22" i="9"/>
  <c r="BR22" i="9" s="1"/>
  <c r="BQ21" i="10"/>
  <c r="BR21" i="10" s="1"/>
  <c r="BQ25" i="10"/>
  <c r="BR25" i="10" s="1"/>
  <c r="BQ13" i="10"/>
  <c r="BR13" i="10" s="1"/>
  <c r="BQ14" i="9"/>
  <c r="BR14" i="9" s="1"/>
  <c r="BQ18" i="9"/>
  <c r="BR18" i="9" s="1"/>
  <c r="BQ26" i="10"/>
  <c r="BS26" i="10" s="1"/>
  <c r="BQ14" i="10"/>
  <c r="BR14" i="10" s="1"/>
  <c r="BT16" i="10"/>
  <c r="BQ17" i="9"/>
  <c r="BR17" i="9" s="1"/>
  <c r="BQ27" i="9"/>
  <c r="BR27" i="9" s="1"/>
  <c r="BQ23" i="10"/>
  <c r="BT23" i="10" s="1"/>
  <c r="BQ20" i="10"/>
  <c r="BT20" i="10" s="1"/>
  <c r="BQ11" i="10"/>
  <c r="BT11" i="10" s="1"/>
  <c r="BQ21" i="9"/>
  <c r="BR21" i="9" s="1"/>
  <c r="BS19" i="9"/>
  <c r="BS6" i="9"/>
  <c r="BT9" i="10"/>
  <c r="BQ25" i="9"/>
  <c r="BT25" i="9" s="1"/>
  <c r="BQ26" i="9"/>
  <c r="BR26" i="9" s="1"/>
  <c r="BR19" i="9"/>
  <c r="BQ13" i="9"/>
  <c r="BQ11" i="9"/>
  <c r="BQ28" i="9"/>
  <c r="BR28" i="9" s="1"/>
  <c r="BQ20" i="9"/>
  <c r="BS20" i="9" s="1"/>
  <c r="BQ24" i="9"/>
  <c r="BS24" i="9" s="1"/>
  <c r="BS9" i="9"/>
  <c r="BQ27" i="10"/>
  <c r="BQ18" i="10"/>
  <c r="BQ17" i="10"/>
  <c r="AI32" i="9"/>
  <c r="AI33" i="9"/>
  <c r="AI31" i="9"/>
  <c r="BP17" i="9"/>
  <c r="BP6" i="9"/>
  <c r="BT6" i="9" s="1"/>
  <c r="BP23" i="9"/>
  <c r="Y6" i="6"/>
  <c r="AH5" i="6"/>
  <c r="X6" i="6"/>
  <c r="W6" i="6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1" i="8"/>
  <c r="B2" i="8"/>
  <c r="A2" i="8"/>
  <c r="V6" i="6"/>
  <c r="J41" i="6"/>
  <c r="K41" i="6" s="1"/>
  <c r="L41" i="6" s="1"/>
  <c r="M41" i="6" s="1"/>
  <c r="N41" i="6" s="1"/>
  <c r="O41" i="6" s="1"/>
  <c r="P41" i="6" s="1"/>
  <c r="Q41" i="6" s="1"/>
  <c r="R41" i="6" s="1"/>
  <c r="S41" i="6" s="1"/>
  <c r="T41" i="6" s="1"/>
  <c r="U41" i="6" s="1"/>
  <c r="V41" i="6" s="1"/>
  <c r="J42" i="6"/>
  <c r="K42" i="6" s="1"/>
  <c r="L42" i="6" s="1"/>
  <c r="M42" i="6" s="1"/>
  <c r="N42" i="6" s="1"/>
  <c r="O42" i="6" s="1"/>
  <c r="P42" i="6" s="1"/>
  <c r="Q42" i="6" s="1"/>
  <c r="R42" i="6" s="1"/>
  <c r="S42" i="6" s="1"/>
  <c r="T42" i="6" s="1"/>
  <c r="U42" i="6" s="1"/>
  <c r="J43" i="6"/>
  <c r="K43" i="6" s="1"/>
  <c r="L43" i="6" s="1"/>
  <c r="M43" i="6" s="1"/>
  <c r="N43" i="6" s="1"/>
  <c r="O43" i="6" s="1"/>
  <c r="P43" i="6" s="1"/>
  <c r="Q43" i="6" s="1"/>
  <c r="R43" i="6" s="1"/>
  <c r="S43" i="6" s="1"/>
  <c r="T43" i="6" s="1"/>
  <c r="U43" i="6" s="1"/>
  <c r="V43" i="6" s="1"/>
  <c r="J44" i="6"/>
  <c r="K44" i="6" s="1"/>
  <c r="L44" i="6" s="1"/>
  <c r="M44" i="6" s="1"/>
  <c r="N44" i="6" s="1"/>
  <c r="O44" i="6" s="1"/>
  <c r="P44" i="6" s="1"/>
  <c r="Q44" i="6" s="1"/>
  <c r="R44" i="6" s="1"/>
  <c r="S44" i="6" s="1"/>
  <c r="T44" i="6" s="1"/>
  <c r="U44" i="6" s="1"/>
  <c r="V44" i="6" s="1"/>
  <c r="J45" i="6"/>
  <c r="K45" i="6" s="1"/>
  <c r="L45" i="6" s="1"/>
  <c r="M45" i="6" s="1"/>
  <c r="N45" i="6" s="1"/>
  <c r="O45" i="6" s="1"/>
  <c r="P45" i="6" s="1"/>
  <c r="Q45" i="6" s="1"/>
  <c r="R45" i="6" s="1"/>
  <c r="S45" i="6" s="1"/>
  <c r="T45" i="6" s="1"/>
  <c r="U45" i="6" s="1"/>
  <c r="V45" i="6" s="1"/>
  <c r="J46" i="6"/>
  <c r="K46" i="6"/>
  <c r="L46" i="6" s="1"/>
  <c r="M46" i="6" s="1"/>
  <c r="N46" i="6" s="1"/>
  <c r="O46" i="6" s="1"/>
  <c r="P46" i="6" s="1"/>
  <c r="Q46" i="6" s="1"/>
  <c r="R46" i="6" s="1"/>
  <c r="S46" i="6" s="1"/>
  <c r="T46" i="6" s="1"/>
  <c r="U46" i="6" s="1"/>
  <c r="V46" i="6" s="1"/>
  <c r="J47" i="6"/>
  <c r="K47" i="6"/>
  <c r="L47" i="6" s="1"/>
  <c r="M47" i="6" s="1"/>
  <c r="N47" i="6" s="1"/>
  <c r="O47" i="6" s="1"/>
  <c r="P47" i="6" s="1"/>
  <c r="Q47" i="6" s="1"/>
  <c r="R47" i="6" s="1"/>
  <c r="S47" i="6" s="1"/>
  <c r="T47" i="6" s="1"/>
  <c r="U47" i="6" s="1"/>
  <c r="V47" i="6" s="1"/>
  <c r="J48" i="6"/>
  <c r="K48" i="6"/>
  <c r="L48" i="6" s="1"/>
  <c r="M48" i="6" s="1"/>
  <c r="N48" i="6" s="1"/>
  <c r="O48" i="6" s="1"/>
  <c r="P48" i="6" s="1"/>
  <c r="Q48" i="6" s="1"/>
  <c r="R48" i="6" s="1"/>
  <c r="S48" i="6" s="1"/>
  <c r="T48" i="6" s="1"/>
  <c r="U48" i="6" s="1"/>
  <c r="V48" i="6" s="1"/>
  <c r="J49" i="6"/>
  <c r="K49" i="6" s="1"/>
  <c r="L49" i="6" s="1"/>
  <c r="M49" i="6" s="1"/>
  <c r="N49" i="6" s="1"/>
  <c r="O49" i="6" s="1"/>
  <c r="P49" i="6" s="1"/>
  <c r="Q49" i="6" s="1"/>
  <c r="R49" i="6" s="1"/>
  <c r="S49" i="6" s="1"/>
  <c r="T49" i="6" s="1"/>
  <c r="U49" i="6" s="1"/>
  <c r="V49" i="6" s="1"/>
  <c r="J50" i="6"/>
  <c r="K50" i="6" s="1"/>
  <c r="L50" i="6" s="1"/>
  <c r="M50" i="6" s="1"/>
  <c r="N50" i="6" s="1"/>
  <c r="O50" i="6" s="1"/>
  <c r="P50" i="6" s="1"/>
  <c r="Q50" i="6" s="1"/>
  <c r="R50" i="6" s="1"/>
  <c r="S50" i="6" s="1"/>
  <c r="T50" i="6" s="1"/>
  <c r="U50" i="6" s="1"/>
  <c r="V50" i="6" s="1"/>
  <c r="J51" i="6"/>
  <c r="K51" i="6" s="1"/>
  <c r="L51" i="6" s="1"/>
  <c r="M51" i="6" s="1"/>
  <c r="N51" i="6" s="1"/>
  <c r="O51" i="6" s="1"/>
  <c r="P51" i="6" s="1"/>
  <c r="Q51" i="6" s="1"/>
  <c r="R51" i="6" s="1"/>
  <c r="S51" i="6" s="1"/>
  <c r="T51" i="6" s="1"/>
  <c r="U51" i="6" s="1"/>
  <c r="V51" i="6" s="1"/>
  <c r="J52" i="6"/>
  <c r="K52" i="6" s="1"/>
  <c r="L52" i="6" s="1"/>
  <c r="M52" i="6" s="1"/>
  <c r="N52" i="6" s="1"/>
  <c r="O52" i="6" s="1"/>
  <c r="P52" i="6" s="1"/>
  <c r="Q52" i="6" s="1"/>
  <c r="R52" i="6" s="1"/>
  <c r="S52" i="6" s="1"/>
  <c r="T52" i="6" s="1"/>
  <c r="U52" i="6" s="1"/>
  <c r="V52" i="6" s="1"/>
  <c r="J53" i="6"/>
  <c r="K53" i="6" s="1"/>
  <c r="L53" i="6" s="1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J54" i="6"/>
  <c r="K54" i="6" s="1"/>
  <c r="L54" i="6" s="1"/>
  <c r="M54" i="6" s="1"/>
  <c r="N54" i="6" s="1"/>
  <c r="O54" i="6" s="1"/>
  <c r="P54" i="6" s="1"/>
  <c r="Q54" i="6" s="1"/>
  <c r="R54" i="6" s="1"/>
  <c r="S54" i="6" s="1"/>
  <c r="T54" i="6" s="1"/>
  <c r="U54" i="6" s="1"/>
  <c r="V54" i="6" s="1"/>
  <c r="J55" i="6"/>
  <c r="K55" i="6"/>
  <c r="L55" i="6" s="1"/>
  <c r="M55" i="6" s="1"/>
  <c r="N55" i="6" s="1"/>
  <c r="O55" i="6" s="1"/>
  <c r="P55" i="6" s="1"/>
  <c r="Q55" i="6" s="1"/>
  <c r="R55" i="6" s="1"/>
  <c r="S55" i="6" s="1"/>
  <c r="T55" i="6" s="1"/>
  <c r="U55" i="6" s="1"/>
  <c r="V55" i="6" s="1"/>
  <c r="J56" i="6"/>
  <c r="K56" i="6"/>
  <c r="L56" i="6" s="1"/>
  <c r="M56" i="6" s="1"/>
  <c r="N56" i="6" s="1"/>
  <c r="O56" i="6" s="1"/>
  <c r="P56" i="6" s="1"/>
  <c r="Q56" i="6" s="1"/>
  <c r="R56" i="6" s="1"/>
  <c r="S56" i="6" s="1"/>
  <c r="T56" i="6" s="1"/>
  <c r="U56" i="6" s="1"/>
  <c r="V56" i="6" s="1"/>
  <c r="J57" i="6"/>
  <c r="K57" i="6"/>
  <c r="L57" i="6" s="1"/>
  <c r="M57" i="6" s="1"/>
  <c r="N57" i="6" s="1"/>
  <c r="O57" i="6" s="1"/>
  <c r="P57" i="6" s="1"/>
  <c r="Q57" i="6" s="1"/>
  <c r="R57" i="6" s="1"/>
  <c r="S57" i="6" s="1"/>
  <c r="T57" i="6" s="1"/>
  <c r="U57" i="6" s="1"/>
  <c r="V57" i="6" s="1"/>
  <c r="J58" i="6"/>
  <c r="K58" i="6"/>
  <c r="L58" i="6"/>
  <c r="M58" i="6" s="1"/>
  <c r="N58" i="6" s="1"/>
  <c r="O58" i="6" s="1"/>
  <c r="P58" i="6" s="1"/>
  <c r="Q58" i="6" s="1"/>
  <c r="R58" i="6" s="1"/>
  <c r="S58" i="6" s="1"/>
  <c r="T58" i="6" s="1"/>
  <c r="U58" i="6" s="1"/>
  <c r="V58" i="6" s="1"/>
  <c r="J59" i="6"/>
  <c r="K59" i="6"/>
  <c r="L59" i="6"/>
  <c r="M59" i="6" s="1"/>
  <c r="N59" i="6" s="1"/>
  <c r="O59" i="6" s="1"/>
  <c r="P59" i="6" s="1"/>
  <c r="Q59" i="6" s="1"/>
  <c r="R59" i="6" s="1"/>
  <c r="S59" i="6" s="1"/>
  <c r="T59" i="6" s="1"/>
  <c r="U59" i="6" s="1"/>
  <c r="V59" i="6" s="1"/>
  <c r="J60" i="6"/>
  <c r="K60" i="6" s="1"/>
  <c r="L60" i="6" s="1"/>
  <c r="M60" i="6" s="1"/>
  <c r="N60" i="6" s="1"/>
  <c r="O60" i="6" s="1"/>
  <c r="P60" i="6" s="1"/>
  <c r="Q60" i="6" s="1"/>
  <c r="R60" i="6" s="1"/>
  <c r="S60" i="6" s="1"/>
  <c r="T60" i="6" s="1"/>
  <c r="U60" i="6" s="1"/>
  <c r="V60" i="6" s="1"/>
  <c r="J61" i="6"/>
  <c r="K61" i="6" s="1"/>
  <c r="L61" i="6" s="1"/>
  <c r="M61" i="6" s="1"/>
  <c r="N61" i="6" s="1"/>
  <c r="O61" i="6" s="1"/>
  <c r="P61" i="6" s="1"/>
  <c r="Q61" i="6" s="1"/>
  <c r="R61" i="6" s="1"/>
  <c r="S61" i="6" s="1"/>
  <c r="T61" i="6" s="1"/>
  <c r="U61" i="6" s="1"/>
  <c r="V61" i="6" s="1"/>
  <c r="J62" i="6"/>
  <c r="K62" i="6" s="1"/>
  <c r="L62" i="6" s="1"/>
  <c r="M62" i="6" s="1"/>
  <c r="N62" i="6" s="1"/>
  <c r="O62" i="6" s="1"/>
  <c r="P62" i="6" s="1"/>
  <c r="Q62" i="6" s="1"/>
  <c r="R62" i="6" s="1"/>
  <c r="S62" i="6" s="1"/>
  <c r="T62" i="6" s="1"/>
  <c r="U62" i="6" s="1"/>
  <c r="V62" i="6" s="1"/>
  <c r="J63" i="6"/>
  <c r="K63" i="6"/>
  <c r="L63" i="6" s="1"/>
  <c r="M63" i="6" s="1"/>
  <c r="N63" i="6" s="1"/>
  <c r="O63" i="6" s="1"/>
  <c r="P63" i="6" s="1"/>
  <c r="Q63" i="6" s="1"/>
  <c r="R63" i="6" s="1"/>
  <c r="S63" i="6" s="1"/>
  <c r="T63" i="6" s="1"/>
  <c r="U63" i="6" s="1"/>
  <c r="V63" i="6" s="1"/>
  <c r="J64" i="6"/>
  <c r="K64" i="6"/>
  <c r="L64" i="6" s="1"/>
  <c r="M64" i="6" s="1"/>
  <c r="N64" i="6" s="1"/>
  <c r="O64" i="6" s="1"/>
  <c r="P64" i="6" s="1"/>
  <c r="Q64" i="6" s="1"/>
  <c r="R64" i="6" s="1"/>
  <c r="S64" i="6" s="1"/>
  <c r="T64" i="6" s="1"/>
  <c r="U64" i="6" s="1"/>
  <c r="V64" i="6" s="1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41" i="6"/>
  <c r="U6" i="6"/>
  <c r="BV5" i="47" l="1"/>
  <c r="BV7" i="47"/>
  <c r="BR28" i="38"/>
  <c r="BS28" i="38"/>
  <c r="BT28" i="38"/>
  <c r="BR26" i="38"/>
  <c r="BT26" i="38"/>
  <c r="BS26" i="38"/>
  <c r="BR27" i="24"/>
  <c r="BT27" i="24"/>
  <c r="BS27" i="24"/>
  <c r="BR18" i="24"/>
  <c r="BS18" i="24"/>
  <c r="BT18" i="24"/>
  <c r="BR17" i="35"/>
  <c r="BS17" i="35"/>
  <c r="BT17" i="35"/>
  <c r="BS22" i="23"/>
  <c r="BR22" i="23"/>
  <c r="BQ22" i="23"/>
  <c r="BQ17" i="23"/>
  <c r="BS17" i="23"/>
  <c r="BR17" i="23"/>
  <c r="BQ20" i="23"/>
  <c r="BR20" i="23"/>
  <c r="BS20" i="23"/>
  <c r="BQ28" i="34"/>
  <c r="BR28" i="34"/>
  <c r="BS28" i="34"/>
  <c r="BS20" i="34"/>
  <c r="BR20" i="34"/>
  <c r="BQ20" i="34"/>
  <c r="BR21" i="16"/>
  <c r="BT21" i="16"/>
  <c r="BS21" i="16"/>
  <c r="BS18" i="16"/>
  <c r="BT18" i="16"/>
  <c r="BR18" i="16"/>
  <c r="BR11" i="16"/>
  <c r="BS11" i="16"/>
  <c r="BT11" i="16"/>
  <c r="BQ29" i="43"/>
  <c r="BS29" i="43"/>
  <c r="BR29" i="43"/>
  <c r="BQ26" i="43"/>
  <c r="BR26" i="43"/>
  <c r="BS26" i="43"/>
  <c r="BS18" i="29"/>
  <c r="BT18" i="29"/>
  <c r="BR18" i="29"/>
  <c r="BS27" i="29"/>
  <c r="BR27" i="29"/>
  <c r="BT27" i="29"/>
  <c r="BS25" i="29"/>
  <c r="BR25" i="29"/>
  <c r="BT25" i="29"/>
  <c r="BT17" i="33"/>
  <c r="BR17" i="33"/>
  <c r="BS17" i="33"/>
  <c r="BT18" i="33"/>
  <c r="BR18" i="33"/>
  <c r="BS18" i="33"/>
  <c r="BT27" i="33"/>
  <c r="BR27" i="33"/>
  <c r="BS27" i="33"/>
  <c r="BS11" i="15"/>
  <c r="BR11" i="15"/>
  <c r="BT11" i="15"/>
  <c r="BR20" i="15"/>
  <c r="BS20" i="15"/>
  <c r="BT20" i="15"/>
  <c r="BR24" i="46"/>
  <c r="BS24" i="46"/>
  <c r="BT24" i="46"/>
  <c r="BT28" i="46"/>
  <c r="BS28" i="46"/>
  <c r="BR28" i="46"/>
  <c r="BR17" i="13"/>
  <c r="BT17" i="13"/>
  <c r="BS17" i="13"/>
  <c r="BT22" i="13"/>
  <c r="BS22" i="13"/>
  <c r="BR22" i="13"/>
  <c r="BS14" i="30"/>
  <c r="BR14" i="30"/>
  <c r="BQ14" i="30"/>
  <c r="BS17" i="30"/>
  <c r="BR17" i="30"/>
  <c r="BQ17" i="30"/>
  <c r="BR25" i="42"/>
  <c r="BS25" i="42"/>
  <c r="BT25" i="42"/>
  <c r="BR22" i="42"/>
  <c r="BT22" i="42"/>
  <c r="BS22" i="42"/>
  <c r="BR21" i="28"/>
  <c r="BS21" i="28"/>
  <c r="BT21" i="28"/>
  <c r="BR17" i="28"/>
  <c r="BT17" i="28"/>
  <c r="BS17" i="28"/>
  <c r="BQ30" i="26"/>
  <c r="BR30" i="26"/>
  <c r="BS30" i="26"/>
  <c r="BQ28" i="26"/>
  <c r="BS28" i="26"/>
  <c r="BR28" i="26"/>
  <c r="BR23" i="38"/>
  <c r="BT23" i="38"/>
  <c r="BS23" i="38"/>
  <c r="BR14" i="38"/>
  <c r="BS14" i="38"/>
  <c r="BT14" i="38"/>
  <c r="BR22" i="24"/>
  <c r="BS22" i="24"/>
  <c r="BT22" i="24"/>
  <c r="BS29" i="24"/>
  <c r="BR29" i="24"/>
  <c r="BT29" i="24"/>
  <c r="BT22" i="35"/>
  <c r="BR22" i="35"/>
  <c r="BS22" i="35"/>
  <c r="BR25" i="35"/>
  <c r="BT25" i="35"/>
  <c r="BS25" i="35"/>
  <c r="BQ25" i="23"/>
  <c r="BR25" i="23"/>
  <c r="BS25" i="23"/>
  <c r="BQ24" i="23"/>
  <c r="BR24" i="23"/>
  <c r="BS24" i="23"/>
  <c r="BR28" i="23"/>
  <c r="BS28" i="23"/>
  <c r="BQ28" i="23"/>
  <c r="BR13" i="34"/>
  <c r="BQ13" i="34"/>
  <c r="BS13" i="34"/>
  <c r="BR26" i="16"/>
  <c r="BS26" i="16"/>
  <c r="BT26" i="16"/>
  <c r="BS25" i="16"/>
  <c r="BR25" i="16"/>
  <c r="BT25" i="16"/>
  <c r="BR24" i="16"/>
  <c r="BS24" i="16"/>
  <c r="BT24" i="16"/>
  <c r="BQ23" i="43"/>
  <c r="BS23" i="43"/>
  <c r="BR23" i="43"/>
  <c r="BQ27" i="43"/>
  <c r="BS27" i="43"/>
  <c r="BR27" i="43"/>
  <c r="BR30" i="29"/>
  <c r="BS30" i="29"/>
  <c r="BT30" i="29"/>
  <c r="BR22" i="29"/>
  <c r="BS22" i="29"/>
  <c r="BT22" i="29"/>
  <c r="BS11" i="33"/>
  <c r="BT11" i="33"/>
  <c r="BR11" i="33"/>
  <c r="BT28" i="33"/>
  <c r="BR28" i="33"/>
  <c r="BS28" i="33"/>
  <c r="BT17" i="15"/>
  <c r="BR17" i="15"/>
  <c r="BS17" i="15"/>
  <c r="BR24" i="15"/>
  <c r="BS24" i="15"/>
  <c r="BT24" i="15"/>
  <c r="BT25" i="46"/>
  <c r="BS25" i="46"/>
  <c r="BR25" i="46"/>
  <c r="BT18" i="46"/>
  <c r="BR18" i="46"/>
  <c r="BS18" i="46"/>
  <c r="BR27" i="13"/>
  <c r="BT27" i="13"/>
  <c r="BS27" i="13"/>
  <c r="BR23" i="13"/>
  <c r="BS23" i="13"/>
  <c r="BT23" i="13"/>
  <c r="BQ11" i="30"/>
  <c r="BS11" i="30"/>
  <c r="BR11" i="30"/>
  <c r="BQ23" i="30"/>
  <c r="BR23" i="30"/>
  <c r="BS23" i="30"/>
  <c r="BR23" i="42"/>
  <c r="BS23" i="42"/>
  <c r="BT23" i="42"/>
  <c r="BR13" i="28"/>
  <c r="BT13" i="28"/>
  <c r="BS13" i="28"/>
  <c r="BR27" i="28"/>
  <c r="BS27" i="28"/>
  <c r="BT27" i="28"/>
  <c r="BR11" i="28"/>
  <c r="BS11" i="28"/>
  <c r="BT11" i="28"/>
  <c r="BO13" i="40"/>
  <c r="BP13" i="40"/>
  <c r="BQ13" i="40"/>
  <c r="BO27" i="40"/>
  <c r="BQ27" i="40"/>
  <c r="BP27" i="40"/>
  <c r="BO29" i="40"/>
  <c r="BP29" i="40"/>
  <c r="BQ29" i="40"/>
  <c r="BQ20" i="26"/>
  <c r="BS20" i="26"/>
  <c r="BR20" i="26"/>
  <c r="BQ27" i="26"/>
  <c r="BS27" i="26"/>
  <c r="BR27" i="26"/>
  <c r="BT30" i="38"/>
  <c r="BR30" i="38"/>
  <c r="BS30" i="38"/>
  <c r="BS20" i="38"/>
  <c r="BR20" i="38"/>
  <c r="BT20" i="38"/>
  <c r="BS20" i="24"/>
  <c r="BR20" i="24"/>
  <c r="BT20" i="24"/>
  <c r="BR26" i="24"/>
  <c r="BS26" i="24"/>
  <c r="BT26" i="24"/>
  <c r="BR20" i="35"/>
  <c r="BT20" i="35"/>
  <c r="BS20" i="35"/>
  <c r="BR18" i="35"/>
  <c r="BS18" i="35"/>
  <c r="BT18" i="35"/>
  <c r="BQ11" i="23"/>
  <c r="BR11" i="23"/>
  <c r="BS11" i="23"/>
  <c r="BR26" i="23"/>
  <c r="BQ26" i="23"/>
  <c r="BS26" i="23"/>
  <c r="BQ18" i="34"/>
  <c r="BS18" i="34"/>
  <c r="BR18" i="34"/>
  <c r="BQ22" i="34"/>
  <c r="BS22" i="34"/>
  <c r="BR22" i="34"/>
  <c r="BS17" i="16"/>
  <c r="BT17" i="16"/>
  <c r="BR17" i="16"/>
  <c r="BQ13" i="43"/>
  <c r="BR13" i="43"/>
  <c r="BS13" i="43"/>
  <c r="BQ28" i="43"/>
  <c r="BS28" i="43"/>
  <c r="BR28" i="43"/>
  <c r="BR26" i="29"/>
  <c r="BT26" i="29"/>
  <c r="BS26" i="29"/>
  <c r="BR24" i="29"/>
  <c r="BT24" i="29"/>
  <c r="BS24" i="29"/>
  <c r="BR24" i="33"/>
  <c r="BS24" i="33"/>
  <c r="BT24" i="33"/>
  <c r="BR30" i="33"/>
  <c r="BT30" i="33"/>
  <c r="BS30" i="33"/>
  <c r="BS29" i="33"/>
  <c r="BR29" i="33"/>
  <c r="BT29" i="33"/>
  <c r="BR13" i="15"/>
  <c r="BT13" i="15"/>
  <c r="BS13" i="15"/>
  <c r="BS25" i="15"/>
  <c r="BR25" i="15"/>
  <c r="BT25" i="15"/>
  <c r="BR11" i="46"/>
  <c r="BS11" i="46"/>
  <c r="BT11" i="46"/>
  <c r="BR26" i="13"/>
  <c r="BT26" i="13"/>
  <c r="BS26" i="13"/>
  <c r="BR13" i="13"/>
  <c r="BT13" i="13"/>
  <c r="BS13" i="13"/>
  <c r="BQ27" i="30"/>
  <c r="BS27" i="30"/>
  <c r="BR27" i="30"/>
  <c r="BR14" i="42"/>
  <c r="BS14" i="42"/>
  <c r="BT14" i="42"/>
  <c r="BR11" i="42"/>
  <c r="BT11" i="42"/>
  <c r="BS11" i="42"/>
  <c r="BR29" i="28"/>
  <c r="BS29" i="28"/>
  <c r="BT29" i="28"/>
  <c r="BR24" i="28"/>
  <c r="BS24" i="28"/>
  <c r="BT24" i="28"/>
  <c r="BQ30" i="40"/>
  <c r="BO30" i="40"/>
  <c r="BP30" i="40"/>
  <c r="BO18" i="40"/>
  <c r="BP18" i="40"/>
  <c r="BQ18" i="40"/>
  <c r="BO14" i="40"/>
  <c r="BQ14" i="40"/>
  <c r="BP14" i="40"/>
  <c r="BS29" i="26"/>
  <c r="BQ29" i="26"/>
  <c r="BR29" i="26"/>
  <c r="BS23" i="26"/>
  <c r="BQ23" i="26"/>
  <c r="BR23" i="26"/>
  <c r="BO28" i="40"/>
  <c r="BQ28" i="40"/>
  <c r="BP28" i="40"/>
  <c r="BQ11" i="40"/>
  <c r="BP11" i="40"/>
  <c r="BO11" i="40"/>
  <c r="BO26" i="40"/>
  <c r="BP26" i="40"/>
  <c r="BQ26" i="40"/>
  <c r="BQ25" i="26"/>
  <c r="BS25" i="26"/>
  <c r="BR25" i="26"/>
  <c r="BQ11" i="26"/>
  <c r="BR11" i="26"/>
  <c r="BS11" i="26"/>
  <c r="BS13" i="23"/>
  <c r="BQ13" i="23"/>
  <c r="BR13" i="23"/>
  <c r="BQ25" i="34"/>
  <c r="BS25" i="34"/>
  <c r="BR25" i="34"/>
  <c r="BQ23" i="34"/>
  <c r="BR23" i="34"/>
  <c r="BS23" i="34"/>
  <c r="BR30" i="16"/>
  <c r="BS30" i="16"/>
  <c r="BT30" i="16"/>
  <c r="BQ11" i="43"/>
  <c r="BR11" i="43"/>
  <c r="BS11" i="43"/>
  <c r="BQ30" i="43"/>
  <c r="BR30" i="43"/>
  <c r="BS30" i="43"/>
  <c r="BR18" i="43"/>
  <c r="BQ18" i="43"/>
  <c r="BS18" i="43"/>
  <c r="BR23" i="29"/>
  <c r="BT23" i="29"/>
  <c r="BS23" i="29"/>
  <c r="BR20" i="33"/>
  <c r="BS20" i="33"/>
  <c r="BT20" i="33"/>
  <c r="BR22" i="33"/>
  <c r="BS22" i="33"/>
  <c r="BT22" i="33"/>
  <c r="BR29" i="15"/>
  <c r="BS29" i="15"/>
  <c r="BT29" i="15"/>
  <c r="BT30" i="15"/>
  <c r="BS30" i="15"/>
  <c r="BR30" i="15"/>
  <c r="BT26" i="15"/>
  <c r="BS26" i="15"/>
  <c r="BR26" i="15"/>
  <c r="BR31" i="46"/>
  <c r="BT31" i="46"/>
  <c r="BS31" i="46"/>
  <c r="BR30" i="46"/>
  <c r="BT30" i="46"/>
  <c r="BS30" i="46"/>
  <c r="BR13" i="46"/>
  <c r="BT13" i="46"/>
  <c r="BS13" i="46"/>
  <c r="BR14" i="13"/>
  <c r="BS14" i="13"/>
  <c r="BT14" i="13"/>
  <c r="BT25" i="13"/>
  <c r="BS25" i="13"/>
  <c r="BR25" i="13"/>
  <c r="BQ25" i="30"/>
  <c r="BS25" i="30"/>
  <c r="BR25" i="30"/>
  <c r="BR28" i="42"/>
  <c r="BT28" i="42"/>
  <c r="BS28" i="42"/>
  <c r="BR13" i="42"/>
  <c r="BT13" i="42"/>
  <c r="BS13" i="42"/>
  <c r="BT25" i="28"/>
  <c r="BS25" i="28"/>
  <c r="BR25" i="28"/>
  <c r="BR26" i="28"/>
  <c r="BS26" i="28"/>
  <c r="BT26" i="28"/>
  <c r="BT11" i="38"/>
  <c r="BR11" i="38"/>
  <c r="BS11" i="38"/>
  <c r="BR21" i="38"/>
  <c r="BT21" i="38"/>
  <c r="BS21" i="38"/>
  <c r="BR30" i="24"/>
  <c r="BT30" i="24"/>
  <c r="BS30" i="24"/>
  <c r="BS17" i="24"/>
  <c r="BT17" i="24"/>
  <c r="BR17" i="24"/>
  <c r="BR23" i="35"/>
  <c r="BT23" i="35"/>
  <c r="BS23" i="35"/>
  <c r="BR29" i="35"/>
  <c r="BT29" i="35"/>
  <c r="BS29" i="35"/>
  <c r="BS18" i="23"/>
  <c r="BR18" i="23"/>
  <c r="BQ18" i="23"/>
  <c r="BQ27" i="23"/>
  <c r="BS27" i="23"/>
  <c r="BR27" i="23"/>
  <c r="BR30" i="34"/>
  <c r="BS30" i="34"/>
  <c r="BQ30" i="34"/>
  <c r="BS26" i="34"/>
  <c r="BR26" i="34"/>
  <c r="BQ26" i="34"/>
  <c r="BR29" i="16"/>
  <c r="BS29" i="16"/>
  <c r="BT29" i="16"/>
  <c r="BQ21" i="43"/>
  <c r="BR21" i="43"/>
  <c r="BS21" i="43"/>
  <c r="BQ25" i="43"/>
  <c r="BR25" i="43"/>
  <c r="BS25" i="43"/>
  <c r="BR29" i="29"/>
  <c r="BT29" i="29"/>
  <c r="BS29" i="29"/>
  <c r="BR26" i="33"/>
  <c r="BS26" i="33"/>
  <c r="BT26" i="33"/>
  <c r="BR18" i="15"/>
  <c r="BT18" i="15"/>
  <c r="BS18" i="15"/>
  <c r="BR21" i="15"/>
  <c r="BS21" i="15"/>
  <c r="BT21" i="15"/>
  <c r="BT27" i="15"/>
  <c r="BR27" i="15"/>
  <c r="BS27" i="15"/>
  <c r="BT26" i="46"/>
  <c r="BS26" i="46"/>
  <c r="BR26" i="46"/>
  <c r="BR14" i="46"/>
  <c r="BS14" i="46"/>
  <c r="BT14" i="46"/>
  <c r="BR24" i="13"/>
  <c r="BS24" i="13"/>
  <c r="BT24" i="13"/>
  <c r="BQ30" i="30"/>
  <c r="BR30" i="30"/>
  <c r="BS30" i="30"/>
  <c r="BR27" i="42"/>
  <c r="BS27" i="42"/>
  <c r="BT27" i="42"/>
  <c r="BS17" i="42"/>
  <c r="BT17" i="42"/>
  <c r="BR17" i="42"/>
  <c r="BR14" i="28"/>
  <c r="BT14" i="28"/>
  <c r="BS14" i="28"/>
  <c r="BS28" i="28"/>
  <c r="BR28" i="28"/>
  <c r="BT28" i="28"/>
  <c r="BO22" i="40"/>
  <c r="BP22" i="40"/>
  <c r="BQ22" i="40"/>
  <c r="BO25" i="40"/>
  <c r="BP25" i="40"/>
  <c r="BQ25" i="40"/>
  <c r="BQ21" i="26"/>
  <c r="BR21" i="26"/>
  <c r="BS21" i="26"/>
  <c r="BQ14" i="26"/>
  <c r="BS14" i="26"/>
  <c r="BR14" i="26"/>
  <c r="BR25" i="24"/>
  <c r="BS25" i="24"/>
  <c r="BT25" i="24"/>
  <c r="BR11" i="35"/>
  <c r="BT11" i="35"/>
  <c r="BS11" i="35"/>
  <c r="BQ23" i="23"/>
  <c r="BR23" i="23"/>
  <c r="BS23" i="23"/>
  <c r="BS20" i="16"/>
  <c r="BR20" i="16"/>
  <c r="BT20" i="16"/>
  <c r="BR18" i="38"/>
  <c r="BS18" i="38"/>
  <c r="BT18" i="38"/>
  <c r="BR21" i="24"/>
  <c r="BS21" i="24"/>
  <c r="BT21" i="24"/>
  <c r="BR21" i="35"/>
  <c r="BT21" i="35"/>
  <c r="BS21" i="35"/>
  <c r="BR27" i="35"/>
  <c r="BS27" i="35"/>
  <c r="BT27" i="35"/>
  <c r="BR13" i="35"/>
  <c r="BT13" i="35"/>
  <c r="BS13" i="35"/>
  <c r="BS14" i="23"/>
  <c r="BR14" i="23"/>
  <c r="BQ14" i="23"/>
  <c r="BS21" i="23"/>
  <c r="BR21" i="23"/>
  <c r="BQ21" i="23"/>
  <c r="BS17" i="34"/>
  <c r="BR17" i="34"/>
  <c r="BQ17" i="34"/>
  <c r="BQ11" i="34"/>
  <c r="BR11" i="34"/>
  <c r="BS11" i="34"/>
  <c r="BQ14" i="34"/>
  <c r="BR14" i="34"/>
  <c r="BS14" i="34"/>
  <c r="BR23" i="16"/>
  <c r="BT23" i="16"/>
  <c r="BS23" i="16"/>
  <c r="BR14" i="16"/>
  <c r="BT14" i="16"/>
  <c r="BS14" i="16"/>
  <c r="BQ20" i="43"/>
  <c r="BS20" i="43"/>
  <c r="BR20" i="43"/>
  <c r="BQ17" i="43"/>
  <c r="BS17" i="43"/>
  <c r="BR17" i="43"/>
  <c r="BR13" i="29"/>
  <c r="BT13" i="29"/>
  <c r="BS13" i="29"/>
  <c r="BS14" i="29"/>
  <c r="BT14" i="29"/>
  <c r="BR14" i="29"/>
  <c r="BR21" i="33"/>
  <c r="BS21" i="33"/>
  <c r="BT21" i="33"/>
  <c r="BR21" i="46"/>
  <c r="BT21" i="46"/>
  <c r="BS21" i="46"/>
  <c r="BR23" i="46"/>
  <c r="BS23" i="46"/>
  <c r="BT23" i="46"/>
  <c r="BR27" i="46"/>
  <c r="BS27" i="46"/>
  <c r="BT27" i="46"/>
  <c r="BR21" i="13"/>
  <c r="BT21" i="13"/>
  <c r="BS21" i="13"/>
  <c r="BR11" i="13"/>
  <c r="BS11" i="13"/>
  <c r="BT11" i="13"/>
  <c r="BQ21" i="30"/>
  <c r="BR21" i="30"/>
  <c r="BS21" i="30"/>
  <c r="BQ18" i="30"/>
  <c r="BS18" i="30"/>
  <c r="BR18" i="30"/>
  <c r="BQ24" i="30"/>
  <c r="BR24" i="30"/>
  <c r="BS24" i="30"/>
  <c r="BR20" i="42"/>
  <c r="BS20" i="42"/>
  <c r="BT20" i="42"/>
  <c r="BR18" i="42"/>
  <c r="BT18" i="42"/>
  <c r="BS18" i="42"/>
  <c r="BR26" i="42"/>
  <c r="BT26" i="42"/>
  <c r="BS26" i="42"/>
  <c r="BR22" i="28"/>
  <c r="BS22" i="28"/>
  <c r="BT22" i="28"/>
  <c r="BQ21" i="40"/>
  <c r="BP21" i="40"/>
  <c r="BO21" i="40"/>
  <c r="BO20" i="40"/>
  <c r="BP20" i="40"/>
  <c r="BQ20" i="40"/>
  <c r="BQ18" i="26"/>
  <c r="BR18" i="26"/>
  <c r="BS18" i="26"/>
  <c r="BQ13" i="26"/>
  <c r="BS13" i="26"/>
  <c r="BR13" i="26"/>
  <c r="BR27" i="38"/>
  <c r="BS27" i="38"/>
  <c r="BT27" i="38"/>
  <c r="BR14" i="35"/>
  <c r="BT14" i="35"/>
  <c r="BS14" i="35"/>
  <c r="BR30" i="23"/>
  <c r="BQ30" i="23"/>
  <c r="BS30" i="23"/>
  <c r="BS27" i="34"/>
  <c r="BR27" i="34"/>
  <c r="BQ27" i="34"/>
  <c r="BR21" i="34"/>
  <c r="BS21" i="34"/>
  <c r="BQ21" i="34"/>
  <c r="BQ29" i="34"/>
  <c r="BR29" i="34"/>
  <c r="BS29" i="34"/>
  <c r="BR28" i="16"/>
  <c r="BT28" i="16"/>
  <c r="BS28" i="16"/>
  <c r="BS27" i="16"/>
  <c r="BR27" i="16"/>
  <c r="BT27" i="16"/>
  <c r="BR22" i="43"/>
  <c r="BS22" i="43"/>
  <c r="BQ22" i="43"/>
  <c r="BS21" i="29"/>
  <c r="BR21" i="29"/>
  <c r="BT21" i="29"/>
  <c r="BS20" i="29"/>
  <c r="BR20" i="29"/>
  <c r="BT20" i="29"/>
  <c r="BR13" i="33"/>
  <c r="BS13" i="33"/>
  <c r="BT13" i="33"/>
  <c r="BR25" i="33"/>
  <c r="BS25" i="33"/>
  <c r="BT25" i="33"/>
  <c r="BR23" i="15"/>
  <c r="BT23" i="15"/>
  <c r="BS23" i="15"/>
  <c r="BR22" i="15"/>
  <c r="BS22" i="15"/>
  <c r="BT22" i="15"/>
  <c r="BR29" i="46"/>
  <c r="BT29" i="46"/>
  <c r="BS29" i="46"/>
  <c r="BS18" i="13"/>
  <c r="BT18" i="13"/>
  <c r="BR18" i="13"/>
  <c r="BR29" i="13"/>
  <c r="BS29" i="13"/>
  <c r="BT29" i="13"/>
  <c r="BR26" i="30"/>
  <c r="BS26" i="30"/>
  <c r="BQ26" i="30"/>
  <c r="BS22" i="30"/>
  <c r="BQ22" i="30"/>
  <c r="BR22" i="30"/>
  <c r="BS28" i="30"/>
  <c r="BR28" i="30"/>
  <c r="BQ28" i="30"/>
  <c r="BT30" i="42"/>
  <c r="BR30" i="42"/>
  <c r="BS30" i="42"/>
  <c r="BR24" i="42"/>
  <c r="BS24" i="42"/>
  <c r="BT24" i="42"/>
  <c r="BR18" i="28"/>
  <c r="BT18" i="28"/>
  <c r="BS18" i="28"/>
  <c r="BS23" i="28"/>
  <c r="BT23" i="28"/>
  <c r="BR23" i="28"/>
  <c r="BO23" i="40"/>
  <c r="BQ23" i="40"/>
  <c r="BP23" i="40"/>
  <c r="BO24" i="40"/>
  <c r="BP24" i="40"/>
  <c r="BQ24" i="40"/>
  <c r="BQ17" i="26"/>
  <c r="BR17" i="26"/>
  <c r="BS17" i="26"/>
  <c r="BQ26" i="26"/>
  <c r="BS26" i="26"/>
  <c r="BR26" i="26"/>
  <c r="BR13" i="24"/>
  <c r="BS13" i="24"/>
  <c r="BT13" i="24"/>
  <c r="BR26" i="35"/>
  <c r="BT26" i="35"/>
  <c r="BS26" i="35"/>
  <c r="BT17" i="38"/>
  <c r="BR17" i="38"/>
  <c r="BS17" i="38"/>
  <c r="BR22" i="38"/>
  <c r="BS22" i="38"/>
  <c r="BT22" i="38"/>
  <c r="BR11" i="24"/>
  <c r="BS11" i="24"/>
  <c r="BT11" i="24"/>
  <c r="BR13" i="38"/>
  <c r="BS13" i="38"/>
  <c r="BT13" i="38"/>
  <c r="BR29" i="38"/>
  <c r="BS29" i="38"/>
  <c r="BT29" i="38"/>
  <c r="BR23" i="24"/>
  <c r="BT23" i="24"/>
  <c r="BS23" i="24"/>
  <c r="BR28" i="24"/>
  <c r="BS28" i="24"/>
  <c r="BT28" i="24"/>
  <c r="BS24" i="38"/>
  <c r="BR24" i="38"/>
  <c r="BT24" i="38"/>
  <c r="BS25" i="38"/>
  <c r="BT25" i="38"/>
  <c r="BR25" i="38"/>
  <c r="BR24" i="24"/>
  <c r="BS24" i="24"/>
  <c r="BT24" i="24"/>
  <c r="BS14" i="24"/>
  <c r="BR14" i="24"/>
  <c r="BT14" i="24"/>
  <c r="BR24" i="35"/>
  <c r="BS24" i="35"/>
  <c r="BT24" i="35"/>
  <c r="BR30" i="35"/>
  <c r="BS30" i="35"/>
  <c r="BT30" i="35"/>
  <c r="BS28" i="35"/>
  <c r="BR28" i="35"/>
  <c r="BT28" i="35"/>
  <c r="BQ29" i="23"/>
  <c r="BR29" i="23"/>
  <c r="BS29" i="23"/>
  <c r="BQ24" i="34"/>
  <c r="BR24" i="34"/>
  <c r="BS24" i="34"/>
  <c r="BR22" i="16"/>
  <c r="BT22" i="16"/>
  <c r="BS22" i="16"/>
  <c r="BR13" i="16"/>
  <c r="BS13" i="16"/>
  <c r="BT13" i="16"/>
  <c r="BS14" i="43"/>
  <c r="BQ14" i="43"/>
  <c r="BR14" i="43"/>
  <c r="BS24" i="43"/>
  <c r="BR24" i="43"/>
  <c r="BQ24" i="43"/>
  <c r="BT17" i="29"/>
  <c r="BR17" i="29"/>
  <c r="BS17" i="29"/>
  <c r="BT28" i="29"/>
  <c r="BR28" i="29"/>
  <c r="BS28" i="29"/>
  <c r="BR11" i="29"/>
  <c r="BS11" i="29"/>
  <c r="BT11" i="29"/>
  <c r="BR14" i="33"/>
  <c r="BT14" i="33"/>
  <c r="BS14" i="33"/>
  <c r="BR23" i="33"/>
  <c r="BT23" i="33"/>
  <c r="BS23" i="33"/>
  <c r="BT28" i="15"/>
  <c r="BS28" i="15"/>
  <c r="BR28" i="15"/>
  <c r="BR14" i="15"/>
  <c r="BS14" i="15"/>
  <c r="BT14" i="15"/>
  <c r="BR22" i="46"/>
  <c r="BS22" i="46"/>
  <c r="BT22" i="46"/>
  <c r="BT19" i="46"/>
  <c r="BS19" i="46"/>
  <c r="BR19" i="46"/>
  <c r="BR20" i="13"/>
  <c r="BS20" i="13"/>
  <c r="BT20" i="13"/>
  <c r="BR29" i="30"/>
  <c r="BS29" i="30"/>
  <c r="BQ29" i="30"/>
  <c r="BQ20" i="30"/>
  <c r="BR20" i="30"/>
  <c r="BS20" i="30"/>
  <c r="BS13" i="30"/>
  <c r="BR13" i="30"/>
  <c r="BQ13" i="30"/>
  <c r="BR21" i="42"/>
  <c r="BT21" i="42"/>
  <c r="BS21" i="42"/>
  <c r="BR29" i="42"/>
  <c r="BS29" i="42"/>
  <c r="BT29" i="42"/>
  <c r="BT20" i="28"/>
  <c r="BR20" i="28"/>
  <c r="BS20" i="28"/>
  <c r="BR30" i="28"/>
  <c r="BS30" i="28"/>
  <c r="BT30" i="28"/>
  <c r="BO17" i="40"/>
  <c r="BQ17" i="40"/>
  <c r="BP17" i="40"/>
  <c r="BQ24" i="26"/>
  <c r="BR24" i="26"/>
  <c r="BS24" i="26"/>
  <c r="BS22" i="26"/>
  <c r="BR22" i="26"/>
  <c r="BQ22" i="26"/>
  <c r="BR13" i="12"/>
  <c r="BT13" i="12"/>
  <c r="BS13" i="12"/>
  <c r="BR22" i="12"/>
  <c r="BS22" i="12"/>
  <c r="BT22" i="12"/>
  <c r="BR23" i="12"/>
  <c r="BT23" i="12"/>
  <c r="BS23" i="12"/>
  <c r="BR14" i="12"/>
  <c r="BS14" i="12"/>
  <c r="BT14" i="12"/>
  <c r="BR29" i="12"/>
  <c r="BS29" i="12"/>
  <c r="BT29" i="12"/>
  <c r="BT27" i="12"/>
  <c r="BR27" i="12"/>
  <c r="BS27" i="12"/>
  <c r="BR20" i="12"/>
  <c r="BT20" i="12"/>
  <c r="BS20" i="12"/>
  <c r="BR26" i="12"/>
  <c r="BT26" i="12"/>
  <c r="BS26" i="12"/>
  <c r="BT24" i="12"/>
  <c r="BS24" i="12"/>
  <c r="BR24" i="12"/>
  <c r="BR18" i="12"/>
  <c r="BS18" i="12"/>
  <c r="BT18" i="12"/>
  <c r="BT17" i="12"/>
  <c r="BS17" i="12"/>
  <c r="BR17" i="12"/>
  <c r="BT23" i="9"/>
  <c r="BR11" i="12"/>
  <c r="BT11" i="12"/>
  <c r="BS11" i="12"/>
  <c r="BR25" i="12"/>
  <c r="BS25" i="12"/>
  <c r="BT25" i="12"/>
  <c r="BS21" i="12"/>
  <c r="BR21" i="12"/>
  <c r="BT21" i="12"/>
  <c r="BS17" i="9"/>
  <c r="AI33" i="10"/>
  <c r="AI36" i="10"/>
  <c r="AI35" i="10"/>
  <c r="BR25" i="9"/>
  <c r="BR24" i="10"/>
  <c r="BS24" i="10"/>
  <c r="BS25" i="9"/>
  <c r="BT17" i="9"/>
  <c r="BS22" i="9"/>
  <c r="BS22" i="10"/>
  <c r="BT20" i="9"/>
  <c r="BR23" i="9"/>
  <c r="BT22" i="9"/>
  <c r="BT22" i="10"/>
  <c r="BS14" i="9"/>
  <c r="BS28" i="9"/>
  <c r="BT14" i="10"/>
  <c r="BS18" i="9"/>
  <c r="BS20" i="10"/>
  <c r="BS29" i="10"/>
  <c r="BT18" i="9"/>
  <c r="BS23" i="10"/>
  <c r="BR23" i="10"/>
  <c r="BR20" i="10"/>
  <c r="BR20" i="9"/>
  <c r="BT14" i="9"/>
  <c r="BS25" i="10"/>
  <c r="BT28" i="9"/>
  <c r="BT21" i="10"/>
  <c r="BS26" i="9"/>
  <c r="BR24" i="9"/>
  <c r="BT29" i="10"/>
  <c r="BT25" i="10"/>
  <c r="BS14" i="10"/>
  <c r="BS21" i="10"/>
  <c r="BS27" i="9"/>
  <c r="BR11" i="10"/>
  <c r="BS11" i="10"/>
  <c r="BT27" i="9"/>
  <c r="BR26" i="10"/>
  <c r="BT13" i="10"/>
  <c r="BS21" i="9"/>
  <c r="BT26" i="10"/>
  <c r="BS13" i="10"/>
  <c r="BT21" i="9"/>
  <c r="BS27" i="10"/>
  <c r="BT27" i="10"/>
  <c r="BR27" i="10"/>
  <c r="BR11" i="9"/>
  <c r="BS11" i="9"/>
  <c r="BT11" i="9"/>
  <c r="BR13" i="9"/>
  <c r="BS13" i="9"/>
  <c r="BT13" i="9"/>
  <c r="BT26" i="9"/>
  <c r="BT24" i="9"/>
  <c r="BR17" i="10"/>
  <c r="BT17" i="10"/>
  <c r="BS17" i="10"/>
  <c r="BR18" i="10"/>
  <c r="BT18" i="10"/>
  <c r="BS18" i="10"/>
  <c r="V42" i="6"/>
  <c r="S17" i="6"/>
  <c r="R17" i="6"/>
  <c r="BB22" i="6"/>
  <c r="T23" i="6"/>
  <c r="T17" i="6"/>
  <c r="T25" i="6"/>
  <c r="T6" i="6"/>
  <c r="S6" i="6"/>
  <c r="AL41" i="6"/>
  <c r="Q6" i="6"/>
  <c r="Q29" i="6" s="1"/>
  <c r="P6" i="6"/>
  <c r="O6" i="6"/>
  <c r="N6" i="6"/>
  <c r="M6" i="6"/>
  <c r="L6" i="6"/>
  <c r="K6" i="6"/>
  <c r="J6" i="6"/>
  <c r="I6" i="6"/>
  <c r="H6" i="6"/>
  <c r="H42" i="6"/>
  <c r="G6" i="6"/>
  <c r="BV6" i="47" l="1"/>
  <c r="BW7" i="38"/>
  <c r="BW5" i="16"/>
  <c r="BW5" i="42"/>
  <c r="BW5" i="29"/>
  <c r="BV7" i="26"/>
  <c r="BW5" i="46"/>
  <c r="BV7" i="43"/>
  <c r="BW7" i="28"/>
  <c r="BV7" i="30"/>
  <c r="BW7" i="33"/>
  <c r="BW5" i="13"/>
  <c r="BV5" i="34"/>
  <c r="BW7" i="24"/>
  <c r="BW5" i="35"/>
  <c r="BW6" i="35" s="1"/>
  <c r="BW7" i="35"/>
  <c r="BW5" i="38"/>
  <c r="BW7" i="42"/>
  <c r="BV5" i="30"/>
  <c r="BV6" i="30" s="1"/>
  <c r="BV7" i="23"/>
  <c r="BW5" i="15"/>
  <c r="BT7" i="40"/>
  <c r="BT5" i="40"/>
  <c r="BV7" i="34"/>
  <c r="BV6" i="34" s="1"/>
  <c r="BV5" i="26"/>
  <c r="BV6" i="26" s="1"/>
  <c r="BW7" i="15"/>
  <c r="BW6" i="15" s="1"/>
  <c r="BW7" i="46"/>
  <c r="BW7" i="16"/>
  <c r="BV5" i="43"/>
  <c r="BV6" i="43" s="1"/>
  <c r="BW5" i="33"/>
  <c r="BW7" i="29"/>
  <c r="BW6" i="29" s="1"/>
  <c r="BV5" i="23"/>
  <c r="BV6" i="23" s="1"/>
  <c r="BW5" i="28"/>
  <c r="BW7" i="13"/>
  <c r="BW6" i="13" s="1"/>
  <c r="BW5" i="24"/>
  <c r="BW6" i="24" s="1"/>
  <c r="BW7" i="12"/>
  <c r="BW5" i="12"/>
  <c r="BW7" i="9"/>
  <c r="BW5" i="10"/>
  <c r="BW7" i="10"/>
  <c r="BW5" i="9"/>
  <c r="J59" i="7"/>
  <c r="G42" i="6"/>
  <c r="D43" i="6"/>
  <c r="E43" i="6" s="1"/>
  <c r="F43" i="6" s="1"/>
  <c r="D44" i="6"/>
  <c r="E44" i="6" s="1"/>
  <c r="F44" i="6" s="1"/>
  <c r="D45" i="6"/>
  <c r="E45" i="6" s="1"/>
  <c r="F45" i="6" s="1"/>
  <c r="D46" i="6"/>
  <c r="E46" i="6" s="1"/>
  <c r="F46" i="6" s="1"/>
  <c r="D47" i="6"/>
  <c r="E47" i="6" s="1"/>
  <c r="F47" i="6" s="1"/>
  <c r="D48" i="6"/>
  <c r="E48" i="6" s="1"/>
  <c r="F48" i="6" s="1"/>
  <c r="D49" i="6"/>
  <c r="E49" i="6" s="1"/>
  <c r="F49" i="6" s="1"/>
  <c r="D50" i="6"/>
  <c r="E50" i="6" s="1"/>
  <c r="F50" i="6" s="1"/>
  <c r="D51" i="6"/>
  <c r="E51" i="6" s="1"/>
  <c r="F51" i="6" s="1"/>
  <c r="D52" i="6"/>
  <c r="E52" i="6" s="1"/>
  <c r="F52" i="6" s="1"/>
  <c r="D53" i="6"/>
  <c r="E53" i="6" s="1"/>
  <c r="F53" i="6" s="1"/>
  <c r="D54" i="6"/>
  <c r="E54" i="6" s="1"/>
  <c r="F54" i="6" s="1"/>
  <c r="D55" i="6"/>
  <c r="E55" i="6" s="1"/>
  <c r="F55" i="6" s="1"/>
  <c r="D56" i="6"/>
  <c r="E56" i="6" s="1"/>
  <c r="F56" i="6" s="1"/>
  <c r="D57" i="6"/>
  <c r="E57" i="6" s="1"/>
  <c r="F57" i="6" s="1"/>
  <c r="D58" i="6"/>
  <c r="E58" i="6" s="1"/>
  <c r="F58" i="6" s="1"/>
  <c r="D59" i="6"/>
  <c r="E59" i="6" s="1"/>
  <c r="F59" i="6" s="1"/>
  <c r="D60" i="6"/>
  <c r="E60" i="6" s="1"/>
  <c r="F60" i="6" s="1"/>
  <c r="D61" i="6"/>
  <c r="E61" i="6" s="1"/>
  <c r="F61" i="6" s="1"/>
  <c r="D62" i="6"/>
  <c r="E62" i="6" s="1"/>
  <c r="F62" i="6" s="1"/>
  <c r="D63" i="6"/>
  <c r="E63" i="6" s="1"/>
  <c r="F63" i="6" s="1"/>
  <c r="D64" i="6"/>
  <c r="E64" i="6" s="1"/>
  <c r="F64" i="6" s="1"/>
  <c r="D41" i="6"/>
  <c r="E41" i="6" s="1"/>
  <c r="F41" i="6" s="1"/>
  <c r="F6" i="6"/>
  <c r="E6" i="6"/>
  <c r="D6" i="6"/>
  <c r="D42" i="6" s="1"/>
  <c r="E42" i="6" s="1"/>
  <c r="AJ25" i="6"/>
  <c r="F39" i="6"/>
  <c r="L39" i="6"/>
  <c r="M39" i="6"/>
  <c r="S39" i="6"/>
  <c r="T39" i="6"/>
  <c r="Z39" i="6"/>
  <c r="AA39" i="6"/>
  <c r="AG39" i="6"/>
  <c r="E39" i="6"/>
  <c r="R29" i="3" a="1"/>
  <c r="R29" i="3" s="1"/>
  <c r="S29" i="3" s="1"/>
  <c r="L29" i="3"/>
  <c r="N29" i="3"/>
  <c r="O29" i="3"/>
  <c r="P29" i="3"/>
  <c r="Q29" i="3"/>
  <c r="BT6" i="40" l="1"/>
  <c r="BW6" i="38"/>
  <c r="BW6" i="33"/>
  <c r="BW6" i="16"/>
  <c r="BW6" i="46"/>
  <c r="BW6" i="28"/>
  <c r="BW6" i="42"/>
  <c r="BW6" i="9"/>
  <c r="BW6" i="12"/>
  <c r="BW6" i="10"/>
  <c r="F42" i="6"/>
  <c r="N10" i="3"/>
  <c r="N18" i="3"/>
  <c r="N20" i="3"/>
  <c r="N21" i="3"/>
  <c r="N25" i="3"/>
  <c r="F6" i="3"/>
  <c r="F7" i="3"/>
  <c r="M7" i="3" s="1"/>
  <c r="F8" i="3"/>
  <c r="M8" i="3" s="1"/>
  <c r="F9" i="3"/>
  <c r="R9" i="3" s="1" a="1"/>
  <c r="R9" i="3" s="1"/>
  <c r="S9" i="3" s="1"/>
  <c r="F10" i="3"/>
  <c r="F11" i="3"/>
  <c r="F12" i="3"/>
  <c r="R12" i="3" s="1" a="1"/>
  <c r="R12" i="3" s="1"/>
  <c r="S12" i="3" s="1"/>
  <c r="F13" i="3"/>
  <c r="M13" i="3" s="1"/>
  <c r="F14" i="3"/>
  <c r="F15" i="3"/>
  <c r="M15" i="3" s="1"/>
  <c r="F16" i="3"/>
  <c r="M16" i="3" s="1"/>
  <c r="F17" i="3"/>
  <c r="F18" i="3"/>
  <c r="F19" i="3"/>
  <c r="F20" i="3"/>
  <c r="M20" i="3" s="1"/>
  <c r="F21" i="3"/>
  <c r="M21" i="3" s="1"/>
  <c r="F22" i="3"/>
  <c r="F23" i="3"/>
  <c r="R23" i="3" s="1" a="1"/>
  <c r="R23" i="3" s="1"/>
  <c r="S23" i="3" s="1"/>
  <c r="F24" i="3"/>
  <c r="M24" i="3" s="1"/>
  <c r="F25" i="3"/>
  <c r="F26" i="3"/>
  <c r="R26" i="3" s="1" a="1"/>
  <c r="R26" i="3" s="1"/>
  <c r="S26" i="3" s="1"/>
  <c r="F27" i="3"/>
  <c r="R27" i="3" s="1" a="1"/>
  <c r="R27" i="3" s="1"/>
  <c r="S27" i="3" s="1"/>
  <c r="F28" i="3"/>
  <c r="R28" i="3" s="1" a="1"/>
  <c r="R28" i="3" s="1"/>
  <c r="S28" i="3" s="1"/>
  <c r="F5" i="3"/>
  <c r="R5" i="3" s="1" a="1"/>
  <c r="R5" i="3" s="1"/>
  <c r="S5" i="3" s="1"/>
  <c r="L27" i="3"/>
  <c r="L26" i="3"/>
  <c r="N27" i="3"/>
  <c r="O27" i="3"/>
  <c r="P27" i="3"/>
  <c r="Q27" i="3"/>
  <c r="O26" i="3"/>
  <c r="P26" i="3"/>
  <c r="Q26" i="3"/>
  <c r="AI29" i="6"/>
  <c r="AG29" i="6"/>
  <c r="AF29" i="6"/>
  <c r="AE29" i="6"/>
  <c r="AD29" i="6"/>
  <c r="AC29" i="6"/>
  <c r="AB29" i="6"/>
  <c r="U29" i="6"/>
  <c r="M29" i="6"/>
  <c r="E29" i="6"/>
  <c r="BQ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BR28" i="6" s="1"/>
  <c r="AL28" i="6"/>
  <c r="AK28" i="6"/>
  <c r="AH28" i="6"/>
  <c r="BQ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BR27" i="6" s="1"/>
  <c r="AL27" i="6"/>
  <c r="AK27" i="6"/>
  <c r="AJ27" i="6"/>
  <c r="AH27" i="6"/>
  <c r="BQ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BR26" i="6" s="1"/>
  <c r="AL26" i="6"/>
  <c r="AK26" i="6"/>
  <c r="AJ26" i="6"/>
  <c r="AH26" i="6"/>
  <c r="BQ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BR25" i="6" s="1"/>
  <c r="AL25" i="6"/>
  <c r="AK25" i="6"/>
  <c r="AH25" i="6"/>
  <c r="BQ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BR24" i="6" s="1"/>
  <c r="AL24" i="6"/>
  <c r="AK24" i="6"/>
  <c r="AJ24" i="6"/>
  <c r="AH24" i="6"/>
  <c r="BQ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BR23" i="6" s="1"/>
  <c r="AL23" i="6"/>
  <c r="AK23" i="6"/>
  <c r="AJ23" i="6"/>
  <c r="AH23" i="6"/>
  <c r="BQ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BR22" i="6" s="1"/>
  <c r="AL22" i="6"/>
  <c r="AK22" i="6"/>
  <c r="AJ22" i="6"/>
  <c r="AH22" i="6"/>
  <c r="BQ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BR21" i="6" s="1"/>
  <c r="AL21" i="6"/>
  <c r="AK21" i="6"/>
  <c r="AJ21" i="6"/>
  <c r="AH21" i="6"/>
  <c r="BQ20" i="6"/>
  <c r="BN20" i="6"/>
  <c r="BM20" i="6"/>
  <c r="BL20" i="6"/>
  <c r="BK20" i="6"/>
  <c r="BJ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BR20" i="6" s="1"/>
  <c r="AL20" i="6"/>
  <c r="AK20" i="6"/>
  <c r="AJ20" i="6"/>
  <c r="AH20" i="6"/>
  <c r="BQ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BR19" i="6" s="1"/>
  <c r="AL19" i="6"/>
  <c r="AK19" i="6"/>
  <c r="AJ19" i="6"/>
  <c r="AH19" i="6"/>
  <c r="BQ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BR18" i="6" s="1"/>
  <c r="AL18" i="6"/>
  <c r="AK18" i="6"/>
  <c r="AJ18" i="6"/>
  <c r="AH18" i="6"/>
  <c r="BQ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BR17" i="6" s="1"/>
  <c r="AL17" i="6"/>
  <c r="AK17" i="6"/>
  <c r="AJ17" i="6"/>
  <c r="AH17" i="6"/>
  <c r="BQ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BR16" i="6" s="1"/>
  <c r="AL16" i="6"/>
  <c r="AK16" i="6"/>
  <c r="AJ16" i="6"/>
  <c r="AH16" i="6"/>
  <c r="BQ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BR15" i="6" s="1"/>
  <c r="AL15" i="6"/>
  <c r="AK15" i="6"/>
  <c r="AJ15" i="6"/>
  <c r="AH15" i="6"/>
  <c r="BQ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BR14" i="6" s="1"/>
  <c r="AL14" i="6"/>
  <c r="AK14" i="6"/>
  <c r="AJ14" i="6"/>
  <c r="AH14" i="6"/>
  <c r="BQ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BR13" i="6" s="1"/>
  <c r="AL13" i="6"/>
  <c r="AK13" i="6"/>
  <c r="AJ13" i="6"/>
  <c r="AH13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X12" i="6"/>
  <c r="AW12" i="6"/>
  <c r="AT12" i="6"/>
  <c r="AS12" i="6"/>
  <c r="AP12" i="6"/>
  <c r="AO12" i="6"/>
  <c r="AL12" i="6"/>
  <c r="AK12" i="6"/>
  <c r="AZ12" i="6"/>
  <c r="AY12" i="6"/>
  <c r="P29" i="6"/>
  <c r="AV12" i="6"/>
  <c r="N29" i="6"/>
  <c r="L29" i="6"/>
  <c r="AR12" i="6"/>
  <c r="AQ12" i="6"/>
  <c r="I29" i="6"/>
  <c r="H29" i="6"/>
  <c r="AN12" i="6"/>
  <c r="AM12" i="6"/>
  <c r="D29" i="6"/>
  <c r="BQ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BR11" i="6" s="1"/>
  <c r="AL11" i="6"/>
  <c r="AK11" i="6"/>
  <c r="AJ11" i="6"/>
  <c r="AH11" i="6"/>
  <c r="BQ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BR10" i="6" s="1"/>
  <c r="AL10" i="6"/>
  <c r="AK10" i="6"/>
  <c r="AJ10" i="6"/>
  <c r="AH10" i="6"/>
  <c r="BQ9" i="6"/>
  <c r="BN9" i="6"/>
  <c r="BM9" i="6"/>
  <c r="BL9" i="6"/>
  <c r="BK9" i="6"/>
  <c r="BJ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BR9" i="6" s="1"/>
  <c r="AL9" i="6"/>
  <c r="AK9" i="6"/>
  <c r="AJ9" i="6"/>
  <c r="AH9" i="6"/>
  <c r="BQ8" i="6"/>
  <c r="BN8" i="6"/>
  <c r="BM8" i="6"/>
  <c r="BL8" i="6"/>
  <c r="BK8" i="6"/>
  <c r="BJ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BR8" i="6" s="1"/>
  <c r="AL8" i="6"/>
  <c r="AK8" i="6"/>
  <c r="AJ8" i="6"/>
  <c r="AH8" i="6"/>
  <c r="BQ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BR7" i="6" s="1"/>
  <c r="AL7" i="6"/>
  <c r="AK7" i="6"/>
  <c r="AJ7" i="6"/>
  <c r="AH7" i="6"/>
  <c r="BQ6" i="6"/>
  <c r="BN6" i="6"/>
  <c r="BM6" i="6"/>
  <c r="BL6" i="6"/>
  <c r="BK6" i="6"/>
  <c r="BJ6" i="6"/>
  <c r="BI6" i="6"/>
  <c r="BH6" i="6"/>
  <c r="BB6" i="6"/>
  <c r="BA6" i="6"/>
  <c r="AZ6" i="6"/>
  <c r="AX6" i="6"/>
  <c r="AW6" i="6"/>
  <c r="AV6" i="6"/>
  <c r="AU6" i="6"/>
  <c r="AT6" i="6"/>
  <c r="AS6" i="6"/>
  <c r="AR6" i="6"/>
  <c r="AQ6" i="6"/>
  <c r="AP6" i="6"/>
  <c r="AO6" i="6"/>
  <c r="AN6" i="6"/>
  <c r="AM6" i="6"/>
  <c r="BR6" i="6" s="1"/>
  <c r="AL6" i="6"/>
  <c r="AK6" i="6"/>
  <c r="AJ6" i="6"/>
  <c r="AA29" i="6"/>
  <c r="BG6" i="6"/>
  <c r="BF6" i="6"/>
  <c r="BE6" i="6"/>
  <c r="BD6" i="6"/>
  <c r="V29" i="6"/>
  <c r="T29" i="6"/>
  <c r="S29" i="6"/>
  <c r="AY6" i="6"/>
  <c r="AH6" i="6"/>
  <c r="BQ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BR5" i="6" s="1"/>
  <c r="AL5" i="6"/>
  <c r="AK5" i="6"/>
  <c r="AJ5" i="6"/>
  <c r="AJ29" i="5"/>
  <c r="AG29" i="5"/>
  <c r="AF29" i="5"/>
  <c r="AE29" i="5"/>
  <c r="AD29" i="5"/>
  <c r="AC29" i="5"/>
  <c r="AB29" i="5"/>
  <c r="K29" i="5"/>
  <c r="BS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BT28" i="5" s="1"/>
  <c r="AM28" i="5"/>
  <c r="AL28" i="5"/>
  <c r="AI28" i="5"/>
  <c r="BQ28" i="5" s="1"/>
  <c r="BU28" i="5" s="1"/>
  <c r="BS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BT27" i="5" s="1"/>
  <c r="AM27" i="5"/>
  <c r="AL27" i="5"/>
  <c r="AK27" i="5"/>
  <c r="AI27" i="5"/>
  <c r="BQ27" i="5" s="1"/>
  <c r="BU27" i="5" s="1"/>
  <c r="BT26" i="5"/>
  <c r="BS26" i="5"/>
  <c r="BQ26" i="5"/>
  <c r="BU26" i="5" s="1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I26" i="5"/>
  <c r="BS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BT25" i="5" s="1"/>
  <c r="AM25" i="5"/>
  <c r="AL25" i="5"/>
  <c r="AI25" i="5"/>
  <c r="BQ25" i="5" s="1"/>
  <c r="BU25" i="5" s="1"/>
  <c r="BS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BT24" i="5" s="1"/>
  <c r="AM24" i="5"/>
  <c r="AL24" i="5"/>
  <c r="AK24" i="5"/>
  <c r="AI24" i="5"/>
  <c r="BQ24" i="5" s="1"/>
  <c r="BU24" i="5" s="1"/>
  <c r="BT23" i="5"/>
  <c r="BS23" i="5"/>
  <c r="BQ23" i="5"/>
  <c r="BU23" i="5" s="1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I23" i="5"/>
  <c r="BS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BT22" i="5" s="1"/>
  <c r="AM22" i="5"/>
  <c r="AL22" i="5"/>
  <c r="AK22" i="5"/>
  <c r="AI22" i="5"/>
  <c r="BQ22" i="5" s="1"/>
  <c r="BU22" i="5" s="1"/>
  <c r="BT21" i="5"/>
  <c r="BS21" i="5"/>
  <c r="BQ21" i="5"/>
  <c r="BU21" i="5" s="1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I21" i="5"/>
  <c r="BS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BT20" i="5" s="1"/>
  <c r="AM20" i="5"/>
  <c r="AL20" i="5"/>
  <c r="AK20" i="5"/>
  <c r="AI20" i="5"/>
  <c r="BQ20" i="5" s="1"/>
  <c r="BU20" i="5" s="1"/>
  <c r="BS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BT19" i="5" s="1"/>
  <c r="AM19" i="5"/>
  <c r="AL19" i="5"/>
  <c r="AK19" i="5"/>
  <c r="AI19" i="5"/>
  <c r="BQ19" i="5" s="1"/>
  <c r="BU19" i="5" s="1"/>
  <c r="BS18" i="5"/>
  <c r="BQ18" i="5"/>
  <c r="BU18" i="5" s="1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BT18" i="5" s="1"/>
  <c r="AM18" i="5"/>
  <c r="AL18" i="5"/>
  <c r="AK18" i="5"/>
  <c r="AI18" i="5"/>
  <c r="BS17" i="5"/>
  <c r="BQ17" i="5"/>
  <c r="BU17" i="5" s="1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BT17" i="5" s="1"/>
  <c r="AM17" i="5"/>
  <c r="AL17" i="5"/>
  <c r="AK17" i="5"/>
  <c r="AI17" i="5"/>
  <c r="BS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BT16" i="5" s="1"/>
  <c r="AM16" i="5"/>
  <c r="AL16" i="5"/>
  <c r="AK16" i="5"/>
  <c r="AI16" i="5"/>
  <c r="BQ16" i="5" s="1"/>
  <c r="BU16" i="5" s="1"/>
  <c r="BT15" i="5"/>
  <c r="BS15" i="5"/>
  <c r="BQ15" i="5"/>
  <c r="BU15" i="5" s="1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I15" i="5"/>
  <c r="BS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BT14" i="5" s="1"/>
  <c r="AM14" i="5"/>
  <c r="AL14" i="5"/>
  <c r="AK14" i="5"/>
  <c r="AI14" i="5"/>
  <c r="BQ14" i="5" s="1"/>
  <c r="BU14" i="5" s="1"/>
  <c r="BT13" i="5"/>
  <c r="BS13" i="5"/>
  <c r="BQ13" i="5"/>
  <c r="BU13" i="5" s="1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I13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A12" i="5"/>
  <c r="AX12" i="5"/>
  <c r="AW12" i="5"/>
  <c r="AV12" i="5"/>
  <c r="AU12" i="5"/>
  <c r="AS12" i="5"/>
  <c r="AP12" i="5"/>
  <c r="AO12" i="5"/>
  <c r="AN12" i="5"/>
  <c r="AM12" i="5"/>
  <c r="T12" i="5"/>
  <c r="BB12" i="5" s="1"/>
  <c r="S12" i="5"/>
  <c r="R12" i="5"/>
  <c r="AZ12" i="5" s="1"/>
  <c r="Q12" i="5"/>
  <c r="AY12" i="5" s="1"/>
  <c r="P12" i="5"/>
  <c r="P29" i="5" s="1"/>
  <c r="O12" i="5"/>
  <c r="O29" i="5" s="1"/>
  <c r="N12" i="5"/>
  <c r="N29" i="5" s="1"/>
  <c r="M12" i="5"/>
  <c r="L12" i="5"/>
  <c r="L29" i="5" s="1"/>
  <c r="K12" i="5"/>
  <c r="J12" i="5"/>
  <c r="J29" i="5" s="1"/>
  <c r="I12" i="5"/>
  <c r="AQ12" i="5" s="1"/>
  <c r="H12" i="5"/>
  <c r="H29" i="5" s="1"/>
  <c r="G12" i="5"/>
  <c r="G29" i="5" s="1"/>
  <c r="F12" i="5"/>
  <c r="F29" i="5" s="1"/>
  <c r="E12" i="5"/>
  <c r="E29" i="5" s="1"/>
  <c r="D12" i="5"/>
  <c r="D29" i="5" s="1"/>
  <c r="BT11" i="5"/>
  <c r="BS11" i="5"/>
  <c r="BQ11" i="5"/>
  <c r="BU11" i="5" s="1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I11" i="5"/>
  <c r="BS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BT10" i="5" s="1"/>
  <c r="AM10" i="5"/>
  <c r="AL10" i="5"/>
  <c r="AK10" i="5"/>
  <c r="AI10" i="5"/>
  <c r="BQ10" i="5" s="1"/>
  <c r="BU10" i="5" s="1"/>
  <c r="BS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BT9" i="5" s="1"/>
  <c r="AM9" i="5"/>
  <c r="AL9" i="5"/>
  <c r="AK9" i="5"/>
  <c r="AI9" i="5"/>
  <c r="BQ9" i="5" s="1"/>
  <c r="BU9" i="5" s="1"/>
  <c r="BS8" i="5"/>
  <c r="BQ8" i="5"/>
  <c r="BU8" i="5" s="1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BT8" i="5" s="1"/>
  <c r="AM8" i="5"/>
  <c r="AL8" i="5"/>
  <c r="AK8" i="5"/>
  <c r="AI8" i="5"/>
  <c r="BT7" i="5"/>
  <c r="BS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I7" i="5"/>
  <c r="BQ7" i="5" s="1"/>
  <c r="BU7" i="5" s="1"/>
  <c r="BS6" i="5"/>
  <c r="BP6" i="5"/>
  <c r="BO6" i="5"/>
  <c r="BN6" i="5"/>
  <c r="BM6" i="5"/>
  <c r="BL6" i="5"/>
  <c r="BK6" i="5"/>
  <c r="BJ6" i="5"/>
  <c r="BF6" i="5"/>
  <c r="BE6" i="5"/>
  <c r="BD6" i="5"/>
  <c r="BB6" i="5"/>
  <c r="AY6" i="5"/>
  <c r="AX6" i="5"/>
  <c r="AW6" i="5"/>
  <c r="AV6" i="5"/>
  <c r="AT6" i="5"/>
  <c r="AS6" i="5"/>
  <c r="AR6" i="5"/>
  <c r="AQ6" i="5"/>
  <c r="AP6" i="5"/>
  <c r="AO6" i="5"/>
  <c r="AN6" i="5"/>
  <c r="BT6" i="5" s="1"/>
  <c r="AM6" i="5"/>
  <c r="AL6" i="5"/>
  <c r="AK6" i="5"/>
  <c r="AH6" i="5"/>
  <c r="AH29" i="5" s="1"/>
  <c r="AA6" i="5"/>
  <c r="BI6" i="5" s="1"/>
  <c r="Z6" i="5"/>
  <c r="Z29" i="5" s="1"/>
  <c r="Y6" i="5"/>
  <c r="BG6" i="5" s="1"/>
  <c r="X6" i="5"/>
  <c r="X29" i="5" s="1"/>
  <c r="W6" i="5"/>
  <c r="W29" i="5" s="1"/>
  <c r="V6" i="5"/>
  <c r="V29" i="5" s="1"/>
  <c r="U6" i="5"/>
  <c r="BC6" i="5" s="1"/>
  <c r="T6" i="5"/>
  <c r="T29" i="5" s="1"/>
  <c r="S6" i="5"/>
  <c r="BA6" i="5" s="1"/>
  <c r="R6" i="5"/>
  <c r="AI6" i="5" s="1"/>
  <c r="BQ6" i="5" s="1"/>
  <c r="BU6" i="5" s="1"/>
  <c r="M6" i="5"/>
  <c r="AU6" i="5" s="1"/>
  <c r="BS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BT5" i="5" s="1"/>
  <c r="AM5" i="5"/>
  <c r="AL5" i="5"/>
  <c r="AK5" i="5"/>
  <c r="AI5" i="5"/>
  <c r="BQ5" i="5" s="1"/>
  <c r="BU5" i="5" s="1"/>
  <c r="N5" i="3"/>
  <c r="O5" i="3"/>
  <c r="P5" i="3"/>
  <c r="Q5" i="3"/>
  <c r="M6" i="3"/>
  <c r="N6" i="3"/>
  <c r="O6" i="3"/>
  <c r="P6" i="3"/>
  <c r="Q6" i="3"/>
  <c r="N7" i="3"/>
  <c r="O7" i="3"/>
  <c r="P7" i="3"/>
  <c r="Q7" i="3"/>
  <c r="N8" i="3"/>
  <c r="O8" i="3"/>
  <c r="P8" i="3"/>
  <c r="Q8" i="3"/>
  <c r="M9" i="3"/>
  <c r="N9" i="3"/>
  <c r="O9" i="3"/>
  <c r="P9" i="3"/>
  <c r="Q9" i="3"/>
  <c r="M10" i="3"/>
  <c r="O10" i="3"/>
  <c r="P10" i="3"/>
  <c r="Q10" i="3"/>
  <c r="M11" i="3"/>
  <c r="N11" i="3"/>
  <c r="O11" i="3"/>
  <c r="P11" i="3"/>
  <c r="Q11" i="3"/>
  <c r="M12" i="3"/>
  <c r="N12" i="3"/>
  <c r="O12" i="3"/>
  <c r="P12" i="3"/>
  <c r="Q12" i="3"/>
  <c r="N13" i="3"/>
  <c r="O13" i="3"/>
  <c r="P13" i="3"/>
  <c r="Q13" i="3"/>
  <c r="M14" i="3"/>
  <c r="N14" i="3"/>
  <c r="O14" i="3"/>
  <c r="P14" i="3"/>
  <c r="Q14" i="3"/>
  <c r="N15" i="3"/>
  <c r="O15" i="3"/>
  <c r="P15" i="3"/>
  <c r="Q15" i="3"/>
  <c r="N16" i="3"/>
  <c r="O16" i="3"/>
  <c r="P16" i="3"/>
  <c r="Q16" i="3"/>
  <c r="M17" i="3"/>
  <c r="N17" i="3"/>
  <c r="O17" i="3"/>
  <c r="P17" i="3"/>
  <c r="Q17" i="3"/>
  <c r="M18" i="3"/>
  <c r="O18" i="3"/>
  <c r="P18" i="3"/>
  <c r="Q18" i="3"/>
  <c r="M19" i="3"/>
  <c r="N19" i="3"/>
  <c r="O19" i="3"/>
  <c r="P19" i="3"/>
  <c r="Q19" i="3"/>
  <c r="O20" i="3"/>
  <c r="P20" i="3"/>
  <c r="Q20" i="3"/>
  <c r="O21" i="3"/>
  <c r="P21" i="3"/>
  <c r="Q21" i="3"/>
  <c r="M22" i="3"/>
  <c r="N22" i="3"/>
  <c r="O22" i="3"/>
  <c r="P22" i="3"/>
  <c r="Q22" i="3"/>
  <c r="N23" i="3"/>
  <c r="O23" i="3"/>
  <c r="P23" i="3"/>
  <c r="Q23" i="3"/>
  <c r="N24" i="3"/>
  <c r="O24" i="3"/>
  <c r="P24" i="3"/>
  <c r="Q24" i="3"/>
  <c r="M25" i="3"/>
  <c r="O25" i="3"/>
  <c r="P25" i="3"/>
  <c r="Q25" i="3"/>
  <c r="M28" i="3"/>
  <c r="N28" i="3"/>
  <c r="O28" i="3"/>
  <c r="P28" i="3"/>
  <c r="Q28" i="3"/>
  <c r="L25" i="3"/>
  <c r="L28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R14" i="3" a="1"/>
  <c r="R14" i="3" s="1"/>
  <c r="S14" i="3" s="1"/>
  <c r="R17" i="3" a="1"/>
  <c r="R17" i="3" s="1"/>
  <c r="S17" i="3" s="1"/>
  <c r="R19" i="3" a="1"/>
  <c r="R19" i="3" s="1"/>
  <c r="S19" i="3" s="1"/>
  <c r="R20" i="3" a="1"/>
  <c r="R20" i="3" s="1"/>
  <c r="S20" i="3" s="1"/>
  <c r="R22" i="3" a="1"/>
  <c r="R22" i="3" s="1"/>
  <c r="S22" i="3" s="1"/>
  <c r="R25" i="3" a="1"/>
  <c r="R25" i="3" s="1"/>
  <c r="S25" i="3" s="1"/>
  <c r="R11" i="3" a="1"/>
  <c r="R11" i="3" s="1"/>
  <c r="S11" i="3" s="1"/>
  <c r="BO20" i="6" l="1"/>
  <c r="BS20" i="6" s="1"/>
  <c r="BO19" i="6"/>
  <c r="BS19" i="6" s="1"/>
  <c r="BO28" i="6"/>
  <c r="BS28" i="6" s="1"/>
  <c r="BO13" i="6"/>
  <c r="BS13" i="6" s="1"/>
  <c r="BO21" i="6"/>
  <c r="BS21" i="6" s="1"/>
  <c r="BO7" i="6"/>
  <c r="BS7" i="6" s="1"/>
  <c r="BO8" i="6"/>
  <c r="BS8" i="6" s="1"/>
  <c r="BO14" i="6"/>
  <c r="BS14" i="6" s="1"/>
  <c r="BO22" i="6"/>
  <c r="BS22" i="6" s="1"/>
  <c r="BO9" i="6"/>
  <c r="BS9" i="6" s="1"/>
  <c r="BO15" i="6"/>
  <c r="BS15" i="6" s="1"/>
  <c r="BO23" i="6"/>
  <c r="BS23" i="6" s="1"/>
  <c r="BO10" i="6"/>
  <c r="BS10" i="6" s="1"/>
  <c r="BO16" i="6"/>
  <c r="BS16" i="6" s="1"/>
  <c r="BO24" i="6"/>
  <c r="BS24" i="6" s="1"/>
  <c r="BO11" i="6"/>
  <c r="BS11" i="6" s="1"/>
  <c r="BO25" i="6"/>
  <c r="BS25" i="6" s="1"/>
  <c r="BO26" i="6"/>
  <c r="BS26" i="6" s="1"/>
  <c r="BO6" i="6"/>
  <c r="BS6" i="6" s="1"/>
  <c r="BO18" i="6"/>
  <c r="BS18" i="6" s="1"/>
  <c r="BO27" i="6"/>
  <c r="BS27" i="6" s="1"/>
  <c r="BO17" i="6"/>
  <c r="BS17" i="6" s="1"/>
  <c r="R16" i="3" a="1"/>
  <c r="R16" i="3" s="1"/>
  <c r="S16" i="3" s="1"/>
  <c r="R8" i="3" a="1"/>
  <c r="R8" i="3" s="1"/>
  <c r="S8" i="3" s="1"/>
  <c r="R24" i="3" a="1"/>
  <c r="R24" i="3" s="1"/>
  <c r="S24" i="3" s="1"/>
  <c r="M26" i="3"/>
  <c r="R15" i="3" a="1"/>
  <c r="R15" i="3" s="1"/>
  <c r="S15" i="3" s="1"/>
  <c r="R7" i="3" a="1"/>
  <c r="R7" i="3" s="1"/>
  <c r="S7" i="3" s="1"/>
  <c r="M23" i="3"/>
  <c r="M5" i="3"/>
  <c r="M27" i="3"/>
  <c r="R18" i="3" a="1"/>
  <c r="R18" i="3" s="1"/>
  <c r="S18" i="3" s="1"/>
  <c r="N26" i="3"/>
  <c r="R10" i="3" a="1"/>
  <c r="R10" i="3" s="1"/>
  <c r="S10" i="3" s="1"/>
  <c r="R21" i="3" a="1"/>
  <c r="R21" i="3" s="1"/>
  <c r="S21" i="3" s="1"/>
  <c r="R13" i="3" a="1"/>
  <c r="R13" i="3" s="1"/>
  <c r="S13" i="3" s="1"/>
  <c r="F29" i="6"/>
  <c r="BC6" i="6"/>
  <c r="AU12" i="6"/>
  <c r="G29" i="6"/>
  <c r="O29" i="6"/>
  <c r="W29" i="6"/>
  <c r="X29" i="6"/>
  <c r="Y29" i="6"/>
  <c r="BO5" i="6"/>
  <c r="BS5" i="6" s="1"/>
  <c r="J29" i="6"/>
  <c r="R29" i="6"/>
  <c r="Z29" i="6"/>
  <c r="K29" i="6"/>
  <c r="AH12" i="6"/>
  <c r="L31" i="7" s="1"/>
  <c r="BX7" i="5"/>
  <c r="BH6" i="5"/>
  <c r="AL12" i="5"/>
  <c r="AT12" i="5"/>
  <c r="M29" i="5"/>
  <c r="U29" i="5"/>
  <c r="AZ6" i="5"/>
  <c r="AR12" i="5"/>
  <c r="I29" i="5"/>
  <c r="Q29" i="5"/>
  <c r="Y29" i="5"/>
  <c r="R29" i="5"/>
  <c r="S29" i="5"/>
  <c r="AA29" i="5"/>
  <c r="AI12" i="5"/>
  <c r="BQ12" i="5" s="1"/>
  <c r="BU12" i="5" s="1"/>
  <c r="BX5" i="5" s="1"/>
  <c r="BX6" i="5" s="1"/>
  <c r="H23" i="4"/>
  <c r="G26" i="4"/>
  <c r="G25" i="4"/>
  <c r="G24" i="4"/>
  <c r="H24" i="4" s="1"/>
  <c r="G23" i="4"/>
  <c r="G22" i="4"/>
  <c r="H22" i="4" s="1"/>
  <c r="G21" i="4"/>
  <c r="H21" i="4" s="1"/>
  <c r="G20" i="4"/>
  <c r="H20" i="4" s="1"/>
  <c r="G19" i="4"/>
  <c r="H19" i="4" s="1"/>
  <c r="G18" i="4"/>
  <c r="H18" i="4" s="1"/>
  <c r="G17" i="4"/>
  <c r="H17" i="4" s="1"/>
  <c r="G16" i="4"/>
  <c r="H16" i="4" s="1"/>
  <c r="G15" i="4"/>
  <c r="H15" i="4" s="1"/>
  <c r="G14" i="4"/>
  <c r="H14" i="4" s="1"/>
  <c r="G13" i="4"/>
  <c r="H13" i="4" s="1"/>
  <c r="G12" i="4"/>
  <c r="H12" i="4" s="1"/>
  <c r="G11" i="4"/>
  <c r="H11" i="4" s="1"/>
  <c r="G10" i="4"/>
  <c r="H10" i="4" s="1"/>
  <c r="G9" i="4"/>
  <c r="H9" i="4" s="1"/>
  <c r="G8" i="4"/>
  <c r="H8" i="4" s="1"/>
  <c r="G7" i="4"/>
  <c r="H7" i="4" s="1"/>
  <c r="E6" i="4"/>
  <c r="G6" i="4" s="1"/>
  <c r="H6" i="4" s="1"/>
  <c r="G5" i="4"/>
  <c r="H5" i="4" s="1"/>
  <c r="E6" i="3"/>
  <c r="L59" i="7" l="1"/>
  <c r="Q61" i="7" s="1"/>
  <c r="BO12" i="6"/>
  <c r="BS12" i="6" s="1"/>
  <c r="BV7" i="6" s="1"/>
  <c r="AH29" i="6"/>
  <c r="AH33" i="6" s="1"/>
  <c r="L6" i="3"/>
  <c r="R6" i="3" a="1"/>
  <c r="R6" i="3" s="1"/>
  <c r="S6" i="3" s="1"/>
  <c r="AI29" i="5"/>
  <c r="AH32" i="6" l="1"/>
  <c r="AH31" i="6"/>
  <c r="AH30" i="6"/>
  <c r="BV5" i="6"/>
  <c r="BV6" i="6" s="1"/>
  <c r="W6" i="3"/>
  <c r="W4" i="3"/>
  <c r="L62" i="7" l="1"/>
  <c r="W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tc={2D59E38B-B2D8-4969-A8F5-13F4343DA6FA}</author>
    <author>tc={484B5D60-6D1D-4A3F-9050-039C58552CA6}</author>
    <author>tc={3AFE65FD-A661-4C85-A934-A90733F07389}</author>
    <author>tc={51BE264F-59F3-467B-816F-0AC750D11117}</author>
    <author>tc={35C233DE-A579-4EE1-AFF6-6EF6B65031A3}</author>
    <author>tc={109CC49D-BE50-481C-89D0-773486A16A72}</author>
    <author>tc={E5F46206-34E1-42A3-9032-41178E4E32B6}</author>
    <author>tc={E5044799-A498-446A-8A45-C24317E4D29C}</author>
    <author>tc={C86BE452-1F82-48EA-A919-414F7A825235}</author>
    <author>tc={DD356E3A-9F69-426E-8030-F3BC3688E33D}</author>
    <author>tc={5E5DF093-07F5-43A6-B48B-E29CA1E4CF4B}</author>
    <author>tc={7C313C7E-78FA-4F33-8326-54C41970C89E}</author>
    <author>tc={C617D07C-E022-4EA1-AA4A-B0FC694626E4}</author>
    <author>tc={DB5C8F0E-40B9-4224-B88D-3FD50BC7D17F}</author>
    <author>tc={8CE603C5-A25A-428B-93CA-DEFBC5621B86}</author>
    <author>tc={410A8AC9-AA9A-44AE-998B-3A5FA5B98187}</author>
    <author>tc={83955EBC-EB13-42F9-9CFF-FD4B3FECC29F}</author>
    <author>tc={08602258-7531-43ED-BE86-4280FEB73CAF}</author>
    <author>tc={30406598-BBDA-4C07-B911-C4A7BEDCCB8A}</author>
  </authors>
  <commentList>
    <comment ref="AO10" authorId="0" shapeId="0" xr:uid="{2D59E38B-B2D8-4969-A8F5-13F4343DA6F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Operação interrompida às 13:10hrs</t>
      </text>
    </comment>
    <comment ref="AP10" authorId="1" shapeId="0" xr:uid="{484B5D60-6D1D-4A3F-9050-039C58552CA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fora de operação devido abertura do disjuntor do circuito CA.</t>
      </text>
    </comment>
    <comment ref="AQ10" authorId="2" shapeId="0" xr:uid="{3AFE65FD-A661-4C85-A934-A90733F0738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fora de operação devido abertura do disjuntor do circuito CA.</t>
      </text>
    </comment>
    <comment ref="AR10" authorId="3" shapeId="0" xr:uid="{51BE264F-59F3-467B-816F-0AC750D1111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retomou sua operação às 12:20hrs.</t>
      </text>
    </comment>
    <comment ref="V11" authorId="4" shapeId="0" xr:uid="{35C233DE-A579-4EE1-AFF6-6EF6B65031A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Subtensão da rede</t>
      </text>
    </comment>
    <comment ref="R14" authorId="5" shapeId="0" xr:uid="{109CC49D-BE50-481C-89D0-773486A16A7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Sem comunicação até as 11:30</t>
      </text>
    </comment>
    <comment ref="K15" authorId="6" shapeId="0" xr:uid="{E5F46206-34E1-42A3-9032-41178E4E32B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em manutenção preventiva
</t>
      </text>
    </comment>
    <comment ref="L15" authorId="7" shapeId="0" xr:uid="{E5044799-A498-446A-8A45-C24317E4D29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em manutenção preventiva</t>
      </text>
    </comment>
    <comment ref="V15" authorId="8" shapeId="0" xr:uid="{C86BE452-1F82-48EA-A919-414F7A825235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Subtensão da rede
</t>
      </text>
    </comment>
    <comment ref="V17" authorId="9" shapeId="0" xr:uid="{DD356E3A-9F69-426E-8030-F3BC3688E33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fora de operação devido a falha de isolamento de proteção</t>
      </text>
    </comment>
    <comment ref="V22" authorId="10" shapeId="0" xr:uid="{5E5DF093-07F5-43A6-B48B-E29CA1E4CF4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Sem rede 16:35</t>
      </text>
    </comment>
    <comment ref="R23" authorId="11" shapeId="0" xr:uid="{7C313C7E-78FA-4F33-8326-54C41970C89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desativada para comissionamento de São José III</t>
      </text>
    </comment>
    <comment ref="S23" authorId="12" shapeId="0" xr:uid="{C617D07C-E022-4EA1-AA4A-B0FC694626E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desativada para comissionamento de São José III</t>
      </text>
    </comment>
    <comment ref="R25" authorId="13" shapeId="0" xr:uid="{DB5C8F0E-40B9-4224-B88D-3FD50BC7D17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Monitoramento com 2 de 3 inversores</t>
      </text>
    </comment>
    <comment ref="S25" authorId="14" shapeId="0" xr:uid="{8CE603C5-A25A-428B-93CA-DEFBC5621B8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Monitoramento com 2 de 3 inversores</t>
      </text>
    </comment>
    <comment ref="L27" authorId="15" shapeId="0" xr:uid="{410A8AC9-AA9A-44AE-998B-3A5FA5B9818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Monitoramento instável</t>
      </text>
    </comment>
    <comment ref="K28" authorId="16" shapeId="0" xr:uid="{83955EBC-EB13-42F9-9CFF-FD4B3FECC29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Geração de Santa Cecília I</t>
      </text>
    </comment>
    <comment ref="L28" authorId="17" shapeId="0" xr:uid="{08602258-7531-43ED-BE86-4280FEB73CA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Geração de Santa Cecília I</t>
      </text>
    </comment>
    <comment ref="V28" authorId="18" shapeId="0" xr:uid="{30406598-BBDA-4C07-B911-C4A7BEDCCB8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Sem rede 16:35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tc={07493A7A-30AC-405A-8AF8-0309EE942A33}</author>
    <author>tc={1C732D93-9624-433A-B714-381517C479DA}</author>
    <author>tc={168AEA5F-E610-49EB-B721-9D44D0A7F9A8}</author>
    <author>tc={324B7E99-51E9-445F-89D7-275E09B32635}</author>
    <author>tc={40258C9E-767B-463C-8EA9-283340A4333C}</author>
    <author>tc={888B39E0-683B-457D-9D73-E33FD58171F5}</author>
    <author>tc={2AE9B965-F816-40F8-85D1-F3269417361C}</author>
    <author>tc={F217AD1D-D4DC-45EC-B037-0A78F001A7C0}</author>
  </authors>
  <commentList>
    <comment ref="H11" authorId="0" shapeId="0" xr:uid="{07493A7A-30AC-405A-8AF8-0309EE942A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1" authorId="1" shapeId="0" xr:uid="{1C732D93-9624-433A-B714-381517C479D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H14" authorId="2" shapeId="0" xr:uid="{168AEA5F-E610-49EB-B721-9D44D0A7F9A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4" authorId="3" shapeId="0" xr:uid="{324B7E99-51E9-445F-89D7-275E09B3263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H15" authorId="4" shapeId="0" xr:uid="{40258C9E-767B-463C-8EA9-283340A4333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5" authorId="5" shapeId="0" xr:uid="{888B39E0-683B-457D-9D73-E33FD58171F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R17" authorId="6" shapeId="0" xr:uid="{2AE9B965-F816-40F8-85D1-F3269417361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Sem monitoramento
</t>
      </text>
    </comment>
    <comment ref="S17" authorId="7" shapeId="0" xr:uid="{F217AD1D-D4DC-45EC-B037-0A78F001A7C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Sem monitoramento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da Silva</author>
    <author>tc={FD480453-764B-4EAA-BEC1-7E3709BB6D48}</author>
    <author>tc={A5BD9F3F-B84F-4751-AFE9-DF7A0F834613}</author>
    <author>tc={18D70B89-21C4-4A62-A5AD-0665DFEE1708}</author>
  </authors>
  <commentList>
    <comment ref="I5" authorId="0" shapeId="0" xr:uid="{43BD8224-C70A-487D-8060-490D863002FF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até 9hs</t>
        </r>
      </text>
    </comment>
    <comment ref="I6" authorId="0" shapeId="0" xr:uid="{5FD7F18A-0F86-4CB1-A080-53E033F5081E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até as 9hs
</t>
        </r>
      </text>
    </comment>
    <comment ref="I7" authorId="0" shapeId="0" xr:uid="{7F44E2D7-C28A-4DDB-B634-BFA9071E6A84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até 9hs</t>
        </r>
      </text>
    </comment>
    <comment ref="Y7" authorId="0" shapeId="0" xr:uid="{2701416A-5860-4771-A43E-C19BACE1247D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até as 11:20
</t>
        </r>
      </text>
    </comment>
    <comment ref="I8" authorId="0" shapeId="0" xr:uid="{82EE8006-EE1B-43BB-9386-9D136E027EE7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até 9hs</t>
        </r>
      </text>
    </comment>
    <comment ref="Y8" authorId="0" shapeId="0" xr:uid="{EC786E4C-4FEB-409E-A993-C992FD133895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até as 11:20
</t>
        </r>
      </text>
    </comment>
    <comment ref="I9" authorId="0" shapeId="0" xr:uid="{551F1EF1-AE1D-4CFE-9CE1-3082B73FF10D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até 9hs</t>
        </r>
      </text>
    </comment>
    <comment ref="I11" authorId="0" shapeId="0" xr:uid="{D82E4EC0-1B5D-4D42-A801-942F40F378D3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a partir 10:20 até 18:40 ainda em falta</t>
        </r>
      </text>
    </comment>
    <comment ref="J11" authorId="0" shapeId="0" xr:uid="{93D4C596-20E3-4ED2-9BE5-25989B2E0BDB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problema com atendimento da CEMIG</t>
        </r>
      </text>
    </comment>
    <comment ref="AP11" authorId="1" shapeId="0" xr:uid="{FD480453-764B-4EAA-BEC1-7E3709BB6D4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I12" authorId="0" shapeId="0" xr:uid="{494B4EEB-1EA4-4FDF-AF93-67547117B618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até 9hs. Geração estimada devido a falta de comunicação</t>
        </r>
      </text>
    </comment>
    <comment ref="J12" authorId="0" shapeId="0" xr:uid="{65F9A988-9B38-4400-A656-008148B6B318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falta de comunicação</t>
        </r>
      </text>
    </comment>
    <comment ref="K12" authorId="0" shapeId="0" xr:uid="{EE52295F-8ED1-42CE-82EF-E075290AD0F9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falta de comunicação</t>
        </r>
      </text>
    </comment>
    <comment ref="L12" authorId="0" shapeId="0" xr:uid="{31B8C214-2C6C-4E64-8798-3EDE84E1576A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falta de comunicação</t>
        </r>
      </text>
    </comment>
    <comment ref="M12" authorId="0" shapeId="0" xr:uid="{F3699B58-EC4C-48E9-9294-ECF8BF13EC8E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falta de comunicação</t>
        </r>
      </text>
    </comment>
    <comment ref="N12" authorId="0" shapeId="0" xr:uid="{C39F6267-08FF-425B-88C5-6078C28F0F88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falta de comunicação</t>
        </r>
      </text>
    </comment>
    <comment ref="I13" authorId="0" shapeId="0" xr:uid="{AF5949D7-EF76-457B-9243-5BB3FE68A932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até as 9</t>
        </r>
      </text>
    </comment>
    <comment ref="I14" authorId="0" shapeId="0" xr:uid="{339DD942-33EA-4B86-97F2-4854CD2B37C9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apartir das 10hs</t>
        </r>
      </text>
    </comment>
    <comment ref="J14" authorId="0" shapeId="0" xr:uid="{76DD55DE-A203-4D3F-B66D-9FBFA24682E4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problema com atendimento da CEMIG</t>
        </r>
      </text>
    </comment>
    <comment ref="AP14" authorId="2" shapeId="0" xr:uid="{A5BD9F3F-B84F-4751-AFE9-DF7A0F83461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I15" authorId="0" shapeId="0" xr:uid="{BB9300E6-085A-44CC-8894-D36B84FB346F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apartir das 10hs</t>
        </r>
      </text>
    </comment>
    <comment ref="J15" authorId="0" shapeId="0" xr:uid="{F9A45FC9-C46C-454C-80C9-4DE1A36B08AF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problema com atendimento da CEMIG</t>
        </r>
      </text>
    </comment>
    <comment ref="AP15" authorId="3" shapeId="0" xr:uid="{18D70B89-21C4-4A62-A5AD-0665DFEE170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I23" authorId="0" shapeId="0" xr:uid="{04F83DBE-E64F-4843-ABB8-59092827216D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falta de comunicação. Verificado em 07/10</t>
        </r>
      </text>
    </comment>
    <comment ref="I24" authorId="0" shapeId="0" xr:uid="{E5657620-514F-4F87-94D3-A07787C6C1DD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falta de comunicação. Verificado em 07/10</t>
        </r>
      </text>
    </comment>
    <comment ref="I25" authorId="0" shapeId="0" xr:uid="{CE5C0512-1908-4207-ABBE-A9626186FE69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falha de comunicação.
Verificado em loco dia 07/10
</t>
        </r>
      </text>
    </comment>
    <comment ref="I26" authorId="0" shapeId="0" xr:uid="{B19C7C2C-DEC9-4D72-81AD-1EEBB1C70857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e geração estimada devido a perda de comunicação.
</t>
        </r>
      </text>
    </comment>
    <comment ref="J26" authorId="0" shapeId="0" xr:uid="{2C8A114F-6F0B-4495-9CD9-EDC10FE870A2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falha de comunicação.</t>
        </r>
      </text>
    </comment>
    <comment ref="K26" authorId="0" shapeId="0" xr:uid="{AA9B8452-55C7-4D92-AA68-E5C75B17F6A6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falha de comunicação.</t>
        </r>
      </text>
    </comment>
    <comment ref="L26" authorId="0" shapeId="0" xr:uid="{2D1FCCD6-3881-42C8-B551-0EF4A3B9E7F9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falha de comunicação.</t>
        </r>
      </text>
    </comment>
    <comment ref="M26" authorId="0" shapeId="0" xr:uid="{3A23ECFE-7BF9-4716-BA51-7DAD0E2572CA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falha de comunicação.</t>
        </r>
      </text>
    </comment>
    <comment ref="N26" authorId="0" shapeId="0" xr:uid="{1E338C01-7385-4620-8108-9A87144E15AD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falha de comunicação.</t>
        </r>
      </text>
    </comment>
    <comment ref="I27" authorId="0" shapeId="0" xr:uid="{A53696BA-1D28-40AA-9A26-18F3F5FEEF01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até as 14hs</t>
        </r>
      </text>
    </comment>
    <comment ref="S28" authorId="0" shapeId="0" xr:uid="{FD9D463C-39E2-4B51-965B-83FF8B987D53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falha de comunicação. Verificado em 17/10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- Criativa Energia</author>
    <author>tc={797A84C6-9B02-4FA0-B4D0-118C64CCAF10}</author>
    <author>tc={8225F9C8-AEAA-403E-84E8-2F4FAB1014D9}</author>
    <author>tc={591D4ED6-4088-4BE7-AABA-91F3B212B490}</author>
  </authors>
  <commentList>
    <comment ref="Y7" authorId="0" shapeId="0" xr:uid="{05BB1D6E-C98E-453C-9CC4-3F673F215B2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Verificar em loco;</t>
        </r>
      </text>
    </comment>
    <comment ref="Y8" authorId="0" shapeId="0" xr:uid="{DDB07C8D-8C10-4DAC-9437-2B0C3CD5B3E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Verificar em loco</t>
        </r>
      </text>
    </comment>
    <comment ref="AP11" authorId="1" shapeId="0" xr:uid="{797A84C6-9B02-4FA0-B4D0-118C64CCAF1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2" shapeId="0" xr:uid="{8225F9C8-AEAA-403E-84E8-2F4FAB1014D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3" shapeId="0" xr:uid="{591D4ED6-4088-4BE7-AABA-91F3B212B49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D17" authorId="0" shapeId="0" xr:uid="{B3196325-6626-4912-9EDE-C47EB3A22A12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sem energia das 11hs as 13hs</t>
        </r>
      </text>
    </comment>
    <comment ref="D18" authorId="0" shapeId="0" xr:uid="{B78548E7-997B-4121-9595-73A136ED65B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sem energia das 11hs as 13hs</t>
        </r>
      </text>
    </comment>
    <comment ref="J19" authorId="0" shapeId="0" xr:uid="{BD5E5121-7EF2-4918-9648-22CF88660A8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8hs as 10:15hs</t>
        </r>
      </text>
    </comment>
    <comment ref="J20" authorId="0" shapeId="0" xr:uid="{95257C01-B3EB-4AAF-B340-0316428B5C6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8hs as 10:15hs</t>
        </r>
      </text>
    </comment>
    <comment ref="J21" authorId="0" shapeId="0" xr:uid="{9C59F7F3-9F63-4B16-AE0D-FCF7D3F1D06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8hs as 10:15hs</t>
        </r>
      </text>
    </comment>
    <comment ref="T26" authorId="0" shapeId="0" xr:uid="{5F1BC95B-9ED1-4456-9C10-B0ED5AA6913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Estou deduzindo 1/14 do valores diarios gerados para compor o total do mês. Pois registrei 487,80 em 16/11, com a usina parada </t>
        </r>
      </text>
    </comment>
    <comment ref="AF26" authorId="0" shapeId="0" xr:uid="{806AF305-A134-4A7E-9862-E23FE45BD442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14hs
</t>
        </r>
      </text>
    </comment>
    <comment ref="D27" authorId="0" shapeId="0" xr:uid="{62DEDD59-A878-4654-B37C-8091416FD1C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Sem energia até as 10:50hs
</t>
        </r>
      </text>
    </comment>
    <comment ref="AA27" authorId="0" shapeId="0" xr:uid="{872F1A23-EE17-487B-83AE-235C1E9F5B9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12:50 as 14:50</t>
        </r>
      </text>
    </comment>
    <comment ref="AA28" authorId="0" shapeId="0" xr:uid="{AE31E65D-6D86-4070-A7CE-1F6E26A52B9D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12:50 as 14:50</t>
        </r>
      </text>
    </comment>
    <comment ref="Q29" authorId="0" shapeId="0" xr:uid="{02E01095-D797-42D6-B0E3-938B5569027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estimado devido a falha na comunicação</t>
        </r>
      </text>
    </comment>
    <comment ref="AA29" authorId="0" shapeId="0" xr:uid="{1A464783-63CA-46F2-BF56-1B1B406FA00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12:50 as 14:50</t>
        </r>
      </text>
    </comment>
    <comment ref="J30" authorId="0" shapeId="0" xr:uid="{D48F1BB9-E8A8-4A5F-9458-713A655B14B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Padrão de medição da usina pegou fogo as 14:30hs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- Criativa Energia</author>
    <author>tc={F72AA698-9417-4E6A-896B-F6425E8C2CC9}</author>
    <author>tc={2257295C-7016-4C73-B031-8C4954C7D4D0}</author>
    <author>tc={4107C8AE-4ECF-4448-A93B-D07221CF51F4}</author>
  </authors>
  <commentList>
    <comment ref="N5" authorId="0" shapeId="0" xr:uid="{133A41C6-6DE8-4DDD-856E-E54BA22DBF1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09:30 as 15:05hs</t>
        </r>
      </text>
    </comment>
    <comment ref="N6" authorId="0" shapeId="0" xr:uid="{60A3D2D2-D657-48E2-AF87-36B1D8318BC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09:30 as 15:05hs</t>
        </r>
      </text>
    </comment>
    <comment ref="N7" authorId="0" shapeId="0" xr:uid="{E3AB9DCF-AF63-4693-BAEE-4897F8AB6EDB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09:30 as 15:05hs</t>
        </r>
      </text>
    </comment>
    <comment ref="Q7" authorId="0" shapeId="0" xr:uid="{EEF5F40C-A4EF-432D-8D6D-5FEF1E68437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11hs as 16:35
</t>
        </r>
      </text>
    </comment>
    <comment ref="N8" authorId="0" shapeId="0" xr:uid="{4253B7D8-2CFA-4C28-8347-5CC30D7329A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09:30 as 15:05hs</t>
        </r>
      </text>
    </comment>
    <comment ref="Q8" authorId="0" shapeId="0" xr:uid="{DBA548C1-42C7-4837-BD74-C9CB2FA7E7A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11hs as 16:35
</t>
        </r>
      </text>
    </comment>
    <comment ref="K9" authorId="0" shapeId="0" xr:uid="{C77D93EE-0E08-4772-A8DB-8729A2115EE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a partir das 12:05</t>
        </r>
      </text>
    </comment>
    <comment ref="R9" authorId="0" shapeId="0" xr:uid="{8237852B-A5E8-4CDB-8CF1-6E7762BA603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enerfia das 11:15hs as 18hs</t>
        </r>
      </text>
    </comment>
    <comment ref="R10" authorId="0" shapeId="0" xr:uid="{601A63D3-7523-4811-A169-A4B850E06F3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enerfia das 11:15hs as 18hs</t>
        </r>
      </text>
    </comment>
    <comment ref="AP11" authorId="1" shapeId="0" xr:uid="{F72AA698-9417-4E6A-896B-F6425E8C2CC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K12" authorId="0" shapeId="0" xr:uid="{ED1A3E2E-01C5-4CF9-A4BE-47E2F744FCA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a partir das 12:05</t>
        </r>
      </text>
    </comment>
    <comment ref="R12" authorId="0" shapeId="0" xr:uid="{80DBB301-3153-431B-BC22-B406C86226B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enerfia das 11:15hs as 18hs</t>
        </r>
      </text>
    </comment>
    <comment ref="R13" authorId="0" shapeId="0" xr:uid="{531155F3-4136-4B41-BE70-EE5A0A596E42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enerfia das 11:15hs as 18hs</t>
        </r>
      </text>
    </comment>
    <comment ref="AP14" authorId="2" shapeId="0" xr:uid="{2257295C-7016-4C73-B031-8C4954C7D4D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3" shapeId="0" xr:uid="{4107C8AE-4ECF-4448-A93B-D07221CF51F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G17" authorId="0" shapeId="0" xr:uid="{089DC476-649B-4580-AB10-EF3BFE3BABA2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 6 às 10:hs</t>
        </r>
      </text>
    </comment>
    <comment ref="AD17" authorId="0" shapeId="0" xr:uid="{757A5366-A6E8-4C56-A7DC-6C5FEE5B158B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10:35hs
</t>
        </r>
      </text>
    </comment>
    <comment ref="F18" authorId="0" shapeId="0" xr:uid="{C5B7276A-238B-4770-AC2A-709DA168FBFD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Falha de tensão apartir das 10:30hs
</t>
        </r>
      </text>
    </comment>
    <comment ref="G18" authorId="0" shapeId="0" xr:uid="{DFE13B64-FCE6-4DB4-942A-D434C44F9B8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 6 às 10:hs</t>
        </r>
      </text>
    </comment>
    <comment ref="AD18" authorId="0" shapeId="0" xr:uid="{2828F088-F657-43F0-ABD3-25BF9F28848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10:35hs
</t>
        </r>
      </text>
    </comment>
    <comment ref="W19" authorId="0" shapeId="0" xr:uid="{39D41DD7-63CF-40EB-98D3-6D6EB162A01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por falha na rede de baixa tensão das 08:35hs às 11:20hs.</t>
        </r>
      </text>
    </comment>
    <comment ref="AD19" authorId="0" shapeId="0" xr:uid="{6E3FBBAD-FCAA-43D7-A638-BFBE3DF7032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9:10hs
</t>
        </r>
      </text>
    </comment>
    <comment ref="V20" authorId="0" shapeId="0" xr:uid="{5E806718-1C9C-48E0-94C9-7656E7CEC44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por falha na rede de baixa tensão das 13hs às 18hs.</t>
        </r>
      </text>
    </comment>
    <comment ref="W20" authorId="0" shapeId="0" xr:uid="{A16F4F98-3333-4BC8-B096-A99C3C88A3B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por falha na rede de baixa tensão das 08:35hs às 11:20hs.</t>
        </r>
      </text>
    </comment>
    <comment ref="AD20" authorId="0" shapeId="0" xr:uid="{5FD0706A-9606-4DF6-8BC5-5D484F180AE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9:10hs
</t>
        </r>
      </text>
    </comment>
    <comment ref="V21" authorId="0" shapeId="0" xr:uid="{6C674E5D-0AFB-4600-8C37-EB6189DFD4F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por falha na rede de baixa tensão das 13hs às 18hs.</t>
        </r>
      </text>
    </comment>
    <comment ref="W21" authorId="0" shapeId="0" xr:uid="{D503157B-7A95-40E1-B32F-049F8849790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por falha na rede de baixa tensão das 08:35hs às 11:20hs.</t>
        </r>
      </text>
    </comment>
    <comment ref="AD21" authorId="0" shapeId="0" xr:uid="{9D036A6F-04BE-446E-AFD7-510DA889DBF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9:10hs
</t>
        </r>
      </text>
    </comment>
    <comment ref="E27" authorId="0" shapeId="0" xr:uid="{149B94FD-ABE7-4D1A-BA9C-6D9A66EE45C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Duas falta de energia:
das 6hs as 8hs e das 13:15hs as 15:15hs</t>
        </r>
      </text>
    </comment>
    <comment ref="G27" authorId="0" shapeId="0" xr:uid="{50EFBCD0-92C6-45E4-89C2-6E0232BB88C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no periodo das 09:40 às 13:55hs
</t>
        </r>
      </text>
    </comment>
    <comment ref="K27" authorId="0" shapeId="0" xr:uid="{FCCE3399-1A80-4F05-A115-2D81590E86AB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a partir das 13:40 </t>
        </r>
      </text>
    </comment>
    <comment ref="V27" authorId="0" shapeId="0" xr:uid="{EE5C56E2-AEEA-44EB-A393-E30B9BBD889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Manutenção das 13:15 as 14:40hs para corrigir falha no ramal de entrada.</t>
        </r>
      </text>
    </comment>
    <comment ref="X27" authorId="0" shapeId="0" xr:uid="{974115DF-8525-46FE-978B-046C4C53C03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14:35hs às 18hs</t>
        </r>
      </text>
    </comment>
    <comment ref="AC27" authorId="0" shapeId="0" xr:uid="{D5DCC3BC-44EF-4D2C-9C92-B70F6983E8C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18hs
</t>
        </r>
      </text>
    </comment>
    <comment ref="E28" authorId="0" shapeId="0" xr:uid="{79ACE0F8-1DDA-4C32-ACDB-1D3C70F0EE8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Duas falta de energia:
das 6hs as 8hs e das 13:15hs as 15:15hs</t>
        </r>
      </text>
    </comment>
    <comment ref="G28" authorId="0" shapeId="0" xr:uid="{B37C6B44-9FBD-4DBF-B60D-8E0A56A27E9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no periodo das 09:40 às 13:55hs
</t>
        </r>
      </text>
    </comment>
    <comment ref="V28" authorId="0" shapeId="0" xr:uid="{F81526C0-3E57-4570-99F5-FC6336E2FDD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Manutenção das 13:15 as 14:40hs para corrigir falha no ramal de entrada.</t>
        </r>
      </text>
    </comment>
    <comment ref="AC28" authorId="0" shapeId="0" xr:uid="{C842006D-BA6B-4D69-BD20-FAEF40221FF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18hs
</t>
        </r>
      </text>
    </comment>
    <comment ref="E29" authorId="0" shapeId="0" xr:uid="{F3B29644-A4FA-4990-A5A2-E4506EBBBEB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Duas falta de energia:
das 6hs as 8hs e das 13:15hs as 15:15hs</t>
        </r>
      </text>
    </comment>
    <comment ref="G29" authorId="0" shapeId="0" xr:uid="{22CEB322-83E5-4A91-8B11-F3C542F28AB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Falha de conexao com a rede a partir da 9:30hs
</t>
        </r>
      </text>
    </comment>
    <comment ref="V29" authorId="0" shapeId="0" xr:uid="{EEF8CDCE-0C2E-46C2-9156-2B51ECB6627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Manutenção das 13:15 as 14:40hs para corrigir falha no ramal de entrada.</t>
        </r>
      </text>
    </comment>
    <comment ref="AC29" authorId="0" shapeId="0" xr:uid="{06308056-C2DF-4D53-A734-6C276C25C9D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18hs
</t>
        </r>
      </text>
    </comment>
    <comment ref="Y30" authorId="0" shapeId="0" xr:uid="{ACB73018-1C4A-4B16-92D7-8A610869D42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12:15 as 16:55</t>
        </r>
      </text>
    </comment>
    <comment ref="Z30" authorId="0" shapeId="0" xr:uid="{83E974AD-007E-455E-A150-2367A67994E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06 as 18:00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tc={48100D79-DA8A-40AB-91D9-F8D0082783D7}</author>
    <author>tc={0B2DC673-A6F3-4AC6-AC64-AD9BD8C3437A}</author>
    <author>tc={B9CAEA24-7FC0-46CA-94F6-77F0A9052467}</author>
    <author>Cleoberto Wagner - Criativa Energia</author>
  </authors>
  <commentList>
    <comment ref="AP11" authorId="0" shapeId="0" xr:uid="{48100D79-DA8A-40AB-91D9-F8D0082783D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1" shapeId="0" xr:uid="{0B2DC673-A6F3-4AC6-AC64-AD9BD8C3437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2" shapeId="0" xr:uid="{B9CAEA24-7FC0-46CA-94F6-77F0A905246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S19" authorId="3" shapeId="0" xr:uid="{63704EEA-8C17-4CDB-BEF3-FD8FA1CF16D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13:40 às 17:30
</t>
        </r>
      </text>
    </comment>
    <comment ref="S20" authorId="3" shapeId="0" xr:uid="{A8FDC70C-EC5E-4C61-B1E8-234512C3B88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13:40 às 17:30
</t>
        </r>
      </text>
    </comment>
    <comment ref="S21" authorId="3" shapeId="0" xr:uid="{B44E505B-388D-498B-8620-DF99B5919F9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13:40 às 17:30
</t>
        </r>
      </text>
    </comment>
    <comment ref="AG26" authorId="3" shapeId="0" xr:uid="{9A253D6B-F56A-4728-8AE0-5AE856501C5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7:35 às 12:55hs</t>
        </r>
      </text>
    </comment>
    <comment ref="R27" authorId="3" shapeId="0" xr:uid="{3BC1A1C0-9E30-4F08-84DC-2AA8BB54284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12:20 às 16:20
</t>
        </r>
      </text>
    </comment>
    <comment ref="R28" authorId="3" shapeId="0" xr:uid="{0095F660-32C7-4DAA-A4EB-2F1F3E3A7B8B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12:20 às 16:20
</t>
        </r>
      </text>
    </comment>
    <comment ref="R29" authorId="3" shapeId="0" xr:uid="{D28F1276-F07E-4A97-8E89-1E1A91EE7FA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12:20 às 16:20
</t>
        </r>
      </text>
    </comment>
    <comment ref="AA30" authorId="3" shapeId="0" xr:uid="{2842FE54-9DF7-4856-B3D0-BB8A391B47B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12:10hs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- Criativa Energia</author>
    <author>tc={FFA66D40-F7D2-4C1C-9640-39621525867F}</author>
    <author>tc={08920073-6617-4AD2-A235-B0EB7213926B}</author>
    <author>tc={678B1F69-1CFB-4C66-9902-EA946963BFE1}</author>
  </authors>
  <commentList>
    <comment ref="AC9" authorId="0" shapeId="0" xr:uid="{3653D5CE-B907-447E-BBDE-710FF2C7515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10:15hs às 18hs</t>
        </r>
      </text>
    </comment>
    <comment ref="AC10" authorId="0" shapeId="0" xr:uid="{BC85AC16-5D69-4607-B641-EF0A0FD80C6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10:15hs às 18hs</t>
        </r>
      </text>
    </comment>
    <comment ref="AP11" authorId="1" shapeId="0" xr:uid="{FFA66D40-F7D2-4C1C-9640-39621525867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C12" authorId="0" shapeId="0" xr:uid="{C11FC216-2BC5-4A6D-BF25-C257675045C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10:15hs às 18hs</t>
        </r>
      </text>
    </comment>
    <comment ref="AC13" authorId="0" shapeId="0" xr:uid="{1C5DD756-7617-4327-869E-373C284C9EF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10:15hs às 18hs</t>
        </r>
      </text>
    </comment>
    <comment ref="AP14" authorId="2" shapeId="0" xr:uid="{08920073-6617-4AD2-A235-B0EB7213926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3" shapeId="0" xr:uid="{678B1F69-1CFB-4C66-9902-EA946963BFE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V18" authorId="0" shapeId="0" xr:uid="{1CFA34FB-1C38-4CDF-A125-0B836636925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devido a queima do fusivel do transformador da light que atende a usina</t>
        </r>
      </text>
    </comment>
    <comment ref="Z21" authorId="0" shapeId="0" xr:uid="{40106E0C-0B88-478F-AD5A-1F17B860975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desligada das 11 às 13:30hs</t>
        </r>
      </text>
    </comment>
    <comment ref="AG26" authorId="0" shapeId="0" xr:uid="{BD902C68-E429-4CCF-A7B5-5A0C772587D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7:35 às 12:55hs</t>
        </r>
      </text>
    </comment>
    <comment ref="Z27" authorId="0" shapeId="0" xr:uid="{4C5F2650-114F-444A-A8BA-2D3097D07AF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Enegia reestabelecida ás 10hs</t>
        </r>
      </text>
    </comment>
    <comment ref="Z28" authorId="0" shapeId="0" xr:uid="{B7ED2043-E964-4344-879D-2D77BD0874A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Enegia reestabelecida ás 10hs</t>
        </r>
      </text>
    </comment>
    <comment ref="J29" authorId="0" shapeId="0" xr:uid="{A2C6B4F7-124E-4C3C-A6B3-325DA79DE1C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10:30 às 13:15hs</t>
        </r>
      </text>
    </comment>
    <comment ref="Z29" authorId="0" shapeId="0" xr:uid="{438A2F5B-0565-41CE-BE7F-140242285262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Enegia reestabelecida ás 10hs</t>
        </r>
      </text>
    </comment>
    <comment ref="Z30" authorId="0" shapeId="0" xr:uid="{72098DB6-4FBC-47C1-8F6F-153E725F209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6:15 às 15:10hs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tc={4C4A067F-624B-43EC-8D09-123EFCACEB44}</author>
    <author>Cleoberto Wagner - Criativa Energia</author>
    <author>tc={76772D9C-C759-4DDC-AADF-9111458FCF60}</author>
    <author>tc={1CA1F8D5-7117-4AAE-A3FE-CCD368BB2FB9}</author>
  </authors>
  <commentList>
    <comment ref="AP11" authorId="0" shapeId="0" xr:uid="{4C4A067F-624B-43EC-8D09-123EFCACEB4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D12" authorId="1" shapeId="0" xr:uid="{FCEAEA41-6D99-4045-93C8-F47DC6608A7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até as 16hs</t>
        </r>
      </text>
    </comment>
    <comment ref="AP14" authorId="2" shapeId="0" xr:uid="{76772D9C-C759-4DDC-AADF-9111458FCF6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3" shapeId="0" xr:uid="{1CA1F8D5-7117-4AAE-A3FE-CCD368BB2FB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E16" authorId="1" shapeId="0" xr:uid="{E7AF27D7-86D4-4F4A-AD50-40781112532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9:25 as 18hs</t>
        </r>
      </text>
    </comment>
    <comment ref="V16" authorId="1" shapeId="0" xr:uid="{89F33B84-4EE3-4C57-A1EE-F323481BC26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12:50
</t>
        </r>
      </text>
    </comment>
    <comment ref="E17" authorId="1" shapeId="0" xr:uid="{5BDAFC25-89C6-4985-A763-5188B93FF24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energia reestabelaecidas as 16:05</t>
        </r>
      </text>
    </comment>
    <comment ref="F17" authorId="1" shapeId="0" xr:uid="{4C58795C-6FC9-4C28-9894-D076ADDFEE7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14:15 às 17:20</t>
        </r>
      </text>
    </comment>
    <comment ref="E18" authorId="1" shapeId="0" xr:uid="{83F4F1F1-3F1E-4A5C-BC82-658779BAFA7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energia reestabelaecidas as 16:05</t>
        </r>
      </text>
    </comment>
    <comment ref="F18" authorId="1" shapeId="0" xr:uid="{2827C3C3-EAAB-49E6-9258-AA01A4C5141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14:15 às 17:20</t>
        </r>
      </text>
    </comment>
    <comment ref="E26" authorId="1" shapeId="0" xr:uid="{6712AD57-936C-45B6-B9DC-73AA7380FDC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durante todo o dia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- Criativa Energia</author>
    <author>tc={A741CF39-8888-4513-805A-D7FD3D17613D}</author>
    <author>tc={DA219367-2D57-48E5-9331-500775442A83}</author>
    <author>tc={854C7A07-EBB9-4EC8-8293-DDA7BE30DFF9}</author>
    <author>tc={1AC1D86E-360F-4D0A-A6F6-D5C86D80957E}</author>
    <author>tc={F1CC6076-1A26-489C-987E-C3FFFA3AF104}</author>
    <author>tc={A58B20F7-CB22-4BB6-AA3C-EAD36128A3C9}</author>
    <author>tc={09C3255A-B8A4-4D1D-9CCD-E180B54FC5D6}</author>
  </authors>
  <commentList>
    <comment ref="AC7" authorId="0" shapeId="0" xr:uid="{4C046D9F-BD31-4A0D-804D-D712FB38096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13:20 as 18hs</t>
        </r>
      </text>
    </comment>
    <comment ref="AC8" authorId="0" shapeId="0" xr:uid="{8ED94AFC-0496-4B3A-B22C-B8CE69584DA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13:20 as 18hs</t>
        </r>
      </text>
    </comment>
    <comment ref="AO11" authorId="1" shapeId="0" xr:uid="{A741CF39-8888-4513-805A-D7FD3D17613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4" authorId="2" shapeId="0" xr:uid="{DA219367-2D57-48E5-9331-500775442A8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5" authorId="3" shapeId="0" xr:uid="{854C7A07-EBB9-4EC8-8293-DDA7BE30DFF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S17" authorId="4" shapeId="0" xr:uid="{1AC1D86E-360F-4D0A-A6F6-D5C86D80957E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até as 12:30
</t>
      </text>
    </comment>
    <comment ref="W17" authorId="5" shapeId="0" xr:uid="{F1CC6076-1A26-489C-987E-C3FFFA3AF104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da 10hs as 12:05hs
</t>
      </text>
    </comment>
    <comment ref="AC17" authorId="0" shapeId="0" xr:uid="{61B0FD91-A47A-43EC-993A-ECCDA3FDE9EB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13:40 as 15:10</t>
        </r>
      </text>
    </comment>
    <comment ref="AD17" authorId="0" shapeId="0" xr:uid="{5D5EBE64-D71E-45E1-A57B-C19D5C2A493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10:35 as 13:40</t>
        </r>
      </text>
    </comment>
    <comment ref="S18" authorId="6" shapeId="0" xr:uid="{A58B20F7-CB22-4BB6-AA3C-EAD36128A3C9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até as 12:30
</t>
      </text>
    </comment>
    <comment ref="W18" authorId="7" shapeId="0" xr:uid="{09C3255A-B8A4-4D1D-9CCD-E180B54FC5D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da 10hs as 12:05hs
</t>
      </text>
    </comment>
    <comment ref="AC18" authorId="0" shapeId="0" xr:uid="{A14DE7D4-061B-4960-8758-AAA518DBC93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13:40 as 15:10</t>
        </r>
      </text>
    </comment>
    <comment ref="AD18" authorId="0" shapeId="0" xr:uid="{6D90B3BC-EDCD-470E-8B4A-5E7F35510D7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10:35 as 13:40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tc={2988C9DE-5BB7-4858-A480-F21621F9BD63}</author>
    <author>tc={A6AECF29-1AC6-4368-B669-2E6F453CC29C}</author>
    <author>tc={AE85A6BA-484B-470D-870C-43ACCFF435D6}</author>
    <author>Cleoberto Wagner - Criativa Energia</author>
  </authors>
  <commentList>
    <comment ref="AP11" authorId="0" shapeId="0" xr:uid="{2988C9DE-5BB7-4858-A480-F21621F9BD6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1" shapeId="0" xr:uid="{A6AECF29-1AC6-4368-B669-2E6F453CC29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2" shapeId="0" xr:uid="{AE85A6BA-484B-470D-870C-43ACCFF435D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L26" authorId="3" shapeId="0" xr:uid="{FAE13AE9-0FD1-46A2-A77B-0C0C8D3F43C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14:30</t>
        </r>
      </text>
    </comment>
    <comment ref="L29" authorId="3" shapeId="0" xr:uid="{ABF41EAB-F683-410A-A0E1-48427615CBDB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Inicio da operação as 13:00hs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tc={7FB09518-8842-4F90-A04A-A079AB69BCA1}</author>
    <author>tc={A4BA61CC-DC27-4815-B491-BBE8642A5C55}</author>
    <author>tc={5740146F-F0DF-43B0-99BC-65616C1D8F9E}</author>
    <author>Cleoberto Wagner - Criativa Energia</author>
  </authors>
  <commentList>
    <comment ref="AO11" authorId="0" shapeId="0" xr:uid="{7FB09518-8842-4F90-A04A-A079AB69BCA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4" authorId="1" shapeId="0" xr:uid="{A4BA61CC-DC27-4815-B491-BBE8642A5C5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5" authorId="2" shapeId="0" xr:uid="{5740146F-F0DF-43B0-99BC-65616C1D8F9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L27" authorId="3" shapeId="0" xr:uid="{0A41E547-5F4E-4987-8C41-3AEFB34AF11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13:03 as 18:30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tc={73914565-28CE-4ABA-B667-E579D06CBADA}</author>
    <author>tc={87AD308B-6D44-4058-8A84-A97941DE0AE1}</author>
    <author>tc={1D939404-DC95-4B57-99D6-4C37311B2BDA}</author>
    <author>Cleoberto Wagner - Criativa Energia</author>
  </authors>
  <commentList>
    <comment ref="AP11" authorId="0" shapeId="0" xr:uid="{73914565-28CE-4ABA-B667-E579D06CBAD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1" shapeId="0" xr:uid="{87AD308B-6D44-4058-8A84-A97941DE0AE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2" shapeId="0" xr:uid="{1D939404-DC95-4B57-99D6-4C37311B2BD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B27" authorId="3" shapeId="0" xr:uid="{74616685-A05E-4671-AD38-3E501E80320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Fora de operação desde às 11hs</t>
        </r>
      </text>
    </comment>
    <comment ref="X30" authorId="3" shapeId="0" xr:uid="{67D6E67D-86F5-4D72-BCB9-0494CACF003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14:40</t>
        </r>
      </text>
    </comment>
    <comment ref="X31" authorId="3" shapeId="0" xr:uid="{ACB7974B-52A1-4776-A5B0-3A100F9A310D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13:25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tc={0A1680F5-A64D-4A33-934B-BD568D5D71A4}</author>
    <author>tc={CD1E9A51-E1AC-43A3-B4F2-1712F8BE152E}</author>
    <author>tc={F69644A7-796E-4AF3-A93C-973E68B64737}</author>
    <author>Cleoberto Wagner - Criativa Energia</author>
  </authors>
  <commentList>
    <comment ref="AP11" authorId="0" shapeId="0" xr:uid="{0A1680F5-A64D-4A33-934B-BD568D5D71A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1" shapeId="0" xr:uid="{CD1E9A51-E1AC-43A3-B4F2-1712F8BE152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2" shapeId="0" xr:uid="{F69644A7-796E-4AF3-A93C-973E68B6473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H22" authorId="3" shapeId="0" xr:uid="{CF146582-569B-4FE4-A707-3A7ED5C9ADC2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10:25 as 18hs</t>
        </r>
      </text>
    </comment>
    <comment ref="H23" authorId="3" shapeId="0" xr:uid="{7F18BB75-7326-4E6C-AA65-9EA8345DAEA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10:25 as 18hs</t>
        </r>
      </text>
    </comment>
    <comment ref="H24" authorId="3" shapeId="0" xr:uid="{669A7046-936E-4946-AC05-B84BE3BBFB4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10:25 as 18hs</t>
        </r>
      </text>
    </comment>
    <comment ref="R27" authorId="3" shapeId="0" xr:uid="{CE09F3B7-6733-4758-AC7B-FD8740FCD1D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9:20 as 15hs
</t>
        </r>
      </text>
    </comment>
    <comment ref="R28" authorId="3" shapeId="0" xr:uid="{00C39740-5179-48AD-91DA-2B1A9019F0F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9:20 as 15hs
</t>
        </r>
      </text>
    </comment>
    <comment ref="R29" authorId="3" shapeId="0" xr:uid="{90C79541-8C7A-474F-8841-CAD1FCFFDD0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9:20 as 15hs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tc={ECBAD19D-A8CF-4C8A-AE40-0CBCCDA6FC02}</author>
    <author>tc={938EF8BA-B7E8-4C57-A080-69B0CFB8CA6E}</author>
    <author>tc={222D6D75-7976-4639-A38B-1634C9697CFF}</author>
    <author>Cleoberto Wagner - Criativa Energia</author>
  </authors>
  <commentList>
    <comment ref="AO11" authorId="0" shapeId="0" xr:uid="{ECBAD19D-A8CF-4C8A-AE40-0CBCCDA6FC0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4" authorId="1" shapeId="0" xr:uid="{938EF8BA-B7E8-4C57-A080-69B0CFB8CA6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5" authorId="2" shapeId="0" xr:uid="{222D6D75-7976-4639-A38B-1634C9697CF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R16" authorId="3" shapeId="0" xr:uid="{FCAA0C58-2E7B-4F3B-82C8-28522CEE846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7:25 as 16hs</t>
        </r>
      </text>
    </comment>
    <comment ref="AB26" authorId="3" shapeId="0" xr:uid="{215FD967-EFF6-4DE4-8D9E-B9DAAD135FC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10:30hs</t>
        </r>
      </text>
    </comment>
    <comment ref="R27" authorId="3" shapeId="0" xr:uid="{4F786631-F578-45B0-B808-B0EDCC3E870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12:45hs</t>
        </r>
      </text>
    </comment>
    <comment ref="R28" authorId="3" shapeId="0" xr:uid="{A38EC602-B8BE-4189-B3F4-A369329C47B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12:45hs</t>
        </r>
      </text>
    </comment>
    <comment ref="R29" authorId="3" shapeId="0" xr:uid="{3F20B59A-7AF7-4257-89AC-37528ED6140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12:45hs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tc={C0569ED0-A3B9-4D24-A5AD-77524BA94C64}</author>
    <author>tc={C0761CB1-C220-48CF-BE20-5C133BCD0A20}</author>
    <author>tc={FAE7D49E-C0D0-4DA5-8B53-093438938CD7}</author>
    <author>Cleoberto Wagner - Criativa Energia</author>
    <author>tc={A666B483-9623-40D1-821C-70417AB6C36E}</author>
    <author>tc={18DD9A36-D60A-4C47-9D3C-98CFA18EDF1E}</author>
    <author>tc={F933DB66-0A20-4120-BBCA-20F0D2F6F99E}</author>
  </authors>
  <commentList>
    <comment ref="AP11" authorId="0" shapeId="0" xr:uid="{C0569ED0-A3B9-4D24-A5AD-77524BA94C6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1" shapeId="0" xr:uid="{C0761CB1-C220-48CF-BE20-5C133BCD0A2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2" shapeId="0" xr:uid="{FAE7D49E-C0D0-4DA5-8B53-093438938CD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U16" authorId="3" shapeId="0" xr:uid="{B5E46194-29DE-45C5-8169-645F06AFBE5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9:50hs as 18hs</t>
        </r>
      </text>
    </comment>
    <comment ref="AG25" authorId="3" shapeId="0" xr:uid="{D41664F6-3C98-4497-9EFE-2464094C535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Sem comunicação</t>
        </r>
      </text>
    </comment>
    <comment ref="L27" authorId="4" shapeId="0" xr:uid="{A666B483-9623-40D1-821C-70417AB6C36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6 as 9:30hs</t>
      </text>
    </comment>
    <comment ref="O27" authorId="3" shapeId="0" xr:uid="{8627FBD3-DDD8-48EE-8107-DCCEC594A6E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11:20 as 18hs</t>
        </r>
      </text>
    </comment>
    <comment ref="AD27" authorId="3" shapeId="0" xr:uid="{929C3BD9-AF75-4D84-A693-5CA9293F063B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10:30hs</t>
        </r>
      </text>
    </comment>
    <comment ref="L28" authorId="5" shapeId="0" xr:uid="{18DD9A36-D60A-4C47-9D3C-98CFA18EDF1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6 as 9:30hs</t>
      </text>
    </comment>
    <comment ref="O28" authorId="3" shapeId="0" xr:uid="{E2A670C7-A6C4-444C-863F-D2C5FDE1939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11:20 as 18hs</t>
        </r>
      </text>
    </comment>
    <comment ref="AD28" authorId="3" shapeId="0" xr:uid="{12F266D6-F6EC-4A01-9656-FAADE2F8713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10:30hs</t>
        </r>
      </text>
    </comment>
    <comment ref="L29" authorId="6" shapeId="0" xr:uid="{F933DB66-0A20-4120-BBCA-20F0D2F6F99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6 as 9:30hs</t>
      </text>
    </comment>
    <comment ref="O29" authorId="3" shapeId="0" xr:uid="{2A2F66BF-8B18-43A4-922D-D59FF2D9A68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11:20 as 18hs</t>
        </r>
      </text>
    </comment>
    <comment ref="AD29" authorId="3" shapeId="0" xr:uid="{FE38D29E-553A-4DDC-B6A5-ED7092CD754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às 10:30hs</t>
        </r>
      </text>
    </comment>
    <comment ref="AG30" authorId="3" shapeId="0" xr:uid="{027E475F-3BF0-4F84-9342-51BC6357EC7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14hs as 18hs
</t>
        </r>
      </text>
    </comment>
    <comment ref="T31" authorId="3" shapeId="0" xr:uid="{1CD15919-077C-4340-B701-C7C053673EE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 6hs as 10hs</t>
        </r>
      </text>
    </comment>
    <comment ref="W31" authorId="3" shapeId="0" xr:uid="{EDA6664C-90B6-49D4-A3F2-BD232EDBD38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8:30 as 11:50hs</t>
        </r>
      </text>
    </comment>
    <comment ref="AG31" authorId="3" shapeId="0" xr:uid="{3BAD7766-9668-4F55-8130-60FEA7B99B3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14hs as 18hs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tc={6D4D1E79-2DDC-4B7F-8072-F64F0E97F095}</author>
    <author>tc={111FBC58-788B-48FE-B05A-981CF46EC3F9}</author>
    <author>tc={4F48AA3C-704F-4400-A9C1-A4BC2E196BB5}</author>
    <author>Cleoberto Wagner - Criativa Energia</author>
  </authors>
  <commentList>
    <comment ref="AO11" authorId="0" shapeId="0" xr:uid="{6D4D1E79-2DDC-4B7F-8072-F64F0E97F09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4" authorId="1" shapeId="0" xr:uid="{111FBC58-788B-48FE-B05A-981CF46EC3F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5" authorId="2" shapeId="0" xr:uid="{4F48AA3C-704F-4400-A9C1-A4BC2E196BB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J22" authorId="3" shapeId="0" xr:uid="{F2F53C26-AA96-49B0-AE23-984CED6F7A5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Fora de operação das 6 as 11h.</t>
        </r>
      </text>
    </comment>
    <comment ref="W22" authorId="3" shapeId="0" xr:uid="{7A17012F-95E2-41BD-B3C2-3A4A268490B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6h as 11:30h
</t>
        </r>
      </text>
    </comment>
    <comment ref="W23" authorId="3" shapeId="0" xr:uid="{E50B19BE-8C51-4BD6-9B00-2A4E223D56D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6h as 11:30h
</t>
        </r>
      </text>
    </comment>
    <comment ref="W24" authorId="3" shapeId="0" xr:uid="{C5882326-E24E-4562-84AC-B22C341B0564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6h as 11:30h
</t>
        </r>
      </text>
    </comment>
    <comment ref="M26" authorId="3" shapeId="0" xr:uid="{6D082709-26EC-4386-B53D-8C64F390568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10h</t>
        </r>
      </text>
    </comment>
    <comment ref="I27" authorId="3" shapeId="0" xr:uid="{3DD91AA7-3546-4F25-B0CC-EAFC054A122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6:50h
 às 12:15h</t>
        </r>
      </text>
    </comment>
    <comment ref="I28" authorId="3" shapeId="0" xr:uid="{CBF77F70-0BDF-4EB3-A654-43C4A5DC022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6:50h
 às 12:15h</t>
        </r>
      </text>
    </comment>
    <comment ref="O31" authorId="3" shapeId="0" xr:uid="{01F351C5-A58C-4BB1-8F10-77781E7592A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12h às 18h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- Criativa Energia</author>
    <author>tc={8C5EA515-0FBD-43FB-A11C-E43077D9294E}</author>
    <author>tc={511C5D2C-5F29-4A71-9FD2-BF2FAE2C8FF1}</author>
    <author>tc={397EBACE-7C98-4092-90A9-6044FE12AC40}</author>
    <author>tc={D1D37292-83F2-472C-B4BE-D1D82751E3AA}</author>
  </authors>
  <commentList>
    <comment ref="AA6" authorId="0" shapeId="0" xr:uid="{CB53CE20-9A48-4CDC-AB64-D0E1DAFC249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12:45 as 16:05</t>
        </r>
      </text>
    </comment>
    <comment ref="AP11" authorId="1" shapeId="0" xr:uid="{8C5EA515-0FBD-43FB-A11C-E43077D9294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2" shapeId="0" xr:uid="{511C5D2C-5F29-4A71-9FD2-BF2FAE2C8FF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3" shapeId="0" xr:uid="{397EBACE-7C98-4092-90A9-6044FE12AC4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O17" authorId="0" shapeId="0" xr:uid="{4547D7C8-2FF5-4643-B185-456064ED067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17:10hs
</t>
        </r>
      </text>
    </comment>
    <comment ref="O18" authorId="0" shapeId="0" xr:uid="{6106B3F1-D561-4E42-9CBB-A268200A7A3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17:10hs
</t>
        </r>
      </text>
    </comment>
    <comment ref="M19" authorId="4" shapeId="0" xr:uid="{D1D37292-83F2-472C-B4BE-D1D82751E3AA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Usina desligada para manutenção.
</t>
      </text>
    </comment>
    <comment ref="O19" authorId="0" shapeId="0" xr:uid="{FD143B58-5C11-490D-A0AD-345A2737590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11hs
</t>
        </r>
      </text>
    </comment>
    <comment ref="O20" authorId="0" shapeId="0" xr:uid="{9EFFC9A4-554B-43CD-8E6C-DF04623018ED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11hs
</t>
        </r>
      </text>
    </comment>
    <comment ref="O21" authorId="0" shapeId="0" xr:uid="{4F7E6694-F469-47C6-9F17-88B750DD26C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11hs
</t>
        </r>
      </text>
    </comment>
    <comment ref="N26" authorId="0" shapeId="0" xr:uid="{B4833373-07AB-4AE0-9791-49AE934504F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6h as 14:10
</t>
        </r>
      </text>
    </comment>
    <comment ref="W26" authorId="0" shapeId="0" xr:uid="{27D05305-2511-4BF1-949C-FC82618EDBC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6h as 11:30h
</t>
        </r>
      </text>
    </comment>
    <comment ref="Q27" authorId="0" shapeId="0" xr:uid="{5C8F2486-BA23-4B93-BF4D-FD3637EAD3C1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7:25 às 10:05</t>
        </r>
      </text>
    </comment>
    <comment ref="Q29" authorId="0" shapeId="0" xr:uid="{A77116EE-3884-48F5-AEE6-E276CBBDA3A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7:25 às 10:05</t>
        </r>
      </text>
    </comment>
    <comment ref="N30" authorId="0" shapeId="0" xr:uid="{934F3A8C-F477-42C9-BFE5-8F7FF10F661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11:40hs</t>
        </r>
      </text>
    </comment>
    <comment ref="V30" authorId="0" shapeId="0" xr:uid="{7C85B544-CC58-4BB5-8178-F55FA988F9D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6:50 as 10:20
</t>
        </r>
      </text>
    </comment>
    <comment ref="O31" authorId="0" shapeId="0" xr:uid="{A5534D77-70B4-4306-A62A-1069D0FCA19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12h às 18h</t>
        </r>
      </text>
    </comment>
    <comment ref="AG31" authorId="0" shapeId="0" xr:uid="{96948237-5936-49EA-8DB7-2C04524DC6D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13:15 as 18h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- Criativa Energia</author>
    <author>tc={6F7F5A7F-9CDE-426C-BD88-7B064B06E32C}</author>
    <author>tc={2251156E-D733-4D8B-AFD7-6203759529E7}</author>
    <author>tc={8C6E46D6-8F46-4F63-88E2-AAB52ACB0C55}</author>
  </authors>
  <commentList>
    <comment ref="K6" authorId="0" shapeId="0" xr:uid="{4E0DC2AA-46F7-412E-BAAE-FF554154111B}">
      <text>
        <r>
          <rPr>
            <b/>
            <sz val="9"/>
            <color indexed="81"/>
            <rFont val="Segoe UI"/>
            <family val="2"/>
          </rPr>
          <t xml:space="preserve">Cleoberto Wagner - Criativa Energia: </t>
        </r>
        <r>
          <rPr>
            <sz val="9"/>
            <color indexed="81"/>
            <rFont val="Segoe UI"/>
            <family val="2"/>
          </rPr>
          <t>falta de energia das 11:20 as 16:10hs</t>
        </r>
      </text>
    </comment>
    <comment ref="AP11" authorId="1" shapeId="0" xr:uid="{6F7F5A7F-9CDE-426C-BD88-7B064B06E32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2" shapeId="0" xr:uid="{2251156E-D733-4D8B-AFD7-6203759529E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3" shapeId="0" xr:uid="{8C6E46D6-8F46-4F63-88E2-AAB52ACB0C5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Y19" authorId="0" shapeId="0" xr:uid="{80639467-D7CC-44D2-BC24-1B658A729C1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15:30 às 18hs</t>
        </r>
      </text>
    </comment>
    <comment ref="Y20" authorId="0" shapeId="0" xr:uid="{CF1BCB1D-FCC9-4536-948F-423D348AFDE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15:30 às 18hs</t>
        </r>
      </text>
    </comment>
    <comment ref="Y21" authorId="0" shapeId="0" xr:uid="{8C78CB15-3D27-44D5-954A-A8AE9889028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15:30 às 18hs</t>
        </r>
      </text>
    </comment>
    <comment ref="AF26" authorId="0" shapeId="0" xr:uid="{71FF71E3-E466-4254-9DAA-F2FF631532D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15:10h</t>
        </r>
      </text>
    </comment>
    <comment ref="K30" authorId="0" shapeId="0" xr:uid="{10B04E12-3A99-4178-9453-0C16CAC7F332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10:10 as 13:20
</t>
        </r>
      </text>
    </comment>
    <comment ref="L30" authorId="0" shapeId="0" xr:uid="{2AABB59B-53C8-4029-8826-9524FA6D9E1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14:20 as 18hs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- Criativa Energia</author>
    <author>tc={42F0C8DE-5581-4C05-9A15-CE104008C27E}</author>
    <author>tc={96EEC05E-D56D-4F91-AAEE-7FED09142E3F}</author>
    <author>tc={51350F5A-B1B9-4061-9A32-F51EED456EE7}</author>
  </authors>
  <commentList>
    <comment ref="F6" authorId="0" shapeId="0" xr:uid="{B837A2AE-D679-4700-9FFE-A5F0ADAC3BE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13:50 as 18hs</t>
        </r>
      </text>
    </comment>
    <comment ref="O6" authorId="0" shapeId="0" xr:uid="{89E761DC-DBC0-4343-A8A0-C5DEE1CAF47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11h as 17h</t>
        </r>
      </text>
    </comment>
    <comment ref="S6" authorId="0" shapeId="0" xr:uid="{C14D856B-F893-4301-ABCD-F87E15060AE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14:40 as 18hs</t>
        </r>
      </text>
    </comment>
    <comment ref="AM11" authorId="1" shapeId="0" xr:uid="{42F0C8DE-5581-4C05-9A15-CE104008C27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M14" authorId="2" shapeId="0" xr:uid="{96EEC05E-D56D-4F91-AAEE-7FED09142E3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M15" authorId="3" shapeId="0" xr:uid="{51350F5A-B1B9-4061-9A32-F51EED456EE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C22" authorId="0" shapeId="0" xr:uid="{998F1C00-C8B5-42FB-83AA-9CE89125F12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11:20 as 16:40</t>
        </r>
      </text>
    </comment>
    <comment ref="W23" authorId="0" shapeId="0" xr:uid="{65A9C58D-8AFB-40C7-883A-84BFB1648DC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13:40 as 18
</t>
        </r>
      </text>
    </comment>
    <comment ref="AC23" authorId="0" shapeId="0" xr:uid="{83311828-CAB3-4EE0-9708-E9A144E6383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11:20 as 16:40</t>
        </r>
      </text>
    </comment>
    <comment ref="AC24" authorId="0" shapeId="0" xr:uid="{B8DB5D6E-7368-439A-BBA1-8B13D48594E2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11:20 as 16:40</t>
        </r>
      </text>
    </comment>
    <comment ref="AE26" authorId="0" shapeId="0" xr:uid="{A9EFBC6D-26E8-4EFB-8695-CC86F3402EA8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6hs as 12h.</t>
        </r>
      </text>
    </comment>
    <comment ref="M27" authorId="0" shapeId="0" xr:uid="{3E42B610-C5CB-4558-98C4-0F44A766AD9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13:50 as 18hs</t>
        </r>
      </text>
    </comment>
    <comment ref="V27" authorId="0" shapeId="0" xr:uid="{D1CB318B-D2F8-4E7A-8F51-1D49D65B086E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12:45 as 14hs</t>
        </r>
      </text>
    </comment>
    <comment ref="W27" authorId="0" shapeId="0" xr:uid="{114866E0-9BB6-4614-BC32-C900CDC5F24F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10:15 as 16:05
</t>
        </r>
      </text>
    </comment>
    <comment ref="M28" authorId="0" shapeId="0" xr:uid="{F7E6BA8C-47D9-445B-9D94-D8557D4EEB7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por falha de conexão eletrica</t>
        </r>
      </text>
    </comment>
    <comment ref="V28" authorId="0" shapeId="0" xr:uid="{6B56111D-9A21-4C3D-91A6-86857118EB9C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12:45 as 14hs</t>
        </r>
      </text>
    </comment>
    <comment ref="W28" authorId="0" shapeId="0" xr:uid="{B08AFE44-D03D-48C5-8683-16071A851C3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10:15 as 16:05
</t>
        </r>
      </text>
    </comment>
    <comment ref="M29" authorId="0" shapeId="0" xr:uid="{1E34AFBE-DF3F-46E0-8170-B3DAC8535747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13:50 as 18hs</t>
        </r>
      </text>
    </comment>
    <comment ref="V29" authorId="0" shapeId="0" xr:uid="{2AC7E1AA-C7FB-43DC-A1FA-9268295FDC0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12:45 as 14hs</t>
        </r>
      </text>
    </comment>
    <comment ref="W29" authorId="0" shapeId="0" xr:uid="{2D14ECC7-B909-42B4-8A81-7C60EA39DFD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10:15 as 16:05
</t>
        </r>
      </text>
    </comment>
    <comment ref="H31" authorId="0" shapeId="0" xr:uid="{8EE518F9-FD6D-4820-A310-BE0C1B2AD969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10:20 as 12h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tc={561EE03E-F3D0-491E-A966-D90A91A01506}</author>
    <author>tc={CC06363E-EFF9-4A6C-AB3F-4777439A85F9}</author>
    <author>tc={A87F8F45-D5E7-49BD-BA72-43B8DE8239D0}</author>
    <author>Cleoberto Wagner - Criativa Energia</author>
  </authors>
  <commentList>
    <comment ref="AP11" authorId="0" shapeId="0" xr:uid="{561EE03E-F3D0-491E-A966-D90A91A0150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1" shapeId="0" xr:uid="{CC06363E-EFF9-4A6C-AB3F-4777439A85F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2" shapeId="0" xr:uid="{A87F8F45-D5E7-49BD-BA72-43B8DE8239D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G16" authorId="3" shapeId="0" xr:uid="{3E8014AB-DB65-4D71-9614-D47C8F86AB06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12:50 as 15:40hs</t>
        </r>
      </text>
    </comment>
    <comment ref="V22" authorId="3" shapeId="0" xr:uid="{2CD7F369-29D6-4538-89D3-35991794C0F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9:30 as 17:30</t>
        </r>
      </text>
    </comment>
    <comment ref="V23" authorId="3" shapeId="0" xr:uid="{C0854822-7EAE-42E4-9477-743CFBE86955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9:30 as 17:30</t>
        </r>
      </text>
    </comment>
    <comment ref="V24" authorId="3" shapeId="0" xr:uid="{682477A8-AAB1-4D36-900B-DC37747BF47B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9:30 as 17:30</t>
        </r>
      </text>
    </comment>
    <comment ref="P30" authorId="3" shapeId="0" xr:uid="{2D14D14C-CF97-46D7-B607-B07FCF1B8EC3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11:40 as 18h</t>
        </r>
      </text>
    </comment>
    <comment ref="U31" authorId="3" shapeId="0" xr:uid="{C36244DB-7256-4D3B-B674-558B2FFE8DC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das 6 as 12h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tc={36055D92-1D45-4F79-9DE6-D5AA0D2EE03A}</author>
    <author>tc={22CD3C16-D85B-472E-8DA9-F72989AA983F}</author>
    <author>tc={4FF2F039-B47C-4C81-9ED3-16A66C0194A7}</author>
    <author>Cleoberto Wagner - Criativa Energia</author>
  </authors>
  <commentList>
    <comment ref="AO11" authorId="0" shapeId="0" xr:uid="{36055D92-1D45-4F79-9DE6-D5AA0D2EE03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4" authorId="1" shapeId="0" xr:uid="{22CD3C16-D85B-472E-8DA9-F72989AA983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5" authorId="2" shapeId="0" xr:uid="{4FF2F039-B47C-4C81-9ED3-16A66C0194A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H27" authorId="3" shapeId="0" xr:uid="{83E01D58-A65A-443E-8A58-67E42FD0B88D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 13h as 18h</t>
        </r>
      </text>
    </comment>
    <comment ref="H28" authorId="3" shapeId="0" xr:uid="{44696FD8-4679-4A9F-928C-CE2FFC3BA770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 13h as 18h</t>
        </r>
      </text>
    </comment>
    <comment ref="H29" authorId="3" shapeId="0" xr:uid="{5F87EA22-09AD-4176-8EA4-7FEB8A6E77EA}">
      <text>
        <r>
          <rPr>
            <b/>
            <sz val="9"/>
            <color indexed="81"/>
            <rFont val="Segoe UI"/>
            <family val="2"/>
          </rPr>
          <t>Cleoberto Wagner - Criativa Energia:</t>
        </r>
        <r>
          <rPr>
            <sz val="9"/>
            <color indexed="81"/>
            <rFont val="Segoe UI"/>
            <family val="2"/>
          </rPr>
          <t xml:space="preserve">
falta de energia da 13h as 18h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tc={44BA630D-35E0-43E2-ABDA-A40EC9137A73}</author>
    <author>tc={6BC61341-4D0D-4ACB-8ACC-B33C698D068C}</author>
    <author>tc={D5110906-A925-4066-AE48-4AFF228E50AE}</author>
  </authors>
  <commentList>
    <comment ref="AP11" authorId="0" shapeId="0" xr:uid="{44BA630D-35E0-43E2-ABDA-A40EC9137A7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1" shapeId="0" xr:uid="{6BC61341-4D0D-4ACB-8ACC-B33C698D068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2" shapeId="0" xr:uid="{D5110906-A925-4066-AE48-4AFF228E50A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tc={C6C117D4-671A-49A6-A82B-A2D38F8FC7AD}</author>
    <author>tc={5FE6E206-EC2C-4A74-9AC9-67E501DCAB0D}</author>
    <author>tc={EEABDDD1-CC4B-442B-A4E2-23C348D7BBF1}</author>
  </authors>
  <commentList>
    <comment ref="AO11" authorId="0" shapeId="0" xr:uid="{C6C117D4-671A-49A6-A82B-A2D38F8FC7A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4" authorId="1" shapeId="0" xr:uid="{5FE6E206-EC2C-4A74-9AC9-67E501DCAB0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O15" authorId="2" shapeId="0" xr:uid="{EEABDDD1-CC4B-442B-A4E2-23C348D7BBF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tc={F2564674-E1BE-4DD0-9339-A29C68D34940}</author>
    <author>tc={D141E437-0073-4542-B2D3-00414F2C8627}</author>
    <author>tc={DB00828C-21B4-4423-A9A4-2EC0413D6E46}</author>
    <author>tc={DD13543F-2265-4E99-A736-CDE96DCC96E5}</author>
    <author>tc={A9763060-ED7D-4989-9D5B-59111E6E717F}</author>
    <author>tc={41B3FA3D-ED8E-4295-87CC-0C86828CC549}</author>
  </authors>
  <commentList>
    <comment ref="AP11" authorId="0" shapeId="0" xr:uid="{F2564674-E1BE-4DD0-9339-A29C68D3494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4" authorId="1" shapeId="0" xr:uid="{D141E437-0073-4542-B2D3-00414F2C862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AP15" authorId="2" shapeId="0" xr:uid="{DB00828C-21B4-4423-A9A4-2EC0413D6E4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Interrupção programada da concessionária entre 11:20 e 18:00</t>
      </text>
    </comment>
    <comment ref="R28" authorId="3" shapeId="0" xr:uid="{DD13543F-2265-4E99-A736-CDE96DCC96E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das 8:40 às 14:35</t>
      </text>
    </comment>
    <comment ref="R29" authorId="4" shapeId="0" xr:uid="{A9763060-ED7D-4989-9D5B-59111E6E717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das 8:40 às 14:35</t>
      </text>
    </comment>
    <comment ref="R30" authorId="5" shapeId="0" xr:uid="{41B3FA3D-ED8E-4295-87CC-0C86828CC54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Falta de energia das 8:40 às 14:35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Cleoberto Wagner da Silva</author>
  </authors>
  <commentList>
    <comment ref="Z33" authorId="0" shapeId="0" xr:uid="{0C0820E1-2EB4-4004-B0E3-7EF4403B3C05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até as 11:20
</t>
        </r>
      </text>
    </comment>
    <comment ref="Z34" authorId="0" shapeId="0" xr:uid="{15E836BA-5DA3-487E-8529-2E932B9C003B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falta de energia até as 11:20
</t>
        </r>
      </text>
    </comment>
    <comment ref="Z55" authorId="0" shapeId="0" xr:uid="{CDD3CFEC-81CB-4539-8414-8E8638C818A1}">
      <text>
        <r>
          <rPr>
            <b/>
            <sz val="9"/>
            <color indexed="81"/>
            <rFont val="Segoe UI"/>
            <family val="2"/>
          </rPr>
          <t>Cleoberto Wagner da Silva:</t>
        </r>
        <r>
          <rPr>
            <sz val="9"/>
            <color indexed="81"/>
            <rFont val="Segoe UI"/>
            <family val="2"/>
          </rPr>
          <t xml:space="preserve">
Geração estimada devido a falha de comunicação. Verificado em 17/10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<sst xmlns="http://schemas.openxmlformats.org/spreadsheetml/2006/main" count="8052" uniqueCount="1162">
  <si>
    <t xml:space="preserve">Fórmula do FC: </t>
  </si>
  <si>
    <t>Adicionar FCs dos MESES, de cada mês</t>
  </si>
  <si>
    <t>Potência Instalada no local (kWp)</t>
  </si>
  <si>
    <t>Fc julho(projeção PVSyst)</t>
  </si>
  <si>
    <t>FC JULHO/23</t>
  </si>
  <si>
    <t>Variação</t>
  </si>
  <si>
    <t>Cemig
(GSM Solarion)</t>
  </si>
  <si>
    <t>PEQUERI I</t>
  </si>
  <si>
    <t>CORONEL ABÍLIO</t>
  </si>
  <si>
    <t>OLARIA CX1</t>
  </si>
  <si>
    <t>OLARIA CX2</t>
  </si>
  <si>
    <t>TRIUNFO CX1</t>
  </si>
  <si>
    <t>TRIUNFO CX2</t>
  </si>
  <si>
    <t>LOTE 14</t>
  </si>
  <si>
    <t>CAMPO BELO I</t>
  </si>
  <si>
    <t>NÃO POSSUI MONITORAMENTO</t>
  </si>
  <si>
    <t>Cemig
(Consórcio Prime 01)</t>
  </si>
  <si>
    <t>CAMPO BELO II</t>
  </si>
  <si>
    <t>LOTE 12</t>
  </si>
  <si>
    <t>LOTE 14A</t>
  </si>
  <si>
    <t>BELMIRO BRAGA I</t>
  </si>
  <si>
    <t>Light
(Consórcio Prime 02)</t>
  </si>
  <si>
    <t>CAMPO ALEGRE II</t>
  </si>
  <si>
    <t>CAMPO ALEGRE III</t>
  </si>
  <si>
    <t>VARGEM LINDA I</t>
  </si>
  <si>
    <t>VARGEM LINDA II</t>
  </si>
  <si>
    <t>VARGEM LINDA III</t>
  </si>
  <si>
    <t>SANTA CECÍLIA I</t>
  </si>
  <si>
    <t>SÃO JOSÉ I</t>
  </si>
  <si>
    <t>SÃO JOSÉ II</t>
  </si>
  <si>
    <t>SÃO JOSÉ III</t>
  </si>
  <si>
    <t>-</t>
  </si>
  <si>
    <t>SANTA LUIZA I</t>
  </si>
  <si>
    <t>Fc parcial acima do esperado</t>
  </si>
  <si>
    <t>Fc parcial muito abaixo do esperado</t>
  </si>
  <si>
    <t>Fc parcial pouco abaixo do esperado (&lt; 1%)</t>
  </si>
  <si>
    <t>UFV sem monitoramento ativo</t>
  </si>
  <si>
    <t xml:space="preserve">Período da análise: Mês de agosto/23
</t>
  </si>
  <si>
    <t>Monitoramento 01/08/23 (kWh)</t>
  </si>
  <si>
    <t>Monitoramento 02/08/23 (kWh)</t>
  </si>
  <si>
    <t>Monitoramento 03/08/23 (kWh)</t>
  </si>
  <si>
    <t>Monitoramento 04/08/23 (kWh)</t>
  </si>
  <si>
    <t>Monitoramento 05/08/23 (kWh)</t>
  </si>
  <si>
    <t>Monitoramento 06/08/23 (kWh)</t>
  </si>
  <si>
    <t>Monitoramento 07/08/23 (kWh)</t>
  </si>
  <si>
    <t>Monitoramento 08/08/23 (kWh)</t>
  </si>
  <si>
    <t>Monitoramento 09/08/23 (kWh)</t>
  </si>
  <si>
    <t>Monitoramento 10/08/23 (kWh)</t>
  </si>
  <si>
    <t>Monitoramento 11/08/23 (kWh)</t>
  </si>
  <si>
    <t>Monitoramento 12/08/23 (kWh)</t>
  </si>
  <si>
    <t>Monitoramento 13/08/23 (kWh)</t>
  </si>
  <si>
    <t>Monitoramento 14/08/23 (kWh)</t>
  </si>
  <si>
    <t>Monitoramento 15/08/23 (kWh)</t>
  </si>
  <si>
    <t>Monitoramento 16/08/23 (kWh)</t>
  </si>
  <si>
    <t>Monitoramento 17/08/23 (kWh)</t>
  </si>
  <si>
    <t>Monitoramento 18/08/23 (kWh)</t>
  </si>
  <si>
    <t>Monitoramento 19/08/23 (kWh)</t>
  </si>
  <si>
    <t>Monitoramento 20/08/23 (kWh)</t>
  </si>
  <si>
    <t>Monitoramento 21/08/23 (kWh)</t>
  </si>
  <si>
    <t>Monitoramento 22/08/23 (kWh)</t>
  </si>
  <si>
    <t>Monitoramento 23/08/23 (kWh)</t>
  </si>
  <si>
    <t>Monitoramento 24/08/23 (kWh)</t>
  </si>
  <si>
    <t>Monitoramento 25/08/23 (kWh)</t>
  </si>
  <si>
    <t>Monitoramento 26/08/23 (kWh)</t>
  </si>
  <si>
    <t>Monitoramento 27/08/23 (kWh)</t>
  </si>
  <si>
    <t>Monitoramento 28/08/23 (kWh)</t>
  </si>
  <si>
    <t>Monitoramento 29/08/23 (kWh)</t>
  </si>
  <si>
    <t>Monitoramento 30/08/23 (kWh)</t>
  </si>
  <si>
    <t>Monitoramento 31/08/23 (kWh)</t>
  </si>
  <si>
    <t>Monitoramento acumulado do mês (kWh)</t>
  </si>
  <si>
    <t>Fc (monitorado - todo período)</t>
  </si>
  <si>
    <t>FC       01/08/2023</t>
  </si>
  <si>
    <t>FC       02/08/2023</t>
  </si>
  <si>
    <t>FC       03/08/2023</t>
  </si>
  <si>
    <t>FC       04/08/2023</t>
  </si>
  <si>
    <t>FC       05/08/2023</t>
  </si>
  <si>
    <t>FC       06/08/2023</t>
  </si>
  <si>
    <t>FC       07/08/2023</t>
  </si>
  <si>
    <t>FC       08/08/2023</t>
  </si>
  <si>
    <t>FC       09/08/2023</t>
  </si>
  <si>
    <t>FC       10/08/2023</t>
  </si>
  <si>
    <t>FC       11/08/2023</t>
  </si>
  <si>
    <t>FC       12/08/2023</t>
  </si>
  <si>
    <t>FC       13/08/2023</t>
  </si>
  <si>
    <t>FC       14/08/2023</t>
  </si>
  <si>
    <t>FC       15/08/2023</t>
  </si>
  <si>
    <t>FC       16/08/2023</t>
  </si>
  <si>
    <t>FC       17/08/2023</t>
  </si>
  <si>
    <t>FC       18/08/2023</t>
  </si>
  <si>
    <t>FC       19/08/2023</t>
  </si>
  <si>
    <t>FC       20/08/2023</t>
  </si>
  <si>
    <t>FC       21/08/2023</t>
  </si>
  <si>
    <t>FC       22/08/2023</t>
  </si>
  <si>
    <t>FC       23/08/2023</t>
  </si>
  <si>
    <t>FC       24/08/2023</t>
  </si>
  <si>
    <t>FC       25/08/2023</t>
  </si>
  <si>
    <t>FC       26/08/2023</t>
  </si>
  <si>
    <t>FC       27/08/2023</t>
  </si>
  <si>
    <t>FC       28/08/2023</t>
  </si>
  <si>
    <t>FC       29/08/2023</t>
  </si>
  <si>
    <t>FC       30/08/2023</t>
  </si>
  <si>
    <t>FC       31/08/2023</t>
  </si>
  <si>
    <t>FC 
(acumulado mês)</t>
  </si>
  <si>
    <t>Fc 
(projeção PVSyst)</t>
  </si>
  <si>
    <t>Média ponderada (coluna E x coluna I)</t>
  </si>
  <si>
    <t>Variação %
03/08/23</t>
  </si>
  <si>
    <t>Variação %
(acumulado mês)</t>
  </si>
  <si>
    <t>Usinas Acima</t>
  </si>
  <si>
    <t>Pouco Abaixo</t>
  </si>
  <si>
    <t>Abaixo</t>
  </si>
  <si>
    <t>LOTE 14 A</t>
  </si>
  <si>
    <t>SÃO FRANCISCO I</t>
  </si>
  <si>
    <t>SANTA CECILIA II</t>
  </si>
  <si>
    <t>Total</t>
  </si>
  <si>
    <t>FC parcial acima do esperado</t>
  </si>
  <si>
    <t>Média da energia calculada no período de usina próxima</t>
  </si>
  <si>
    <t>FC parcial muito abaixo do esperado</t>
  </si>
  <si>
    <t>GSM / Consórcio</t>
  </si>
  <si>
    <t>Usina</t>
  </si>
  <si>
    <t>47953.60</t>
  </si>
  <si>
    <t>48003.70</t>
  </si>
  <si>
    <t>65969.10</t>
  </si>
  <si>
    <t>66183.00</t>
  </si>
  <si>
    <t>93117.50</t>
  </si>
  <si>
    <t>93261.80</t>
  </si>
  <si>
    <t>56274.9</t>
  </si>
  <si>
    <t>224246.80</t>
  </si>
  <si>
    <t>224432.20</t>
  </si>
  <si>
    <t>85038.56</t>
  </si>
  <si>
    <t>85412.51</t>
  </si>
  <si>
    <t>9322.20</t>
  </si>
  <si>
    <t>Preenchido diáriamente as 16:30</t>
  </si>
  <si>
    <t xml:space="preserve">Cálculo feito com base no registro da geração </t>
  </si>
  <si>
    <t xml:space="preserve">Período da análise: Mês de setembro/23
</t>
  </si>
  <si>
    <t>Monitoramento 01/09/2023 (kWh)</t>
  </si>
  <si>
    <t>Monitoramento 02/09/2023 (kWh)</t>
  </si>
  <si>
    <t>Monitoramento 03/09/2023 (kWh)</t>
  </si>
  <si>
    <t>Monitoramento 04/09/2023 (kWh)</t>
  </si>
  <si>
    <t>Monitoramento 05/09/2023 (kWh)</t>
  </si>
  <si>
    <t>Monitoramento 06/09/2023 (kWh)</t>
  </si>
  <si>
    <t>Monitoramento 07/09/2023 (kWh)</t>
  </si>
  <si>
    <t>Monitoramento 08/09/2023 (kWh)</t>
  </si>
  <si>
    <t>Monitoramento 09/09/2023 (kWh)</t>
  </si>
  <si>
    <t>Monitoramento 10/09/2023 (kWh)</t>
  </si>
  <si>
    <t>Monitoramento 11/09/2023 (kWh)</t>
  </si>
  <si>
    <t>Monitoramento 12/09/2023 (kWh)</t>
  </si>
  <si>
    <t>Monitoramento 13/09/2023 (kWh)</t>
  </si>
  <si>
    <t>Monitoramento 14/09/2023 (kWh)</t>
  </si>
  <si>
    <t>Monitoramento 15/09/2023 (kWh)</t>
  </si>
  <si>
    <t>Monitoramento 16/09/2023 (kWh)</t>
  </si>
  <si>
    <t>Monitoramento 17/09/2023 (kWh)</t>
  </si>
  <si>
    <t>Monitoramento 18/09/2023 (kWh)</t>
  </si>
  <si>
    <t>Monitoramento 19/09/2023 (kWh)</t>
  </si>
  <si>
    <t>Monitoramento 20/09/2023 (kWh)</t>
  </si>
  <si>
    <t>Monitoramento 21/09/2023 (kWh)</t>
  </si>
  <si>
    <t>Monitoramento 22/09/2023 (kWh)</t>
  </si>
  <si>
    <t>Monitoramento 23/09/2023 (kWh)</t>
  </si>
  <si>
    <t>Monitoramento 24/09/2023 (kWh)</t>
  </si>
  <si>
    <t>Monitoramento 25/09/2023 (kWh)</t>
  </si>
  <si>
    <t>Monitoramento 26/09/2023 (kWh)</t>
  </si>
  <si>
    <t>Monitoramento 27/09/2023 (kWh)</t>
  </si>
  <si>
    <t>Monitoramento 28/09/2023 (kWh)</t>
  </si>
  <si>
    <t>Monitoramento 29/09/2023 (kWh)</t>
  </si>
  <si>
    <t>Monitoramento 30/09/2023 (kWh)</t>
  </si>
  <si>
    <t>FC           01/09/2023</t>
  </si>
  <si>
    <t>FC           02/09/2023</t>
  </si>
  <si>
    <t>FC           03/09/2023</t>
  </si>
  <si>
    <t>FC           04/09/2023</t>
  </si>
  <si>
    <t>FC           05/09/2023</t>
  </si>
  <si>
    <t>FC           06/09/2023</t>
  </si>
  <si>
    <t>FC           07/09/2023</t>
  </si>
  <si>
    <t>FC           08/09/2023</t>
  </si>
  <si>
    <t>FC           09/09/2023</t>
  </si>
  <si>
    <t>FC           10/09/2023</t>
  </si>
  <si>
    <t>FC           11/09/2023</t>
  </si>
  <si>
    <t>FC           12/09/2023</t>
  </si>
  <si>
    <t>FC           13/09/2023</t>
  </si>
  <si>
    <t>FC           14/09/2023</t>
  </si>
  <si>
    <t>FC           15/09/2023</t>
  </si>
  <si>
    <t>FC           16/09/2023</t>
  </si>
  <si>
    <t>FC           17/09/2023</t>
  </si>
  <si>
    <t>FC           18/09/2023</t>
  </si>
  <si>
    <t>FC           19/09/2023</t>
  </si>
  <si>
    <t>FC           20/09/2023</t>
  </si>
  <si>
    <t>FC           21/09/2023</t>
  </si>
  <si>
    <t>FC           22/09/2023</t>
  </si>
  <si>
    <t>FC           23/09/2023</t>
  </si>
  <si>
    <t>FC           24/09/2023</t>
  </si>
  <si>
    <t>FC           25/09/2023</t>
  </si>
  <si>
    <t>FC           26/09/2023</t>
  </si>
  <si>
    <t>FC           27/09/2023</t>
  </si>
  <si>
    <t>FC           28/09/2023</t>
  </si>
  <si>
    <t>FC           29/09/2023</t>
  </si>
  <si>
    <t>FC           30/09/2023</t>
  </si>
  <si>
    <t>Média de geração do mês</t>
  </si>
  <si>
    <t>Prejeção pela média do mês</t>
  </si>
  <si>
    <t>Preenchido diariamente as 16:30</t>
  </si>
  <si>
    <t>Monitoramento 01/10/2023 (kWh)</t>
  </si>
  <si>
    <t>Monitoramento 02/10/2023 (kWh)</t>
  </si>
  <si>
    <t>Monitoramento 03/10/2023 (kWh)</t>
  </si>
  <si>
    <t>Monitoramento 04/10/2023 (kWh)</t>
  </si>
  <si>
    <t>Monitoramento 05/10/2023 (kWh)</t>
  </si>
  <si>
    <t>Monitoramento 06/10/2023 (kWh)</t>
  </si>
  <si>
    <t>Monitoramento 07/10/2023 (kWh)</t>
  </si>
  <si>
    <t>Monitoramento 08/10/2023 (kWh)</t>
  </si>
  <si>
    <t>Monitoramento 09/10/2023 (kWh)</t>
  </si>
  <si>
    <t>Monitoramento 10/10/2023 (kWh)</t>
  </si>
  <si>
    <t>Monitoramento 11/10/2023 (kWh)</t>
  </si>
  <si>
    <t>Monitoramento 12/10/2023 (kWh)</t>
  </si>
  <si>
    <t>Monitoramento 13/10/2023 (kWh)</t>
  </si>
  <si>
    <t>Monitoramento 14/10/2023 (kWh)</t>
  </si>
  <si>
    <t>Monitoramento 15/10/2023 (kWh)</t>
  </si>
  <si>
    <t>Monitoramento 16/10/2023 (kWh)</t>
  </si>
  <si>
    <t>Monitoramento 17/10/2023 (kWh)</t>
  </si>
  <si>
    <t>Monitoramento 18/10/2023 (kWh)</t>
  </si>
  <si>
    <t>Monitoramento 19/10/2023 (kWh)</t>
  </si>
  <si>
    <t>Monitoramento 20/10/2023 (kWh)</t>
  </si>
  <si>
    <t>Monitoramento 21/10/2023 (kWh)</t>
  </si>
  <si>
    <t>Monitoramento 22/10/2023 (kWh)</t>
  </si>
  <si>
    <t>Monitoramento 23/10/2023 (kWh)</t>
  </si>
  <si>
    <t>Monitoramento 24/10/2023 (kWh)</t>
  </si>
  <si>
    <t>Monitoramento 25/10/2023 (kWh)</t>
  </si>
  <si>
    <t>Monitoramento 26/10/2023 (kWh)</t>
  </si>
  <si>
    <t>Monitoramento 27/10/2023 (kWh)</t>
  </si>
  <si>
    <t>Monitoramento 28/10/2023 (kWh)</t>
  </si>
  <si>
    <t>Monitoramento 29/10/2023 (kWh)</t>
  </si>
  <si>
    <t>Monitoramento 30/10/2023 (kWh)</t>
  </si>
  <si>
    <t>Monitoramento 31/10/2023 (kWh)</t>
  </si>
  <si>
    <t>FC           01/10/2023</t>
  </si>
  <si>
    <t>FC           02/10/2023</t>
  </si>
  <si>
    <t>FC           03/10/2023</t>
  </si>
  <si>
    <t>FC           04/10/2023</t>
  </si>
  <si>
    <t>FC           05/10/2023</t>
  </si>
  <si>
    <t>FC           06/10/2023</t>
  </si>
  <si>
    <t>FC           07/10/2023</t>
  </si>
  <si>
    <t>FC           08/10/2023</t>
  </si>
  <si>
    <t>FC           10/10/2023</t>
  </si>
  <si>
    <t>FC           11/10/2023</t>
  </si>
  <si>
    <t>FC           12/10/2023</t>
  </si>
  <si>
    <t>FC           13/10/2023</t>
  </si>
  <si>
    <t>FC           14/10/2023</t>
  </si>
  <si>
    <t>FC           15/10/2023</t>
  </si>
  <si>
    <t>FC           16/10/2023</t>
  </si>
  <si>
    <t>FC           17/10/2023</t>
  </si>
  <si>
    <t>FC           18/10/2023</t>
  </si>
  <si>
    <t>FC           19/10/2023</t>
  </si>
  <si>
    <t>FC           20/10/2023</t>
  </si>
  <si>
    <t>FC           21/10/2023</t>
  </si>
  <si>
    <t>FC           22/10/2023</t>
  </si>
  <si>
    <t>FC           23/10/2023</t>
  </si>
  <si>
    <t>FC           24/10/2023</t>
  </si>
  <si>
    <t>FC           25/10/2023</t>
  </si>
  <si>
    <t>FC           26/10/2023</t>
  </si>
  <si>
    <t>FC           27/10/2023</t>
  </si>
  <si>
    <t>FC           28/10/2023</t>
  </si>
  <si>
    <t>FC           29/10/2023</t>
  </si>
  <si>
    <t>FC           30/10/2023</t>
  </si>
  <si>
    <t>Monitoramento 01/11/2023 (kWh)</t>
  </si>
  <si>
    <t>Monitoramento 02/11/2023 (kWh)</t>
  </si>
  <si>
    <t>Monitoramento 03/11/2023 (kWh)</t>
  </si>
  <si>
    <t>Monitoramento 04/11/2023 (kWh)</t>
  </si>
  <si>
    <t>Monitoramento 05/11/2023 (kWh)</t>
  </si>
  <si>
    <t>Monitoramento 06/11/2023 (kWh)</t>
  </si>
  <si>
    <t>Monitoramento 07/11/2023 (kWh)</t>
  </si>
  <si>
    <t>Monitoramento 08/11/2023 (kWh)</t>
  </si>
  <si>
    <t>Monitoramento 09/11/2023 (kWh)</t>
  </si>
  <si>
    <t>Monitoramento 10/11/2023 (kWh)</t>
  </si>
  <si>
    <t>Monitoramento 11/11/2023 (kWh)</t>
  </si>
  <si>
    <t>Monitoramento 12/11/2023 (kWh)</t>
  </si>
  <si>
    <t>Monitoramento 13/11/2023 (kWh)</t>
  </si>
  <si>
    <t>Monitoramento 14/11/2023 (kWh)</t>
  </si>
  <si>
    <t>Monitoramento 15/11/2023 (kWh)</t>
  </si>
  <si>
    <t>Monitoramento 16/11/2023 (kWh)</t>
  </si>
  <si>
    <t>Monitoramento 17/11/2023 (kWh)</t>
  </si>
  <si>
    <t>Monitoramento 18/11/2023 (kWh)</t>
  </si>
  <si>
    <t>Monitoramento 19/11/2023 (kWh)</t>
  </si>
  <si>
    <t>Monitoramento 20/11/2023 (kWh)</t>
  </si>
  <si>
    <t>Monitoramento 21/11/2023 (kWh)</t>
  </si>
  <si>
    <t>Monitoramento 22/11/2023 (kWh)</t>
  </si>
  <si>
    <t>Monitoramento 23/11/2023 (kWh)</t>
  </si>
  <si>
    <t>Monitoramento 24/11/2023 (kWh)</t>
  </si>
  <si>
    <t>Monitoramento 25/11/2023 (kWh)</t>
  </si>
  <si>
    <t>Monitoramento 26/11/2023 (kWh)</t>
  </si>
  <si>
    <t>Monitoramento 27/11/2023 (kWh)</t>
  </si>
  <si>
    <t>Monitoramento 28/11/2023 (kWh)</t>
  </si>
  <si>
    <t>Monitoramento 29/11/2023 (kWh)</t>
  </si>
  <si>
    <t>Monitoramento 30/11/2023 (kWh)</t>
  </si>
  <si>
    <t>Monitoramento 31/11/2023 (kWh)</t>
  </si>
  <si>
    <t>SANTA CECILIA I</t>
  </si>
  <si>
    <t>SANTA CECILIA III</t>
  </si>
  <si>
    <t>ENEL
(Consorcio Prime 03)</t>
  </si>
  <si>
    <t>SÃO FRANCISCO II</t>
  </si>
  <si>
    <t>Monitoramento 01/12/2023 (kWh)</t>
  </si>
  <si>
    <t>Monitoramento 02/12/2023 (kWh)</t>
  </si>
  <si>
    <t>Monitoramento 03/12/2023 (kWh)</t>
  </si>
  <si>
    <t>Monitoramento 04/12/2023 (kWh)</t>
  </si>
  <si>
    <t>Monitoramento 05/12/2023 (kWh)</t>
  </si>
  <si>
    <t>Monitoramento 06/12/2023 (kWh)</t>
  </si>
  <si>
    <t>Monitoramento 07/12/2023 (kWh)</t>
  </si>
  <si>
    <t>Monitoramento 08/12/2023 (kWh)</t>
  </si>
  <si>
    <t>Monitoramento 09/12/2023 (kWh)</t>
  </si>
  <si>
    <t>Monitoramento 10/12/2023 (kWh)</t>
  </si>
  <si>
    <t>Monitoramento 11/12/2023 (kWh)</t>
  </si>
  <si>
    <t>Monitoramento 12/12/2023 (kWh)</t>
  </si>
  <si>
    <t>Monitoramento 13/12/2023 (kWh)</t>
  </si>
  <si>
    <t>Monitoramento 14/12/2023 (kWh)</t>
  </si>
  <si>
    <t>Monitoramento 15/12/2023 (kWh)</t>
  </si>
  <si>
    <t>Monitoramento 16/12/2023 (kWh)</t>
  </si>
  <si>
    <t>Monitoramento 17/12/2023 (kWh)</t>
  </si>
  <si>
    <t>Monitoramento 18/12/2023 (kWh)</t>
  </si>
  <si>
    <t>Monitoramento 19/12/2023 (kWh)</t>
  </si>
  <si>
    <t>Monitoramento 20/12/2023 (kWh)</t>
  </si>
  <si>
    <t>Monitoramento 21/12/2023 (kWh)</t>
  </si>
  <si>
    <t>Monitoramento 22/12/2023 (kWh)</t>
  </si>
  <si>
    <t>Monitoramento 23/12/2023 (kWh)</t>
  </si>
  <si>
    <t>Monitoramento 24/12/2023 (kWh)</t>
  </si>
  <si>
    <t>Monitoramento 25/12/2023 (kWh)</t>
  </si>
  <si>
    <t>Monitoramento 26/12/2023 (kWh)</t>
  </si>
  <si>
    <t>Monitoramento 27/12/2023 (kWh)</t>
  </si>
  <si>
    <t>Monitoramento 28/12/2023 (kWh)</t>
  </si>
  <si>
    <t>Monitoramento 29/12/2023 (kWh)</t>
  </si>
  <si>
    <t>Monitoramento 30/12/2023 (kWh)</t>
  </si>
  <si>
    <t>Monitoramento 31/12/2023 (kWh)</t>
  </si>
  <si>
    <t>Monitoramento 01/01/2024 (kWh)</t>
  </si>
  <si>
    <t>Monitoramento 02/01/2024 (kWh)</t>
  </si>
  <si>
    <t>Monitoramento 03/01/2024 (kWh)</t>
  </si>
  <si>
    <t>Monitoramento 04/01/2024 (kWh)</t>
  </si>
  <si>
    <t>Monitoramento 05/01/2024 (kWh)</t>
  </si>
  <si>
    <t>Monitoramento 06/01/2024 (kWh)</t>
  </si>
  <si>
    <t>Monitoramento 07/01/2024 (kWh)</t>
  </si>
  <si>
    <t>Monitoramento 08/01/2024 (kWh)</t>
  </si>
  <si>
    <t>Monitoramento 09/01/2024 (kWh)</t>
  </si>
  <si>
    <t>Monitoramento 10/01/2024 (kWh)</t>
  </si>
  <si>
    <t>Monitoramento 11/01/2024 (kWh)</t>
  </si>
  <si>
    <t>Monitoramento 12/01/2024 (kWh)</t>
  </si>
  <si>
    <t>Monitoramento 13/01/2024 (kWh)</t>
  </si>
  <si>
    <t>Monitoramento 14/01/2024 (kWh)</t>
  </si>
  <si>
    <t>Monitoramento 15/01/2024 (kWh)</t>
  </si>
  <si>
    <t>Monitoramento 16/01/2024 (kWh)</t>
  </si>
  <si>
    <t>Monitoramento 17/01/2024 (kWh)</t>
  </si>
  <si>
    <t>Monitoramento 18/01/2024 (kWh)</t>
  </si>
  <si>
    <t>Monitoramento 19/01/2024 (kWh)</t>
  </si>
  <si>
    <t>Monitoramento 20/01/2024 (kWh)</t>
  </si>
  <si>
    <t>Monitoramento 21/01/2024 (kWh)</t>
  </si>
  <si>
    <t>Monitoramento 22/01/2024 (kWh)</t>
  </si>
  <si>
    <t>Monitoramento 23/01/2024 (kWh)</t>
  </si>
  <si>
    <t>Monitoramento 24/01/2024 (kWh)</t>
  </si>
  <si>
    <t>Monitoramento 25/01/2024 (kWh)</t>
  </si>
  <si>
    <t>Monitoramento 26/01/2024 (kWh)</t>
  </si>
  <si>
    <t>Monitoramento 27/01/2024 (kWh)</t>
  </si>
  <si>
    <t>Monitoramento 28/01/2024 (kWh)</t>
  </si>
  <si>
    <t>Monitoramento 29/01/2024 (kWh)</t>
  </si>
  <si>
    <t>Monitoramento 30/01/2024 (kWh)</t>
  </si>
  <si>
    <t>Monitoramento 31/01/2024 (kWh)</t>
  </si>
  <si>
    <t>Soma de GERAÇÃO</t>
  </si>
  <si>
    <t>Rótulos de Coluna</t>
  </si>
  <si>
    <t>Rótulos de Linha</t>
  </si>
  <si>
    <t>Total Geral</t>
  </si>
  <si>
    <t>USINA</t>
  </si>
  <si>
    <t>GERAÇÃO</t>
  </si>
  <si>
    <t>DATA</t>
  </si>
  <si>
    <t>OCORRÊNCIA</t>
  </si>
  <si>
    <t>MARCA DO INVERSOR</t>
  </si>
  <si>
    <t>GRUPO</t>
  </si>
  <si>
    <t>Quantidade de OS</t>
  </si>
  <si>
    <t>NUMERO DA OS</t>
  </si>
  <si>
    <t>AFETOU A GERAÇÃO?</t>
  </si>
  <si>
    <t>TEMPO SEM GERAR (Hora)</t>
  </si>
  <si>
    <t>HORÁRIO QUE A GERAÇÃO PAROU</t>
  </si>
  <si>
    <t>HORÁRIO QUE A GERAÇÃO VOLTOU</t>
  </si>
  <si>
    <t>CONCESSIONÁRIA</t>
  </si>
  <si>
    <t>PROTOCOLO</t>
  </si>
  <si>
    <t>Falha externa ou interna?</t>
  </si>
  <si>
    <t>Tempo para abrir uma OS a partir do fato</t>
  </si>
  <si>
    <t>Tempo para correção do problema após abrir a OS</t>
  </si>
  <si>
    <t>Status</t>
  </si>
  <si>
    <t>Estimativa de perda de energia</t>
  </si>
  <si>
    <t>FALTA DE ENERGIA</t>
  </si>
  <si>
    <t>CANADIAN</t>
  </si>
  <si>
    <t>PRIME02</t>
  </si>
  <si>
    <t>SIM</t>
  </si>
  <si>
    <t>18/2/2024 11:00:00</t>
  </si>
  <si>
    <t>20/02/2024 06:00:00</t>
  </si>
  <si>
    <t>LIGHT</t>
  </si>
  <si>
    <t>EXTERNA</t>
  </si>
  <si>
    <t>Concluída</t>
  </si>
  <si>
    <t>PHB</t>
  </si>
  <si>
    <t>GSM01</t>
  </si>
  <si>
    <t>Sim</t>
  </si>
  <si>
    <t>20/2/2024 14:10:00</t>
  </si>
  <si>
    <t>21/02/2024 11:00:00</t>
  </si>
  <si>
    <t>CEMIG</t>
  </si>
  <si>
    <t>20,5</t>
  </si>
  <si>
    <t>21/2/2024 06:00:00</t>
  </si>
  <si>
    <t>23/02/2024 10:00:00</t>
  </si>
  <si>
    <t>23/02/2024 12:00:00</t>
  </si>
  <si>
    <t>26/2/2024 10:15:00</t>
  </si>
  <si>
    <t>27/2/2024 06:00:00</t>
  </si>
  <si>
    <t>4,5</t>
  </si>
  <si>
    <t>GROWATT</t>
  </si>
  <si>
    <t>PRIME01</t>
  </si>
  <si>
    <t>26/2/2024 13:45:00</t>
  </si>
  <si>
    <t>18/2/2024 16:00:00</t>
  </si>
  <si>
    <t>3,5</t>
  </si>
  <si>
    <t>27/2/2024 09:30:00</t>
  </si>
  <si>
    <t>PRIME 01</t>
  </si>
  <si>
    <t>PRIME 02</t>
  </si>
  <si>
    <t>14,5</t>
  </si>
  <si>
    <t>21,5</t>
  </si>
  <si>
    <t>Monitoramento 01/02/2024 (kWh)</t>
  </si>
  <si>
    <t>Monitoramento 02/02/2024 (kWh)</t>
  </si>
  <si>
    <t>Monitoramento 03/02/2024 (kWh)</t>
  </si>
  <si>
    <t>Monitoramento 04/02/2024 (kWh)</t>
  </si>
  <si>
    <t>Monitoramento 05/02/2024 (kWh)</t>
  </si>
  <si>
    <t>Monitoramento 06/02/2024 (kWh)</t>
  </si>
  <si>
    <t>Monitoramento 07/02/2024 (kWh)</t>
  </si>
  <si>
    <t>Monitoramento 08/02/2024 (kWh)</t>
  </si>
  <si>
    <t>Monitoramento 09/02/2024 (kWh)</t>
  </si>
  <si>
    <t>Monitoramento 10/02/2024 (kWh)</t>
  </si>
  <si>
    <t>Monitoramento 11/02/2024 (kWh)</t>
  </si>
  <si>
    <t>Monitoramento 12/02/2024 (kWh)</t>
  </si>
  <si>
    <t>Monitoramento 13/02/2024 (kWh)</t>
  </si>
  <si>
    <t>Monitoramento 14/02/2024 (kWh)</t>
  </si>
  <si>
    <t>Monitoramento 15/02/2024 (kWh)</t>
  </si>
  <si>
    <t>Monitoramento 16/02/2024 (kWh)</t>
  </si>
  <si>
    <t>Monitoramento 17/02/2024 (kWh)</t>
  </si>
  <si>
    <t>Monitoramento 18/02/2024 (kWh)</t>
  </si>
  <si>
    <t>Monitoramento 19/02/2024 (kWh)</t>
  </si>
  <si>
    <t>Monitoramento 20/02/2024 (kWh)</t>
  </si>
  <si>
    <t>Monitoramento 21/02/2024 (kWh)</t>
  </si>
  <si>
    <t>Monitoramento 22/02/2024 (kWh)</t>
  </si>
  <si>
    <t>Monitoramento 23/02/2024 (kWh)</t>
  </si>
  <si>
    <t>Monitoramento 24/02/2024 (kWh)</t>
  </si>
  <si>
    <t>Monitoramento 25/02/2024 (kWh)</t>
  </si>
  <si>
    <t>Monitoramento 26/02/2024 (kWh)</t>
  </si>
  <si>
    <t>Monitoramento 27/02/2024 (kWh)</t>
  </si>
  <si>
    <t>Monitoramento 28/02/2024 (kWh)</t>
  </si>
  <si>
    <t>Monitoramento 29/02/2024 (kWh)</t>
  </si>
  <si>
    <t>Monitoramento 30/02/2024 (kWh)</t>
  </si>
  <si>
    <t>Monitoramento 31/02/2024 (kWh)</t>
  </si>
  <si>
    <t>SANTA LUIZA II</t>
  </si>
  <si>
    <t>Monitoramento 01/03/2024 (kWh)</t>
  </si>
  <si>
    <t>Monitoramento 02/03/2024 (kWh)</t>
  </si>
  <si>
    <t>Monitoramento 03/03/2024 (kWh)</t>
  </si>
  <si>
    <t>Monitoramento 04/03/2024 (kWh)</t>
  </si>
  <si>
    <t>Monitoramento 05/03/2024 (kWh)</t>
  </si>
  <si>
    <t>Monitoramento 06/03/2024 (kWh)</t>
  </si>
  <si>
    <t>Monitoramento 07/03/2024 (kWh)</t>
  </si>
  <si>
    <t>Monitoramento 08/03/2024 (kWh)</t>
  </si>
  <si>
    <t>Monitoramento 09/03/2024 (kWh)</t>
  </si>
  <si>
    <t>Monitoramento 10/03/2024 (kWh)</t>
  </si>
  <si>
    <t>Monitoramento 11/03/2024 (kWh)</t>
  </si>
  <si>
    <t>Monitoramento 12/03/2024 (kWh)</t>
  </si>
  <si>
    <t>Monitoramento 13/03/2024 (kWh)</t>
  </si>
  <si>
    <t>Monitoramento 14/03/2024 (kWh)</t>
  </si>
  <si>
    <t>Monitoramento 15/03/2024 (kWh)</t>
  </si>
  <si>
    <t>Monitoramento 16/03/2024 (kWh)</t>
  </si>
  <si>
    <t>Monitoramento 17/03/2024 (kWh)</t>
  </si>
  <si>
    <t>Monitoramento 18/03/2024 (kWh)</t>
  </si>
  <si>
    <t>Monitoramento 19/03/2024 (kWh)</t>
  </si>
  <si>
    <t>Monitoramento 20/03/2024 (kWh)</t>
  </si>
  <si>
    <t>Monitoramento 21/03/2024 (kWh)</t>
  </si>
  <si>
    <t>Monitoramento 22/03/2024 (kWh)</t>
  </si>
  <si>
    <t>Monitoramento 23/03/2024 (kWh)</t>
  </si>
  <si>
    <t>Monitoramento 24/03/2024 (kWh)</t>
  </si>
  <si>
    <t>Monitoramento 25/03/2024 (kWh)</t>
  </si>
  <si>
    <t>Monitoramento 26/03/2024 (kWh)</t>
  </si>
  <si>
    <t>Monitoramento 27/03/2024 (kWh)</t>
  </si>
  <si>
    <t>Monitoramento 28/03/2024 (kWh)</t>
  </si>
  <si>
    <t>Monitoramento 29/03/2024 (kWh)</t>
  </si>
  <si>
    <t>Monitoramento 30/03/2024 (kWh)</t>
  </si>
  <si>
    <t>Monitoramento 31/03/2024 (kWh)</t>
  </si>
  <si>
    <t>Monitoramento 01/04/2024 (kWh)</t>
  </si>
  <si>
    <t>Monitoramento 02/04/2024 (kWh)</t>
  </si>
  <si>
    <t>Monitoramento 03/04/2024 (kWh)</t>
  </si>
  <si>
    <t>Monitoramento 04/04/2024 (kWh)</t>
  </si>
  <si>
    <t>Monitoramento 05/04/2024 (kWh)</t>
  </si>
  <si>
    <t>Monitoramento 06/04/2024 (kWh)</t>
  </si>
  <si>
    <t>Monitoramento 07/04/2024 (kWh)</t>
  </si>
  <si>
    <t>Monitoramento 08/04/2024 (kWh)</t>
  </si>
  <si>
    <t>Monitoramento 09/04/2024 (kWh)</t>
  </si>
  <si>
    <t>Monitoramento 10/04/2024 (kWh)</t>
  </si>
  <si>
    <t>Monitoramento 11/04/2024 (kWh)</t>
  </si>
  <si>
    <t>Monitoramento 12/04/2024 (kWh)</t>
  </si>
  <si>
    <t>Monitoramento 13/04/2024 (kWh)</t>
  </si>
  <si>
    <t>Monitoramento 14/04/2024 (kWh)</t>
  </si>
  <si>
    <t>Monitoramento 15/04/2024 (kWh)</t>
  </si>
  <si>
    <t>Monitoramento 16/04/2024 (kWh)</t>
  </si>
  <si>
    <t>Monitoramento 17/04/2024 (kWh)</t>
  </si>
  <si>
    <t>Monitoramento 18/04/2024 (kWh)</t>
  </si>
  <si>
    <t>Monitoramento 19/04/2024 (kWh)</t>
  </si>
  <si>
    <t>Monitoramento 20/04/2024 (kWh)</t>
  </si>
  <si>
    <t>Monitoramento 21/04/2024 (kWh)</t>
  </si>
  <si>
    <t>Monitoramento 22/04/2024 (kWh)</t>
  </si>
  <si>
    <t>Monitoramento 23/04/2024 (kWh)</t>
  </si>
  <si>
    <t>Monitoramento 24/04/2024 (kWh)</t>
  </si>
  <si>
    <t>Monitoramento 25/04/2024 (kWh)</t>
  </si>
  <si>
    <t>Monitoramento 26/04/2024 (kWh)</t>
  </si>
  <si>
    <t>Monitoramento 27/04/2024 (kWh)</t>
  </si>
  <si>
    <t>Monitoramento 28/04/2024 (kWh)</t>
  </si>
  <si>
    <t>Monitoramento 29/04/2024 (kWh)</t>
  </si>
  <si>
    <t>Monitoramento 30/04/2024 (kWh)</t>
  </si>
  <si>
    <t>Monitoramento 01/05/2024 (kWh)</t>
  </si>
  <si>
    <t>Monitoramento 02/05/2024 (kWh)</t>
  </si>
  <si>
    <t>Monitoramento 03/05/2024 (kWh)</t>
  </si>
  <si>
    <t>Monitoramento 04/05/2024 (kWh)</t>
  </si>
  <si>
    <t>Monitoramento 05/05/2024 (kWh)</t>
  </si>
  <si>
    <t>Monitoramento 06/05/2024 (kWh)</t>
  </si>
  <si>
    <t>Monitoramento 07/05/2024 (kWh)</t>
  </si>
  <si>
    <t>Monitoramento 08/05/2024 (kWh)</t>
  </si>
  <si>
    <t>Monitoramento 09/05/2024 (kWh)</t>
  </si>
  <si>
    <t>Monitoramento 10/05/2024 (kWh)</t>
  </si>
  <si>
    <t>Monitoramento 11/05/2024 (kWh)</t>
  </si>
  <si>
    <t>Monitoramento 12/05/2024 (kWh)</t>
  </si>
  <si>
    <t>Monitoramento 13/05/2024 (kWh)</t>
  </si>
  <si>
    <t>Monitoramento 14/05/2024 (kWh)</t>
  </si>
  <si>
    <t>Monitoramento 15/05/2024 (kWh)</t>
  </si>
  <si>
    <t>Monitoramento 16/05/2024 (kWh)</t>
  </si>
  <si>
    <t>Monitoramento 17/05/2024 (kWh)</t>
  </si>
  <si>
    <t>Monitoramento 18/05/2024 (kWh)</t>
  </si>
  <si>
    <t>Monitoramento 19/05/2024 (kWh)</t>
  </si>
  <si>
    <t>Monitoramento 20/05/2024 (kWh)</t>
  </si>
  <si>
    <t>Monitoramento 21/05/2024 (kWh)</t>
  </si>
  <si>
    <t>Monitoramento 22/05/2024 (kWh)</t>
  </si>
  <si>
    <t>Monitoramento 23/05/2024 (kWh)</t>
  </si>
  <si>
    <t>Monitoramento 24/05/2024 (kWh)</t>
  </si>
  <si>
    <t>Monitoramento 25/05/2024 (kWh)</t>
  </si>
  <si>
    <t>Monitoramento 26/05/2024 (kWh)</t>
  </si>
  <si>
    <t>Monitoramento 27/05/2024 (kWh)</t>
  </si>
  <si>
    <t>Monitoramento 28/05/2024 (kWh)</t>
  </si>
  <si>
    <t>Monitoramento 29/05/2024 (kWh)</t>
  </si>
  <si>
    <t>Monitoramento 30/05/2024 (kWh)</t>
  </si>
  <si>
    <t>Monitoramento 31/05/2024 (kWh)</t>
  </si>
  <si>
    <t>Monitoramento 01/06/2024 (kWh)</t>
  </si>
  <si>
    <t>Monitoramento 02/06/2024 (kWh)</t>
  </si>
  <si>
    <t>Monitoramento 03/06/2024 (kWh)</t>
  </si>
  <si>
    <t>Monitoramento 04/06/2024 (kWh)</t>
  </si>
  <si>
    <t>Monitoramento 05/06/2024 (kWh)</t>
  </si>
  <si>
    <t>Monitoramento 06/06/2024 (kWh)</t>
  </si>
  <si>
    <t>Monitoramento 07/06/2024 (kWh)</t>
  </si>
  <si>
    <t>Monitoramento 08/06/2024 (kWh)</t>
  </si>
  <si>
    <t>Monitoramento 09/06/2024 (kWh)</t>
  </si>
  <si>
    <t>Monitoramento 10/06/2024 (kWh)</t>
  </si>
  <si>
    <t>Monitoramento 11/06/2024 (kWh)</t>
  </si>
  <si>
    <t>Monitoramento 12/06/2024 (kWh)</t>
  </si>
  <si>
    <t>Monitoramento 13/06/2024 (kWh)</t>
  </si>
  <si>
    <t>Monitoramento 14/06/2024 (kWh)</t>
  </si>
  <si>
    <t>Monitoramento 15/06/2024 (kWh)</t>
  </si>
  <si>
    <t>Monitoramento 16/06/2024 (kWh)</t>
  </si>
  <si>
    <t>Monitoramento 17/06/2024 (kWh)</t>
  </si>
  <si>
    <t>Monitoramento 18/06/2024 (kWh)</t>
  </si>
  <si>
    <t>Monitoramento 19/06/2024 (kWh)</t>
  </si>
  <si>
    <t>Monitoramento 20/06/2024 (kWh)</t>
  </si>
  <si>
    <t>Monitoramento 21/06/2024 (kWh)</t>
  </si>
  <si>
    <t>Monitoramento 22/06/2024 (kWh)</t>
  </si>
  <si>
    <t>Monitoramento 23/06/2024 (kWh)</t>
  </si>
  <si>
    <t>Monitoramento 24/06/2024 (kWh)</t>
  </si>
  <si>
    <t>Monitoramento 25/06/2024 (kWh)</t>
  </si>
  <si>
    <t>Monitoramento 26/06/2024 (kWh)</t>
  </si>
  <si>
    <t>Monitoramento 27/06/2024 (kWh)</t>
  </si>
  <si>
    <t>Monitoramento 28/06/2024 (kWh)</t>
  </si>
  <si>
    <t>Monitoramento 29/06/2024 (kWh)</t>
  </si>
  <si>
    <t>Monitoramento 30/06/2024 (kWh)</t>
  </si>
  <si>
    <t>RIO BONITO I</t>
  </si>
  <si>
    <t>Monitoramento 01/07/2024 (kWh)</t>
  </si>
  <si>
    <t>Monitoramento 02/07/2024 (kWh)</t>
  </si>
  <si>
    <t>Monitoramento 03/07/2024 (kWh)</t>
  </si>
  <si>
    <t>Monitoramento 04/07/2024 (kWh)</t>
  </si>
  <si>
    <t>Monitoramento 05/07/2024 (kWh)</t>
  </si>
  <si>
    <t>Monitoramento 06/07/2024 (kWh)</t>
  </si>
  <si>
    <t>Monitoramento 07/07/2024 (kWh)</t>
  </si>
  <si>
    <t>Monitoramento 08/07/2024 (kWh)</t>
  </si>
  <si>
    <t>Monitoramento 09/07/2024 (kWh)</t>
  </si>
  <si>
    <t>Monitoramento 10/07/2024 (kWh)</t>
  </si>
  <si>
    <t>Monitoramento 11/07/2024 (kWh)</t>
  </si>
  <si>
    <t>Monitoramento 12/07/2024 (kWh)</t>
  </si>
  <si>
    <t>Monitoramento 13/07/2024 (kWh)</t>
  </si>
  <si>
    <t>Monitoramento 14/07/2024 (kWh)</t>
  </si>
  <si>
    <t>Monitoramento 15/07/2024 (kWh)</t>
  </si>
  <si>
    <t>Monitoramento 16/07/2024 (kWh)</t>
  </si>
  <si>
    <t>Monitoramento 17/07/2024 (kWh)</t>
  </si>
  <si>
    <t>Monitoramento 18/07/2024 (kWh)</t>
  </si>
  <si>
    <t>Monitoramento 19/07/2024 (kWh)</t>
  </si>
  <si>
    <t>Monitoramento 20/07/2024 (kWh)</t>
  </si>
  <si>
    <t>Monitoramento 21/07/2024 (kWh)</t>
  </si>
  <si>
    <t>Monitoramento 22/07/2024 (kWh)</t>
  </si>
  <si>
    <t>Monitoramento 23/07/2024 (kWh)</t>
  </si>
  <si>
    <t>Monitoramento 24/07/2024 (kWh)</t>
  </si>
  <si>
    <t>Monitoramento 25/07/2024 (kWh)</t>
  </si>
  <si>
    <t>Monitoramento 26/07/2024 (kWh)</t>
  </si>
  <si>
    <t>Monitoramento 27/07/2024 (kWh)</t>
  </si>
  <si>
    <t>Monitoramento 28/07/2024 (kWh)</t>
  </si>
  <si>
    <t>Monitoramento 29/07/2024 (kWh)</t>
  </si>
  <si>
    <t>Monitoramento 30/07/2024 (kWh)</t>
  </si>
  <si>
    <t>Monitoramento 31/07/2024 (kWh)</t>
  </si>
  <si>
    <t>Monitoramento 01/08/2024 (kWh)</t>
  </si>
  <si>
    <t>Monitoramento 02/08/2024 (kWh)</t>
  </si>
  <si>
    <t>Monitoramento 03/08/2024 (kWh)</t>
  </si>
  <si>
    <t>Monitoramento 04/08/2024 (kWh)</t>
  </si>
  <si>
    <t>Monitoramento 05/08/2024 (kWh)</t>
  </si>
  <si>
    <t>Monitoramento 06/08/2024 (kWh)</t>
  </si>
  <si>
    <t>Monitoramento 07/08/2024 (kWh)</t>
  </si>
  <si>
    <t>Monitoramento 08/08/2024 (kWh)</t>
  </si>
  <si>
    <t>Monitoramento 09/08/2024 (kWh)</t>
  </si>
  <si>
    <t>Monitoramento 10/08/2024 (kWh)</t>
  </si>
  <si>
    <t>Monitoramento 11/08/2024 (kWh)</t>
  </si>
  <si>
    <t>Monitoramento 12/08/2024 (kWh)</t>
  </si>
  <si>
    <t>Monitoramento 13/08/2024 (kWh)</t>
  </si>
  <si>
    <t>Monitoramento 14/08/2024 (kWh)</t>
  </si>
  <si>
    <t>Monitoramento 15/08/2024 (kWh)</t>
  </si>
  <si>
    <t>Monitoramento 16/08/2024 (kWh)</t>
  </si>
  <si>
    <t>Monitoramento 18/08/2024 (kWh)</t>
  </si>
  <si>
    <t>Monitoramento 19/08/2024 (kWh)</t>
  </si>
  <si>
    <t>Monitoramento 20/08/2024 (kWh)</t>
  </si>
  <si>
    <t>Monitoramento 21/08/2024 (kWh)</t>
  </si>
  <si>
    <t>Monitoramento 22/08/2024 (kWh)</t>
  </si>
  <si>
    <t>Monitoramento 23/08/2024 (kWh)</t>
  </si>
  <si>
    <t>Monitoramento 24/08/2024 (kWh)</t>
  </si>
  <si>
    <t>Monitoramento 25/08/2024 (kWh)</t>
  </si>
  <si>
    <t>Monitoramento 26/08/2024 (kWh)</t>
  </si>
  <si>
    <t>Monitoramento 27/08/2024 (kWh)</t>
  </si>
  <si>
    <t>Monitoramento 28/08/2024 (kWh)</t>
  </si>
  <si>
    <t>Monitoramento 29/08/2024 (kWh)</t>
  </si>
  <si>
    <t>Monitoramento 30/08/2024 (kWh)</t>
  </si>
  <si>
    <t>Monitoramento 31/08/2024 (kWh)</t>
  </si>
  <si>
    <t>Fc médio(projeção PVSyst)</t>
  </si>
  <si>
    <t>FC AGOSTO/23</t>
  </si>
  <si>
    <t>FC SETEMBRO/23</t>
  </si>
  <si>
    <t>FC OUTUBRO/23</t>
  </si>
  <si>
    <t>FC NOVEMBRO/23</t>
  </si>
  <si>
    <t>FC DEZEMBRO/23</t>
  </si>
  <si>
    <t>FC médio</t>
  </si>
  <si>
    <t>VARIAÇÃO ANO</t>
  </si>
  <si>
    <t>Usinas acima do esperado</t>
  </si>
  <si>
    <t>Usinas dentro do esperado</t>
  </si>
  <si>
    <t>Usinas abaixo do esperado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</si>
  <si>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</si>
  <si>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</si>
  <si>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</si>
  <si>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</si>
  <si>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</si>
  <si>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</si>
  <si>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</si>
  <si>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</si>
  <si>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</si>
  <si>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</si>
  <si>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</si>
  <si>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</si>
  <si>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# Adicionar Gráfico que mostra os FCs no tempo</t>
  </si>
  <si>
    <t>Potência [kWp]</t>
  </si>
  <si>
    <t>Clima do dia</t>
  </si>
  <si>
    <t xml:space="preserve">Total hoje            [kWh] </t>
  </si>
  <si>
    <t>GSM01 
(CEMIG)</t>
  </si>
  <si>
    <t>PRIME01 
(CEMIG)</t>
  </si>
  <si>
    <t>PRIME02 
(LIGHT)</t>
  </si>
  <si>
    <t>PRIME03
(ENEL)</t>
  </si>
  <si>
    <t>,</t>
  </si>
  <si>
    <t>Previsto no mês</t>
  </si>
  <si>
    <t/>
  </si>
  <si>
    <t>% Realizado</t>
  </si>
  <si>
    <t>QUAIS</t>
  </si>
  <si>
    <t>IGE ES´PECIF ABELHA</t>
  </si>
  <si>
    <t>I1</t>
  </si>
  <si>
    <t>IGE MARIBONDO</t>
  </si>
  <si>
    <t>I4</t>
  </si>
  <si>
    <t>IGE VESPA</t>
  </si>
  <si>
    <t>I3</t>
  </si>
  <si>
    <t>TOTAL</t>
  </si>
  <si>
    <t>COPEL</t>
  </si>
  <si>
    <t>UTB DIRCE</t>
  </si>
  <si>
    <t>UTB SIRLEIA</t>
  </si>
  <si>
    <t>UTB</t>
  </si>
  <si>
    <t>Potência</t>
  </si>
  <si>
    <t>P/R</t>
  </si>
  <si>
    <t>TOTAL (kWh)</t>
  </si>
  <si>
    <t>DIRCE</t>
  </si>
  <si>
    <t>Energia</t>
  </si>
  <si>
    <t>Horas</t>
  </si>
  <si>
    <t>SIRLEIA</t>
  </si>
  <si>
    <t>Horas em Operação Mês</t>
  </si>
  <si>
    <t>OESTE BIOGÁS (COPEL)</t>
  </si>
  <si>
    <t>11/03 a 09/04</t>
  </si>
  <si>
    <t>09/04 a 09/05</t>
  </si>
  <si>
    <t>09/05 a 10/06</t>
  </si>
  <si>
    <t>HORAS TRAB</t>
  </si>
  <si>
    <t>DATA E HORA DA COLETA</t>
  </si>
  <si>
    <t>kWh</t>
  </si>
  <si>
    <t>Qt Start</t>
  </si>
  <si>
    <t>Sirleia</t>
  </si>
  <si>
    <t>00;00</t>
  </si>
  <si>
    <t>LINK</t>
  </si>
  <si>
    <t>19/02/2024 10:40:00</t>
  </si>
  <si>
    <t>21/02/2024 09:53:00</t>
  </si>
  <si>
    <t>21/02/2024 10:02:00</t>
  </si>
  <si>
    <t>21/02/2024 10:12:00</t>
  </si>
  <si>
    <t>21/02/2024 10:24:00</t>
  </si>
  <si>
    <t>21/02/2024 10:32:00</t>
  </si>
  <si>
    <t>26/02/2024 14:12:00</t>
  </si>
  <si>
    <t>26/02/2024 14:31:00</t>
  </si>
  <si>
    <t>26/02/2024 14:49:00</t>
  </si>
  <si>
    <t>27/02/2024 09:00:00</t>
  </si>
  <si>
    <t>27/02/2024 11:08:00</t>
  </si>
  <si>
    <t>Distribuidora</t>
  </si>
  <si>
    <t>Usinas</t>
  </si>
  <si>
    <t xml:space="preserve">Total Acu </t>
  </si>
  <si>
    <t>P</t>
  </si>
  <si>
    <t>R</t>
  </si>
  <si>
    <t>TRIUNFO CX 1</t>
  </si>
  <si>
    <t>SANTA CECÍLIA II</t>
  </si>
  <si>
    <t>SANTA CECÍLIA III</t>
  </si>
  <si>
    <t>variação</t>
  </si>
  <si>
    <t>SANTA LUÍZA I</t>
  </si>
  <si>
    <t>ENEL</t>
  </si>
  <si>
    <t>R/P</t>
  </si>
  <si>
    <t>Compra GSM 02</t>
  </si>
  <si>
    <t>GSM 01</t>
  </si>
  <si>
    <t>Em Operação</t>
  </si>
  <si>
    <t>A liberar - Obra na Rede</t>
  </si>
  <si>
    <t>Rio Bonito I</t>
  </si>
  <si>
    <t>A Instalar</t>
  </si>
  <si>
    <t>São José III</t>
  </si>
  <si>
    <t>Expansões Fase I</t>
  </si>
  <si>
    <t>Parque Bulevar</t>
  </si>
  <si>
    <t>Campo Alegre IV</t>
  </si>
  <si>
    <t>Parque Final</t>
  </si>
  <si>
    <t>Monitoramento 17/08/2024 (kWh)</t>
  </si>
  <si>
    <t>Monitoramento 01/09/2024 (kWh)</t>
  </si>
  <si>
    <t>Monitoramento 02/09/2024 (kWh)</t>
  </si>
  <si>
    <t>Monitoramento 03/09/2024 (kWh)</t>
  </si>
  <si>
    <t>Monitoramento 04/09/2024 (kWh)</t>
  </si>
  <si>
    <t>Monitoramento 05/09/2024 (kWh)</t>
  </si>
  <si>
    <t>Monitoramento 06/09/2024 (kWh)</t>
  </si>
  <si>
    <t>Monitoramento 07/09/2024 (kWh)</t>
  </si>
  <si>
    <t>Monitoramento 09/09/2024 (kWh)</t>
  </si>
  <si>
    <t>Monitoramento 10/09/2024 (kWh)</t>
  </si>
  <si>
    <t>Monitoramento 11/09/2024 (kWh)</t>
  </si>
  <si>
    <t>Monitoramento 12/09/2024 (kWh)</t>
  </si>
  <si>
    <t>Monitoramento 13/09/2024 (kWh)</t>
  </si>
  <si>
    <t>Monitoramento 14/09/2024 (kWh)</t>
  </si>
  <si>
    <t>Monitoramento 15/09/2024 (kWh)</t>
  </si>
  <si>
    <t>Monitoramento 16/09/2024 (kWh)</t>
  </si>
  <si>
    <t>Monitoramento 17/09/2024 (kWh)</t>
  </si>
  <si>
    <t>Monitoramento 18/09/2024 (kWh)</t>
  </si>
  <si>
    <t>Monitoramento 19/09/2024 (kWh)</t>
  </si>
  <si>
    <t>Monitoramento 20/09/2024 (kWh)</t>
  </si>
  <si>
    <t>Monitoramento 21/09/2024 (kWh)</t>
  </si>
  <si>
    <t>Monitoramento 22/09/2024 (kWh)</t>
  </si>
  <si>
    <t>Monitoramento 23/09/2024 (kWh)</t>
  </si>
  <si>
    <t>Monitoramento 24/09/2024 (kWh)</t>
  </si>
  <si>
    <t>Monitoramento 25/09/2024 (kWh)</t>
  </si>
  <si>
    <t>Monitoramento 26/09/2024 (kWh)</t>
  </si>
  <si>
    <t>Monitoramento 27/09/2024 (kWh)</t>
  </si>
  <si>
    <t>Monitoramento 28/09/2024 (kWh)</t>
  </si>
  <si>
    <t>Monitoramento 29/09/2024 (kWh)</t>
  </si>
  <si>
    <t>Monitoramento 30/09/2024 (kWh)</t>
  </si>
  <si>
    <t>Monitoramento 08/09/2024 (kWh)</t>
  </si>
  <si>
    <t>EMPRESA</t>
  </si>
  <si>
    <t>FORNECEDOR</t>
  </si>
  <si>
    <t>VALOR</t>
  </si>
  <si>
    <t xml:space="preserve">SERVIÇO </t>
  </si>
  <si>
    <t>Mão de obra.</t>
  </si>
  <si>
    <t>EXATA I</t>
  </si>
  <si>
    <t>GUSTAVO WILIAN RODAKIEWICZ</t>
  </si>
  <si>
    <t xml:space="preserve"> BATERIAS RONDON LTDA</t>
  </si>
  <si>
    <t xml:space="preserve">2 BATERIAS </t>
  </si>
  <si>
    <t xml:space="preserve"> JAIME LUIS ALBRING JUNIOR</t>
  </si>
  <si>
    <t xml:space="preserve"> Deslocamento-ToledoxUsinaCascavel - 280.00 
Serviço de Identificação e Troca de Baterias 180.00</t>
  </si>
  <si>
    <t>NATUREZA DE DESPESA</t>
  </si>
  <si>
    <t>SERVIÇO</t>
  </si>
  <si>
    <t>MATERIAL</t>
  </si>
  <si>
    <t>J L G ALBRING</t>
  </si>
  <si>
    <t>CARREGADOR BATERIA PAINEL</t>
  </si>
  <si>
    <t xml:space="preserve"> J L G ALBRING</t>
  </si>
  <si>
    <t>TBI</t>
  </si>
  <si>
    <t>JEAN LUIZ GOMES ALBRING</t>
  </si>
  <si>
    <t>CARLA PATRICIA FURTADO ALBRING</t>
  </si>
  <si>
    <t>Manutenção de sistema de Geração</t>
  </si>
  <si>
    <t>EXATA III</t>
  </si>
  <si>
    <t>SERVIÇO C/ MAT.</t>
  </si>
  <si>
    <t>ISD( SISTEMA DE CENTELHA BOBINAS)</t>
  </si>
  <si>
    <t>Soma de VALOR</t>
  </si>
  <si>
    <t>2023</t>
  </si>
  <si>
    <t>2024</t>
  </si>
  <si>
    <t>Anos (DATA)</t>
  </si>
  <si>
    <t>TROCA E INSTALAÇÃO DE TBI</t>
  </si>
  <si>
    <t xml:space="preserve"> 01 deslocamento valor de 828</t>
  </si>
  <si>
    <t xml:space="preserve">Uma bateria valor 570 </t>
  </si>
  <si>
    <t xml:space="preserve">01 kit vela 240,00 </t>
  </si>
  <si>
    <t>01 reparo motor de partida valor de 1350,00</t>
  </si>
  <si>
    <t>01 filtro de óleo  valor 60,00</t>
  </si>
  <si>
    <t>01 Kit junta tampa de valvula  valor 115,00</t>
  </si>
  <si>
    <t>01 kit cabo. De vela valor de 480,00</t>
  </si>
  <si>
    <t>01 kit vela valor de 240,00</t>
  </si>
  <si>
    <t>01 deslocamento  valor de 168,00</t>
  </si>
  <si>
    <t>GLA MANUT EXAT I NFS 3 E 6</t>
  </si>
  <si>
    <t>GLA MANUT EXAT I NFS 4 E 5</t>
  </si>
  <si>
    <t>Meses (DATA)</t>
  </si>
  <si>
    <t>out</t>
  </si>
  <si>
    <t>nov</t>
  </si>
  <si>
    <t>fev</t>
  </si>
  <si>
    <t>mar</t>
  </si>
  <si>
    <t>mai</t>
  </si>
  <si>
    <t>jul</t>
  </si>
  <si>
    <t>set</t>
  </si>
  <si>
    <t>SS</t>
  </si>
  <si>
    <t>Monitoramento 01/10/2024 (kWh)</t>
  </si>
  <si>
    <t>Monitoramento 02/10/2024 (kWh)</t>
  </si>
  <si>
    <t>Monitoramento 03/10/2024 (kWh)</t>
  </si>
  <si>
    <t>Monitoramento 04/10/2024 (kWh)</t>
  </si>
  <si>
    <t>Monitoramento 05/10/2024 (kWh)</t>
  </si>
  <si>
    <t>Monitoramento 06/10/2024 (kWh)</t>
  </si>
  <si>
    <t>Monitoramento 07/10/2024 (kWh)</t>
  </si>
  <si>
    <t>Monitoramento 08/10/2024 (kWh)</t>
  </si>
  <si>
    <t>Monitoramento 10/10/2024 (kWh)</t>
  </si>
  <si>
    <t>Monitoramento 11/10/2024 (kWh)</t>
  </si>
  <si>
    <t>Monitoramento 12/10/2024 (kWh)</t>
  </si>
  <si>
    <t>Monitoramento 13/10/2024 (kWh)</t>
  </si>
  <si>
    <t>Monitoramento 14/10/2024 (kWh)</t>
  </si>
  <si>
    <t>Monitoramento 15/10/2024 (kWh)</t>
  </si>
  <si>
    <t>Monitoramento 16/10/2024 (kWh)</t>
  </si>
  <si>
    <t>Monitoramento 17/10/2024 (kWh)</t>
  </si>
  <si>
    <t>Monitoramento 18/10/2024 (kWh)</t>
  </si>
  <si>
    <t>Monitoramento 19/10/2024 (kWh)</t>
  </si>
  <si>
    <t>Monitoramento 20/10/2024 (kWh)</t>
  </si>
  <si>
    <t>Monitoramento 21/10/2024 (kWh)</t>
  </si>
  <si>
    <t>Monitoramento 22/10/2024 (kWh)</t>
  </si>
  <si>
    <t>Monitoramento 23/10/2024 (kWh)</t>
  </si>
  <si>
    <t>Monitoramento 24/10/2024 (kWh)</t>
  </si>
  <si>
    <t>Monitoramento 25/10/2024 (kWh)</t>
  </si>
  <si>
    <t>Monitoramento 26/10/2024 (kWh)</t>
  </si>
  <si>
    <t>Monitoramento 27/10/2024 (kWh)</t>
  </si>
  <si>
    <t>Monitoramento 28/10/2024 (kWh)</t>
  </si>
  <si>
    <t>Monitoramento 29/10/2024 (kWh)</t>
  </si>
  <si>
    <t>Monitoramento 30/10/2024 (kWh)</t>
  </si>
  <si>
    <t>Monitoramento 31/10/2024 (kWh)</t>
  </si>
  <si>
    <t>Monitoramento 09/10/2024 (kWh)</t>
  </si>
  <si>
    <t>PREVISTO</t>
  </si>
  <si>
    <t>REAL</t>
  </si>
  <si>
    <t>%</t>
  </si>
  <si>
    <t xml:space="preserve">Monitoramento Acumulado [kWh] </t>
  </si>
  <si>
    <t>Cliente não autorizou o funcionamento</t>
  </si>
  <si>
    <t>Motor com problema</t>
  </si>
  <si>
    <t>RT</t>
  </si>
  <si>
    <t>Média</t>
  </si>
  <si>
    <t>Monitoramento 01/11/2024 (kWh)</t>
  </si>
  <si>
    <t>Monitoramento 02/11/2024 (kWh)</t>
  </si>
  <si>
    <t>Monitoramento 03/11/2024 (kWh)</t>
  </si>
  <si>
    <t>Monitoramento 04/11/2024 (kWh)</t>
  </si>
  <si>
    <t>Monitoramento 05/11/2024 (kWh)</t>
  </si>
  <si>
    <t>Monitoramento 06/11/2024 (kWh)</t>
  </si>
  <si>
    <t>Monitoramento 07/11/2024 (kWh)</t>
  </si>
  <si>
    <t>Monitoramento 08/11/2024 (kWh)</t>
  </si>
  <si>
    <t>Monitoramento 09/11/2024 (kWh)</t>
  </si>
  <si>
    <t>Monitoramento 11/11/2024 (kWh)</t>
  </si>
  <si>
    <t>Monitoramento 12/11/2024 (kWh)</t>
  </si>
  <si>
    <t>Monitoramento 13/11/2024 (kWh)</t>
  </si>
  <si>
    <t>Monitoramento 14/11/2024 (kWh)</t>
  </si>
  <si>
    <t>Monitoramento 15/11/2024 (kWh)</t>
  </si>
  <si>
    <t>Monitoramento 16/11/2024 (kWh)</t>
  </si>
  <si>
    <t>Monitoramento 17/11/2024 (kWh)</t>
  </si>
  <si>
    <t>Monitoramento 18/11/2024 (kWh)</t>
  </si>
  <si>
    <t>Monitoramento 19/11/2024 (kWh)</t>
  </si>
  <si>
    <t>Monitoramento 20/11/2024 (kWh)</t>
  </si>
  <si>
    <t>Monitoramento 21/11/2024 (kWh)</t>
  </si>
  <si>
    <t>Monitoramento 22/11/2024 (kWh)</t>
  </si>
  <si>
    <t>Monitoramento 23/11/2024 (kWh)</t>
  </si>
  <si>
    <t>Monitoramento 24/11/2024 (kWh)</t>
  </si>
  <si>
    <t>Monitoramento 25/11/2024 (kWh)</t>
  </si>
  <si>
    <t>Monitoramento 26/11/2024 (kWh)</t>
  </si>
  <si>
    <t>Monitoramento 27/11/2024 (kWh)</t>
  </si>
  <si>
    <t>Monitoramento 28/11/2024 (kWh)</t>
  </si>
  <si>
    <t>Monitoramento 29/11/2024 (kWh)</t>
  </si>
  <si>
    <t>Monitoramento 30/11/2024 (kWh)</t>
  </si>
  <si>
    <t>Monitoramento 10/11/2024 (kWh)</t>
  </si>
  <si>
    <t>Monitoramento 01/12/2024 (kWh)</t>
  </si>
  <si>
    <t>Monitoramento 02/12/2024 (kWh)</t>
  </si>
  <si>
    <t>Monitoramento 03/12/2024 (kWh)</t>
  </si>
  <si>
    <t>Monitoramento 04/12/2024 (kWh)</t>
  </si>
  <si>
    <t>Monitoramento 05/12/2024 (kWh)</t>
  </si>
  <si>
    <t>Monitoramento 06/12/2024 (kWh)</t>
  </si>
  <si>
    <t>Monitoramento 07/12/2024 (kWh)</t>
  </si>
  <si>
    <t>Monitoramento 08/12/2024 (kWh)</t>
  </si>
  <si>
    <t>Monitoramento 09/12/2024 (kWh)</t>
  </si>
  <si>
    <t>Monitoramento 10/12/2024 (kWh)</t>
  </si>
  <si>
    <t>Monitoramento 12/12/2024 (kWh)</t>
  </si>
  <si>
    <t>Monitoramento 13/12/2024 (kWh)</t>
  </si>
  <si>
    <t>Monitoramento 14/12/2024 (kWh)</t>
  </si>
  <si>
    <t>Monitoramento 15/12/2024 (kWh)</t>
  </si>
  <si>
    <t>Monitoramento 16/12/2024 (kWh)</t>
  </si>
  <si>
    <t>Monitoramento 17/12/2024 (kWh)</t>
  </si>
  <si>
    <t>Monitoramento 18/12/2024 (kWh)</t>
  </si>
  <si>
    <t>Monitoramento 19/12/2024 (kWh)</t>
  </si>
  <si>
    <t>Monitoramento 20/12/2024 (kWh)</t>
  </si>
  <si>
    <t>Monitoramento 21/12/2024 (kWh)</t>
  </si>
  <si>
    <t>Monitoramento 22/12/2024 (kWh)</t>
  </si>
  <si>
    <t>Monitoramento 23/12/2024 (kWh)</t>
  </si>
  <si>
    <t>Monitoramento 24/12/2024 (kWh)</t>
  </si>
  <si>
    <t>Monitoramento 25/12/2024 (kWh)</t>
  </si>
  <si>
    <t>Monitoramento 26/12/2024 (kWh)</t>
  </si>
  <si>
    <t>Monitoramento 27/12/2024 (kWh)</t>
  </si>
  <si>
    <t>Monitoramento 28/12/2024 (kWh)</t>
  </si>
  <si>
    <t>Monitoramento 29/12/2024 (kWh)</t>
  </si>
  <si>
    <t>Monitoramento 30/12/2024 (kWh)</t>
  </si>
  <si>
    <t>Monitoramento 31/12/2024 (kWh)</t>
  </si>
  <si>
    <t>Monitoramento 11/12/2024 (kWh)</t>
  </si>
  <si>
    <t>TOTAL  ACUMULADO</t>
  </si>
  <si>
    <t xml:space="preserve">27 Usinas GSM - 2,5 GW - </t>
  </si>
  <si>
    <t>2 Usinas Biogas - 0,150 GW;</t>
  </si>
  <si>
    <t>1 PCH Secretario - 2,7 GW;</t>
  </si>
  <si>
    <t>UFV GSM</t>
  </si>
  <si>
    <t xml:space="preserve">PCH SECRETARIO </t>
  </si>
  <si>
    <t>Qtd</t>
  </si>
  <si>
    <t>Geração Acumulada até Nov/2024 (MWh)</t>
  </si>
  <si>
    <t>Potência (MW)</t>
  </si>
  <si>
    <t>UTB EXATA I e III</t>
  </si>
  <si>
    <t>;</t>
  </si>
  <si>
    <t>Monitoramento 01/01/2025 (kWh)</t>
  </si>
  <si>
    <t>Monitoramento 02/01/2025 (kWh)</t>
  </si>
  <si>
    <t>Monitoramento 03/01/2025 (kWh)</t>
  </si>
  <si>
    <t>Monitoramento 04/01/2025 (kWh)</t>
  </si>
  <si>
    <t>Monitoramento 05/01/2025 (kWh)</t>
  </si>
  <si>
    <t>Monitoramento 06/01/2025 (kWh)</t>
  </si>
  <si>
    <t>Monitoramento 07/01/2025 (kWh)</t>
  </si>
  <si>
    <t>Monitoramento 08/01/2025 (kWh)</t>
  </si>
  <si>
    <t>Monitoramento 09/01/2025 (kWh)</t>
  </si>
  <si>
    <t>Monitoramento 10/01/2025 (kWh)</t>
  </si>
  <si>
    <t>Monitoramento 11/01/2025 (kWh)</t>
  </si>
  <si>
    <t>Monitoramento 12/01/2025 (kWh)</t>
  </si>
  <si>
    <t>Monitoramento 13/01/2025 (kWh)</t>
  </si>
  <si>
    <t>Monitoramento 14/01/2025 (kWh)</t>
  </si>
  <si>
    <t>Monitoramento 15/01/2025 (kWh)</t>
  </si>
  <si>
    <t>Monitoramento 16/01/2025 (kWh)</t>
  </si>
  <si>
    <t>Monitoramento 17/01/2025 (kWh)</t>
  </si>
  <si>
    <t>Monitoramento 18/01/2025 (kWh)</t>
  </si>
  <si>
    <t>Monitoramento 19/01/2025 (kWh)</t>
  </si>
  <si>
    <t>Monitoramento 20/01/2025 (kWh)</t>
  </si>
  <si>
    <t>Monitoramento 21/01/2025 (kWh)</t>
  </si>
  <si>
    <t>Monitoramento 22/01/2025 (kWh)</t>
  </si>
  <si>
    <t>Monitoramento 23/01/2025 (kWh)</t>
  </si>
  <si>
    <t>Monitoramento 25/01/2025 (kWh)</t>
  </si>
  <si>
    <t>Monitoramento 26/01/2025 (kWh)</t>
  </si>
  <si>
    <t>Monitoramento 27/01/2025 (kWh)</t>
  </si>
  <si>
    <t>Monitoramento 28/01/2025 (kWh)</t>
  </si>
  <si>
    <t>Monitoramento 29/01/2025 (kWh)</t>
  </si>
  <si>
    <t>Monitoramento 30/01/2025 (kWh)</t>
  </si>
  <si>
    <t>Monitoramento 31/01/2025 (kWh)</t>
  </si>
  <si>
    <t>Monitoramento 24/01/2025 (kWh)</t>
  </si>
  <si>
    <t>RIO BONITO</t>
  </si>
  <si>
    <t>|</t>
  </si>
  <si>
    <t>Monitoramento 02/02/2025 (kWh)</t>
  </si>
  <si>
    <t>Monitoramento 03/02/2025 (kWh)</t>
  </si>
  <si>
    <t>Monitoramento 04/02/2025 (kWh)</t>
  </si>
  <si>
    <t>Monitoramento 05/02/2025 (kWh)</t>
  </si>
  <si>
    <t>Monitoramento 06/02/2025 (kWh)</t>
  </si>
  <si>
    <t>Monitoramento 07/02/2025 (kWh)</t>
  </si>
  <si>
    <t>Monitoramento 08/02/2025 (kWh)</t>
  </si>
  <si>
    <t>Monitoramento 09/02/2025 (kWh)</t>
  </si>
  <si>
    <t>Monitoramento 10/02/2025 (kWh)</t>
  </si>
  <si>
    <t>Monitoramento 11/02/2025 (kWh)</t>
  </si>
  <si>
    <t>Monitoramento 12/02/2025 (kWh)</t>
  </si>
  <si>
    <t>Monitoramento 13/02/2025 (kWh)</t>
  </si>
  <si>
    <t>Monitoramento 14/02/2025 (kWh)</t>
  </si>
  <si>
    <t>Monitoramento 15/02/2025 (kWh)</t>
  </si>
  <si>
    <t>Monitoramento 16/02/2025 (kWh)</t>
  </si>
  <si>
    <t>Monitoramento 17/02/2025 (kWh)</t>
  </si>
  <si>
    <t>Monitoramento 18/02/2025 (kWh)</t>
  </si>
  <si>
    <t>Monitoramento 19/02/2025 (kWh)</t>
  </si>
  <si>
    <t>Monitoramento 20/02/2025 (kWh)</t>
  </si>
  <si>
    <t>Monitoramento 21/02/2025 (kWh)</t>
  </si>
  <si>
    <t>Monitoramento 22/02/2025 (kWh)</t>
  </si>
  <si>
    <t>Monitoramento 23/02/2025 (kWh)</t>
  </si>
  <si>
    <t>Monitoramento 24/02/2025 (kWh)</t>
  </si>
  <si>
    <t>Monitoramento 25/02/2025 (kWh)</t>
  </si>
  <si>
    <t>Monitoramento 26/02/2025 (kWh)</t>
  </si>
  <si>
    <t>Monitoramento 27/02/2025 (kWh)</t>
  </si>
  <si>
    <t>Monitoramento 28/02/2025 (kWh)</t>
  </si>
  <si>
    <t>Monitoramento 01/02/2025 (kWh)</t>
  </si>
  <si>
    <t>Monitoramento 03/03/2025 (kWh)</t>
  </si>
  <si>
    <t>Monitoramento 02/03/2025 (kWh)</t>
  </si>
  <si>
    <t>Monitoramento 04/03/2025 (kWh)</t>
  </si>
  <si>
    <t>Monitoramento 05/03/2025 (kWh)</t>
  </si>
  <si>
    <t>Monitoramento 06/03/2025 (kWh)</t>
  </si>
  <si>
    <t>Monitoramento 07/03/2025 (kWh)</t>
  </si>
  <si>
    <t>Monitoramento 08/03/2025 (kWh)</t>
  </si>
  <si>
    <t>Monitoramento 09/03/2025 (kWh)</t>
  </si>
  <si>
    <t>Monitoramento 10/03/2025 (kWh)</t>
  </si>
  <si>
    <t>Monitoramento 11/03/2025 (kWh)</t>
  </si>
  <si>
    <t>Monitoramento 12/03/2025 (kWh)</t>
  </si>
  <si>
    <t>Monitoramento 13/03/2025 (kWh)</t>
  </si>
  <si>
    <t>Monitoramento 14/03/2025 (kWh)</t>
  </si>
  <si>
    <t>Monitoramento 15/03/2025 (kWh)</t>
  </si>
  <si>
    <t>Monitoramento 16/03/2025 (kWh)</t>
  </si>
  <si>
    <t>Monitoramento 17/03/2025 (kWh)</t>
  </si>
  <si>
    <t>Monitoramento 18/03/2025 (kWh)</t>
  </si>
  <si>
    <t>Monitoramento 19/03/2025 (kWh)</t>
  </si>
  <si>
    <t>Monitoramento 20/03/2025 (kWh)</t>
  </si>
  <si>
    <t>Monitoramento 21/03/2025 (kWh)</t>
  </si>
  <si>
    <t>Monitoramento 22/03/2025 (kWh)</t>
  </si>
  <si>
    <t>Monitoramento 23/03/2025 (kWh)</t>
  </si>
  <si>
    <t>Monitoramento 24/03/2025 (kWh)</t>
  </si>
  <si>
    <t>Monitoramento 25/03/2025 (kWh)</t>
  </si>
  <si>
    <t>Monitoramento 26/03/2025 (kWh)</t>
  </si>
  <si>
    <t>Monitoramento 27/03/2025 (kWh)</t>
  </si>
  <si>
    <t>Monitoramento 28/03/2025 (kWh)</t>
  </si>
  <si>
    <t>Monitoramento 29/03/2025 (kWh)</t>
  </si>
  <si>
    <t>Monitoramento 30/03/2025 (kWh)</t>
  </si>
  <si>
    <t>Monitoramento 31/03/2025 (kWh)</t>
  </si>
  <si>
    <t>Monitoramento 01/03/2025 (kWh)</t>
  </si>
  <si>
    <t>Monitoramento 01/04/2025 (kWh)</t>
  </si>
  <si>
    <t>Monitoramento 02/04/2025 (kWh)</t>
  </si>
  <si>
    <t>Monitoramento 04/04/2025 (kWh)</t>
  </si>
  <si>
    <t>Monitoramento 05/04/2025 (kWh)</t>
  </si>
  <si>
    <t>Monitoramento 06/04/2025 (kWh)</t>
  </si>
  <si>
    <t>Monitoramento 07/04/2025 (kWh)</t>
  </si>
  <si>
    <t>Monitoramento 08/04/2025 (kWh)</t>
  </si>
  <si>
    <t>Monitoramento 09/04/2025 (kWh)</t>
  </si>
  <si>
    <t>Monitoramento 10/04/2025 (kWh)</t>
  </si>
  <si>
    <t>Monitoramento 11/04/2025 (kWh)</t>
  </si>
  <si>
    <t>Monitoramento 12/04/2025 (kWh)</t>
  </si>
  <si>
    <t>Monitoramento 13/04/2025 (kWh)</t>
  </si>
  <si>
    <t>Monitoramento 14/04/2025 (kWh)</t>
  </si>
  <si>
    <t>Monitoramento 15/04/2025 (kWh)</t>
  </si>
  <si>
    <t>Monitoramento 16/04/2025 (kWh)</t>
  </si>
  <si>
    <t>Monitoramento 17/04/2025 (kWh)</t>
  </si>
  <si>
    <t>Monitoramento 18/04/2025 (kWh)</t>
  </si>
  <si>
    <t>Monitoramento 19/04/2025 (kWh)</t>
  </si>
  <si>
    <t>Monitoramento 20/04/2025 (kWh)</t>
  </si>
  <si>
    <t>Monitoramento 21/04/2025 (kWh)</t>
  </si>
  <si>
    <t>Monitoramento 22/04/2025 (kWh)</t>
  </si>
  <si>
    <t>Monitoramento 23/04/2025 (kWh)</t>
  </si>
  <si>
    <t>Monitoramento 24/04/2025 (kWh)</t>
  </si>
  <si>
    <t>Monitoramento 25/04/2025 (kWh)</t>
  </si>
  <si>
    <t>Monitoramento 26/04/2025 (kWh)</t>
  </si>
  <si>
    <t>Monitoramento 27/04/2025 (kWh)</t>
  </si>
  <si>
    <t>Monitoramento 28/04/2025 (kWh)</t>
  </si>
  <si>
    <t>Monitoramento 29/04/2025 (kWh)</t>
  </si>
  <si>
    <t>Monitoramento 30/04/2025 (kWh)</t>
  </si>
  <si>
    <t>Monitoramento 03/04/2025 (kWh)</t>
  </si>
  <si>
    <t xml:space="preserve"> </t>
  </si>
  <si>
    <t>CEMIG 
( GSM SOLARION)</t>
  </si>
  <si>
    <t>CEMIG 
( PRIME 01)</t>
  </si>
  <si>
    <t>LIGHT
( PRIME 02)</t>
  </si>
  <si>
    <t>ENEL 
(PRIME 03)</t>
  </si>
  <si>
    <t>kWh ACUM</t>
  </si>
  <si>
    <t>CEMIG
(GSM SOLARION)</t>
  </si>
  <si>
    <t>CEMIG
(PRIME 01)</t>
  </si>
  <si>
    <t>LIGHT 
(PRIME 02)</t>
  </si>
  <si>
    <t>ENEL
(PRIME 03)</t>
  </si>
  <si>
    <t>Monitoramento 01/05/2025 (kWh)</t>
  </si>
  <si>
    <t>Monitoramento 02/05/2025 (kWh)</t>
  </si>
  <si>
    <t>Monitoramento 03/05/2025 (kWh)</t>
  </si>
  <si>
    <t>Monitoramento 05/05/2025 (kWh)</t>
  </si>
  <si>
    <t>Monitoramento 06/05/2025 (kWh)</t>
  </si>
  <si>
    <t>Monitoramento 07/05/2025 (kWh)</t>
  </si>
  <si>
    <t>Monitoramento 08/05/2025 (kWh)</t>
  </si>
  <si>
    <t>Monitoramento 09/05/2025 (kWh)</t>
  </si>
  <si>
    <t>Monitoramento 10/05/2025 (kWh)</t>
  </si>
  <si>
    <t>Monitoramento 11/05/2025 (kWh)</t>
  </si>
  <si>
    <t>Monitoramento 12/05/2025 (kWh)</t>
  </si>
  <si>
    <t>Monitoramento 13/05/2025 (kWh)</t>
  </si>
  <si>
    <t>Monitoramento 14/05/2025 (kWh)</t>
  </si>
  <si>
    <t>Monitoramento 15/05/2025 (kWh)</t>
  </si>
  <si>
    <t>Monitoramento 16/05/2025 (kWh)</t>
  </si>
  <si>
    <t>Monitoramento 17/05/2025 (kWh)</t>
  </si>
  <si>
    <t>Monitoramento 18/05/2025 (kWh)</t>
  </si>
  <si>
    <t>Monitoramento 19/05/2025 (kWh)</t>
  </si>
  <si>
    <t>Monitoramento 20/05/2025 (kWh)</t>
  </si>
  <si>
    <t>Monitoramento 21/05/2025 (kWh)</t>
  </si>
  <si>
    <t>Monitoramento 22/05/2025 (kWh)</t>
  </si>
  <si>
    <t>Monitoramento 23/05/2025 (kWh)</t>
  </si>
  <si>
    <t>Monitoramento 24/05/2025 (kWh)</t>
  </si>
  <si>
    <t>Monitoramento 25/05/2025 (kWh)</t>
  </si>
  <si>
    <t>Monitoramento 26/05/2025 (kWh)</t>
  </si>
  <si>
    <t>Monitoramento 27/05/2025 (kWh)</t>
  </si>
  <si>
    <t>Monitoramento 28/05/2025 (kWh)</t>
  </si>
  <si>
    <t>Monitoramento 29/05/2025 (kWh)</t>
  </si>
  <si>
    <t>Monitoramento 30/05/2025 (kWh)</t>
  </si>
  <si>
    <t>Monitoramento 04/05/2025 (kWh)</t>
  </si>
  <si>
    <t>TRIUNFO III</t>
  </si>
  <si>
    <t>Monitoramento 31/05/2025 (kWh)</t>
  </si>
  <si>
    <t>falha do disjuntor de acoplamento</t>
  </si>
  <si>
    <t>Monitoramento 06/06/2025 (kWh)</t>
  </si>
  <si>
    <t>Monitoramento 07/06/2025 (kWh)</t>
  </si>
  <si>
    <t>Monitoramento 08/06/2025 (kWh)</t>
  </si>
  <si>
    <t>Monitoramento 09/06/2025 (kWh)</t>
  </si>
  <si>
    <t>Monitoramento 10/06/2025 (kWh)</t>
  </si>
  <si>
    <t>Monitoramento 11/06/2025 (kWh)</t>
  </si>
  <si>
    <t>Monitoramento 12/06/2025 (kWh)</t>
  </si>
  <si>
    <t>Monitoramento 13/06/2025 (kWh)</t>
  </si>
  <si>
    <t>Monitoramento 14/06/2025 (kWh)</t>
  </si>
  <si>
    <t>Monitoramento 15/06/2025 (kWh)</t>
  </si>
  <si>
    <t>Monitoramento 16/06/2025 (kWh)</t>
  </si>
  <si>
    <t>Monitoramento 17/06/2025 (kWh)</t>
  </si>
  <si>
    <t>Monitoramento 18/06/2025 (kWh)</t>
  </si>
  <si>
    <t>Monitoramento 19/06/2025 (kWh)</t>
  </si>
  <si>
    <t>Monitoramento 20/06/2025 (kWh)</t>
  </si>
  <si>
    <t>Monitoramento 21/06/2025 (kWh)</t>
  </si>
  <si>
    <t>Monitoramento 22/06/2025 (kWh)</t>
  </si>
  <si>
    <t>Monitoramento 23/06/2025 (kWh)</t>
  </si>
  <si>
    <t>Monitoramento 24/06/2025 (kWh)</t>
  </si>
  <si>
    <t>Monitoramento 25/06/2025 (kWh)</t>
  </si>
  <si>
    <t>Monitoramento 26/06/2025 (kWh)</t>
  </si>
  <si>
    <t>Monitoramento 27/06/2025 (kWh)</t>
  </si>
  <si>
    <t>Monitoramento 28/06/2025 (kWh)</t>
  </si>
  <si>
    <t>Monitoramento 29/06/2025 (kWh)</t>
  </si>
  <si>
    <t>Monitoramento 30/06/2025 (kWh)</t>
  </si>
  <si>
    <t>Monitoramento 05/06/2025 (kWh)</t>
  </si>
  <si>
    <t>Monitoramento 04/06/2025 (kWh)</t>
  </si>
  <si>
    <t>Monitoramento 03/06/2025 (kWh)</t>
  </si>
  <si>
    <t>Monitoramento 02/06/2025 (kWh)</t>
  </si>
  <si>
    <t>Monitoramento 01/06/2025 (kWh)</t>
  </si>
  <si>
    <t>sem comunicação</t>
  </si>
  <si>
    <t>Sem comunicação</t>
  </si>
  <si>
    <t>Monitoramento 01/07/2025 (kWh)</t>
  </si>
  <si>
    <t>Monitoramento 02/07/2025 (kWh)</t>
  </si>
  <si>
    <t>Monitoramento 03/07/2025 (kWh)</t>
  </si>
  <si>
    <t>Monitoramento 04/07/2025 (kWh)</t>
  </si>
  <si>
    <t>Monitoramento 05/07/2025 (kWh)</t>
  </si>
  <si>
    <t>Monitoramento 07/07/2025 (kWh)</t>
  </si>
  <si>
    <t>Monitoramento 08/07/2025 (kWh)</t>
  </si>
  <si>
    <t>Monitoramento 09/07/2025 (kWh)</t>
  </si>
  <si>
    <t>Monitoramento 10/07/2025 (kWh)</t>
  </si>
  <si>
    <t>Monitoramento 11/07/2025 (kWh)</t>
  </si>
  <si>
    <t>Monitoramento 12/07/2025 (kWh)</t>
  </si>
  <si>
    <t>Monitoramento 13/07/2025 (kWh)</t>
  </si>
  <si>
    <t>Monitoramento 14/07/2025 (kWh)</t>
  </si>
  <si>
    <t>Monitoramento 15/07/2025 (kWh)</t>
  </si>
  <si>
    <t>Monitoramento 16/07/2025 (kWh)</t>
  </si>
  <si>
    <t>Monitoramento 17/07/2025 (kWh)</t>
  </si>
  <si>
    <t>Monitoramento 18/07/2025 (kWh)</t>
  </si>
  <si>
    <t>Monitoramento 19/07/2025 (kWh)</t>
  </si>
  <si>
    <t>Monitoramento 20/07/2025 (kWh)</t>
  </si>
  <si>
    <t>Monitoramento 21/07/2025 (kWh)</t>
  </si>
  <si>
    <t>Monitoramento 22/07/2025 (kWh)</t>
  </si>
  <si>
    <t>Monitoramento 23/07/2025 (kWh)</t>
  </si>
  <si>
    <t>Monitoramento 24/07/2025 (kWh)</t>
  </si>
  <si>
    <t>Monitoramento 25/07/2025 (kWh)</t>
  </si>
  <si>
    <t>Monitoramento 26/07/2025 (kWh)</t>
  </si>
  <si>
    <t>Monitoramento 27/07/2025 (kWh)</t>
  </si>
  <si>
    <t>Monitoramento 28/07/2025 (kWh)</t>
  </si>
  <si>
    <t>Monitoramento 29/07/2025 (kWh)</t>
  </si>
  <si>
    <t>Monitoramento 30/07/2025 (kWh)</t>
  </si>
  <si>
    <t>Monitoramento 31/07/2025 (kWh)</t>
  </si>
  <si>
    <t>Monitoramento 06/07/2025 (kWh)</t>
  </si>
  <si>
    <t>Total [kWh] Acumulado   Julho_25 -&gt; Hoje</t>
  </si>
  <si>
    <t>Período da análise: Mês de Julho/25</t>
  </si>
  <si>
    <t>Total [kWh] Acumulado  Julho_25 -&gt; Hoje</t>
  </si>
  <si>
    <t>PARQUE BULEVARD</t>
  </si>
  <si>
    <t>CAMPO ALEGRE IV</t>
  </si>
  <si>
    <t>ESTOQUE</t>
  </si>
  <si>
    <t>Modulos CA IV - SIT MOACIR</t>
  </si>
  <si>
    <t>Antiga lote 14 -&gt; 340 W JINKO</t>
  </si>
  <si>
    <t>Rest LOTE 14 -&gt; 10 x 555 W TRINA</t>
  </si>
  <si>
    <t>214 MOD *555 mod</t>
  </si>
  <si>
    <t>180 MOD * 590 W</t>
  </si>
  <si>
    <t>15 STRING X 12 MOD</t>
  </si>
  <si>
    <t xml:space="preserve">MOD. TRIUNFO - </t>
  </si>
  <si>
    <t>MOD. GERSON - 44 X 545 W</t>
  </si>
  <si>
    <t>TOTAL GERAL</t>
  </si>
  <si>
    <t>Palete Parque Boulevard</t>
  </si>
  <si>
    <t>instalar CB I ( 38 x 340) = 12,92</t>
  </si>
  <si>
    <t>instalar lote 12 ( Instalar 58 x 340) = 19,72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</si>
</sst>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0"/>
    <numFmt numFmtId="166" formatCode="#,##0_ ;\-#,##0\ "/>
    <numFmt numFmtId="167" formatCode="#,##0.0"/>
    <numFmt numFmtId="168" formatCode="[$-416]mmm\-yy;@"/>
    <numFmt numFmtId="169" formatCode="_-* #,##0_-;\-* #,##0_-;_-* &quot;-&quot;??_-;_-@_-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7"/>
      <color rgb="FF77777A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6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vertical="center"/>
    </xf>
    <xf numFmtId="0" fontId="0" fillId="3" borderId="2" xfId="0" applyFill="1" applyBorder="1" applyAlignment="1">
      <alignment horizontal="center" vertical="center"/>
    </xf>
    <xf numFmtId="164" fontId="0" fillId="0" borderId="2" xfId="1" applyNumberFormat="1" applyFont="1" applyFill="1" applyBorder="1" applyAlignment="1">
      <alignment horizontal="center" vertical="center"/>
    </xf>
    <xf numFmtId="10" fontId="2" fillId="6" borderId="0" xfId="1" applyNumberFormat="1" applyFont="1" applyFill="1" applyBorder="1" applyAlignment="1">
      <alignment horizontal="center" vertical="center"/>
    </xf>
    <xf numFmtId="164" fontId="0" fillId="0" borderId="0" xfId="1" applyNumberFormat="1" applyFont="1"/>
    <xf numFmtId="1" fontId="1" fillId="6" borderId="0" xfId="1" applyNumberFormat="1" applyFont="1" applyFill="1" applyAlignment="1">
      <alignment horizontal="center" vertical="center"/>
    </xf>
    <xf numFmtId="0" fontId="0" fillId="7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" fontId="0" fillId="0" borderId="6" xfId="0" applyNumberFormat="1" applyBorder="1" applyAlignment="1">
      <alignment horizontal="center" vertical="center" wrapText="1"/>
    </xf>
    <xf numFmtId="17" fontId="0" fillId="0" borderId="7" xfId="0" applyNumberForma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7" fontId="0" fillId="0" borderId="2" xfId="0" applyNumberForma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4" fillId="0" borderId="0" xfId="0" applyFont="1"/>
    <xf numFmtId="0" fontId="4" fillId="6" borderId="0" xfId="0" applyFont="1" applyFill="1"/>
    <xf numFmtId="10" fontId="0" fillId="4" borderId="22" xfId="1" applyNumberFormat="1" applyFont="1" applyFill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0" fontId="2" fillId="0" borderId="12" xfId="0" applyFont="1" applyBorder="1" applyAlignment="1">
      <alignment horizontal="left" vertical="center"/>
    </xf>
    <xf numFmtId="0" fontId="0" fillId="11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10" fontId="0" fillId="4" borderId="9" xfId="1" applyNumberFormat="1" applyFont="1" applyFill="1" applyBorder="1" applyAlignment="1">
      <alignment horizontal="center" vertical="center"/>
    </xf>
    <xf numFmtId="10" fontId="0" fillId="4" borderId="18" xfId="1" applyNumberFormat="1" applyFont="1" applyFill="1" applyBorder="1" applyAlignment="1">
      <alignment horizontal="center" vertical="center"/>
    </xf>
    <xf numFmtId="10" fontId="0" fillId="4" borderId="10" xfId="1" applyNumberFormat="1" applyFont="1" applyFill="1" applyBorder="1" applyAlignment="1">
      <alignment horizontal="center" vertical="center"/>
    </xf>
    <xf numFmtId="10" fontId="0" fillId="0" borderId="14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14" fontId="2" fillId="0" borderId="6" xfId="0" applyNumberFormat="1" applyFon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2" fontId="0" fillId="0" borderId="5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0" fontId="0" fillId="10" borderId="5" xfId="1" applyNumberFormat="1" applyFont="1" applyFill="1" applyBorder="1" applyAlignment="1">
      <alignment horizontal="center" vertical="center"/>
    </xf>
    <xf numFmtId="164" fontId="2" fillId="12" borderId="9" xfId="1" applyNumberFormat="1" applyFont="1" applyFill="1" applyBorder="1" applyAlignment="1">
      <alignment horizontal="center" vertical="center"/>
    </xf>
    <xf numFmtId="164" fontId="2" fillId="12" borderId="2" xfId="1" applyNumberFormat="1" applyFont="1" applyFill="1" applyBorder="1" applyAlignment="1">
      <alignment horizontal="center" vertical="center"/>
    </xf>
    <xf numFmtId="164" fontId="2" fillId="12" borderId="25" xfId="1" applyNumberFormat="1" applyFont="1" applyFill="1" applyBorder="1" applyAlignment="1">
      <alignment horizontal="center" vertical="center"/>
    </xf>
    <xf numFmtId="164" fontId="2" fillId="12" borderId="18" xfId="1" applyNumberFormat="1" applyFont="1" applyFill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5" fontId="0" fillId="10" borderId="2" xfId="0" applyNumberFormat="1" applyFill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12" borderId="2" xfId="0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left" vertical="center"/>
    </xf>
    <xf numFmtId="164" fontId="0" fillId="0" borderId="22" xfId="1" applyNumberFormat="1" applyFont="1" applyFill="1" applyBorder="1" applyAlignment="1">
      <alignment horizontal="center" vertical="center"/>
    </xf>
    <xf numFmtId="0" fontId="0" fillId="12" borderId="22" xfId="0" applyFill="1" applyBorder="1" applyAlignment="1">
      <alignment horizontal="left" vertical="center"/>
    </xf>
    <xf numFmtId="0" fontId="0" fillId="12" borderId="2" xfId="0" applyFill="1" applyBorder="1" applyAlignment="1">
      <alignment horizontal="center" vertical="center"/>
    </xf>
    <xf numFmtId="0" fontId="0" fillId="7" borderId="22" xfId="0" applyFill="1" applyBorder="1" applyAlignment="1">
      <alignment horizontal="left" vertical="center"/>
    </xf>
    <xf numFmtId="0" fontId="0" fillId="7" borderId="2" xfId="0" applyFill="1" applyBorder="1" applyAlignment="1">
      <alignment horizontal="center" vertical="center"/>
    </xf>
    <xf numFmtId="2" fontId="0" fillId="13" borderId="2" xfId="0" applyNumberFormat="1" applyFill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2" fontId="0" fillId="0" borderId="21" xfId="0" applyNumberFormat="1" applyBorder="1" applyAlignment="1">
      <alignment horizontal="center" vertical="center"/>
    </xf>
    <xf numFmtId="2" fontId="0" fillId="10" borderId="5" xfId="0" applyNumberFormat="1" applyFill="1" applyBorder="1" applyAlignment="1">
      <alignment horizontal="center" vertical="center"/>
    </xf>
    <xf numFmtId="2" fontId="0" fillId="13" borderId="17" xfId="0" applyNumberFormat="1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6" borderId="0" xfId="0" applyFill="1" applyAlignment="1">
      <alignment horizontal="left" vertical="center"/>
    </xf>
    <xf numFmtId="2" fontId="0" fillId="0" borderId="26" xfId="0" applyNumberFormat="1" applyBorder="1" applyAlignment="1">
      <alignment horizontal="center" vertical="center"/>
    </xf>
    <xf numFmtId="10" fontId="0" fillId="0" borderId="5" xfId="1" applyNumberFormat="1" applyFont="1" applyFill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2" fontId="0" fillId="13" borderId="2" xfId="0" applyNumberFormat="1" applyFill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13" borderId="11" xfId="0" applyNumberFormat="1" applyFill="1" applyBorder="1" applyAlignment="1">
      <alignment horizontal="center" vertical="center" wrapText="1"/>
    </xf>
    <xf numFmtId="2" fontId="0" fillId="13" borderId="11" xfId="0" applyNumberForma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2" fillId="12" borderId="10" xfId="1" applyNumberFormat="1" applyFont="1" applyFill="1" applyBorder="1" applyAlignment="1">
      <alignment horizontal="center" vertical="center"/>
    </xf>
    <xf numFmtId="164" fontId="2" fillId="12" borderId="11" xfId="1" applyNumberFormat="1" applyFont="1" applyFill="1" applyBorder="1" applyAlignment="1">
      <alignment horizontal="center" vertical="center"/>
    </xf>
    <xf numFmtId="164" fontId="2" fillId="12" borderId="27" xfId="1" applyNumberFormat="1" applyFont="1" applyFill="1" applyBorder="1" applyAlignment="1">
      <alignment horizontal="center" vertical="center"/>
    </xf>
    <xf numFmtId="164" fontId="2" fillId="12" borderId="19" xfId="1" applyNumberFormat="1" applyFont="1" applyFill="1" applyBorder="1" applyAlignment="1">
      <alignment horizontal="center" vertical="center"/>
    </xf>
    <xf numFmtId="2" fontId="0" fillId="0" borderId="0" xfId="0" applyNumberFormat="1"/>
    <xf numFmtId="2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10" fontId="0" fillId="4" borderId="15" xfId="1" applyNumberFormat="1" applyFont="1" applyFill="1" applyBorder="1" applyAlignment="1">
      <alignment horizontal="center" vertical="center"/>
    </xf>
    <xf numFmtId="10" fontId="0" fillId="4" borderId="28" xfId="1" applyNumberFormat="1" applyFont="1" applyFill="1" applyBorder="1" applyAlignment="1">
      <alignment horizontal="center" vertical="center"/>
    </xf>
    <xf numFmtId="10" fontId="0" fillId="4" borderId="30" xfId="1" applyNumberFormat="1" applyFont="1" applyFill="1" applyBorder="1" applyAlignment="1">
      <alignment horizontal="center" vertical="center"/>
    </xf>
    <xf numFmtId="10" fontId="0" fillId="0" borderId="16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 wrapText="1"/>
    </xf>
    <xf numFmtId="2" fontId="0" fillId="0" borderId="11" xfId="0" applyNumberFormat="1" applyBorder="1" applyAlignment="1">
      <alignment horizontal="center" vertical="center" wrapText="1"/>
    </xf>
    <xf numFmtId="14" fontId="0" fillId="0" borderId="0" xfId="0" applyNumberFormat="1"/>
    <xf numFmtId="0" fontId="0" fillId="0" borderId="20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10" borderId="31" xfId="0" applyFill="1" applyBorder="1" applyAlignment="1">
      <alignment horizontal="center" vertical="center" wrapText="1"/>
    </xf>
    <xf numFmtId="10" fontId="0" fillId="10" borderId="31" xfId="1" applyNumberFormat="1" applyFont="1" applyFill="1" applyBorder="1" applyAlignment="1">
      <alignment horizontal="center" vertical="center"/>
    </xf>
    <xf numFmtId="10" fontId="0" fillId="0" borderId="31" xfId="1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17" fontId="0" fillId="0" borderId="8" xfId="0" applyNumberForma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/>
    </xf>
    <xf numFmtId="164" fontId="0" fillId="0" borderId="18" xfId="1" applyNumberFormat="1" applyFont="1" applyFill="1" applyBorder="1" applyAlignment="1">
      <alignment horizontal="center" vertical="center"/>
    </xf>
    <xf numFmtId="164" fontId="0" fillId="0" borderId="13" xfId="1" applyNumberFormat="1" applyFont="1" applyBorder="1" applyAlignment="1">
      <alignment horizontal="center" vertical="center"/>
    </xf>
    <xf numFmtId="164" fontId="0" fillId="0" borderId="13" xfId="1" applyNumberFormat="1" applyFont="1" applyFill="1" applyBorder="1" applyAlignment="1">
      <alignment horizontal="center" vertical="center"/>
    </xf>
    <xf numFmtId="164" fontId="0" fillId="0" borderId="14" xfId="1" applyNumberFormat="1" applyFont="1" applyFill="1" applyBorder="1" applyAlignment="1">
      <alignment horizontal="center" vertical="center"/>
    </xf>
    <xf numFmtId="164" fontId="0" fillId="0" borderId="30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27" xfId="1" applyNumberFormat="1" applyFont="1" applyFill="1" applyBorder="1" applyAlignment="1">
      <alignment horizontal="center" vertical="center"/>
    </xf>
    <xf numFmtId="10" fontId="0" fillId="4" borderId="11" xfId="1" applyNumberFormat="1" applyFont="1" applyFill="1" applyBorder="1" applyAlignment="1">
      <alignment horizontal="center" vertical="center"/>
    </xf>
    <xf numFmtId="10" fontId="0" fillId="4" borderId="27" xfId="1" applyNumberFormat="1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10" fontId="0" fillId="4" borderId="13" xfId="1" applyNumberFormat="1" applyFont="1" applyFill="1" applyBorder="1" applyAlignment="1">
      <alignment horizontal="center" vertical="center"/>
    </xf>
    <xf numFmtId="10" fontId="0" fillId="4" borderId="16" xfId="1" applyNumberFormat="1" applyFont="1" applyFill="1" applyBorder="1" applyAlignment="1">
      <alignment horizontal="center" vertical="center"/>
    </xf>
    <xf numFmtId="10" fontId="0" fillId="4" borderId="14" xfId="1" applyNumberFormat="1" applyFont="1" applyFill="1" applyBorder="1" applyAlignment="1">
      <alignment horizontal="center" vertical="center"/>
    </xf>
    <xf numFmtId="0" fontId="0" fillId="0" borderId="2" xfId="0" applyBorder="1"/>
    <xf numFmtId="16" fontId="0" fillId="0" borderId="2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14" borderId="2" xfId="0" applyFill="1" applyBorder="1"/>
    <xf numFmtId="0" fontId="0" fillId="10" borderId="2" xfId="0" applyFill="1" applyBorder="1" applyAlignment="1">
      <alignment horizontal="center" vertical="center"/>
    </xf>
    <xf numFmtId="0" fontId="0" fillId="10" borderId="2" xfId="0" applyFill="1" applyBorder="1"/>
    <xf numFmtId="0" fontId="0" fillId="15" borderId="2" xfId="0" applyFill="1" applyBorder="1"/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2" fontId="0" fillId="0" borderId="37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43" xfId="0" applyNumberFormat="1" applyBorder="1" applyAlignment="1">
      <alignment horizontal="center" vertical="center"/>
    </xf>
    <xf numFmtId="2" fontId="0" fillId="0" borderId="44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2" fontId="0" fillId="0" borderId="45" xfId="0" applyNumberFormat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0" applyNumberFormat="1"/>
    <xf numFmtId="2" fontId="0" fillId="16" borderId="2" xfId="0" applyNumberFormat="1" applyFill="1" applyBorder="1" applyAlignment="1">
      <alignment horizontal="center" vertical="center"/>
    </xf>
    <xf numFmtId="2" fontId="0" fillId="16" borderId="2" xfId="0" applyNumberFormat="1" applyFill="1" applyBorder="1"/>
    <xf numFmtId="0" fontId="0" fillId="17" borderId="2" xfId="0" applyFill="1" applyBorder="1"/>
    <xf numFmtId="0" fontId="0" fillId="17" borderId="2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 wrapText="1"/>
    </xf>
    <xf numFmtId="3" fontId="0" fillId="18" borderId="52" xfId="0" applyNumberFormat="1" applyFill="1" applyBorder="1" applyAlignment="1">
      <alignment horizontal="center" vertical="center"/>
    </xf>
    <xf numFmtId="3" fontId="0" fillId="0" borderId="53" xfId="0" applyNumberFormat="1" applyBorder="1" applyAlignment="1">
      <alignment horizontal="center" vertical="center"/>
    </xf>
    <xf numFmtId="3" fontId="0" fillId="18" borderId="53" xfId="0" applyNumberFormat="1" applyFill="1" applyBorder="1" applyAlignment="1">
      <alignment horizontal="center" vertical="center"/>
    </xf>
    <xf numFmtId="3" fontId="0" fillId="0" borderId="54" xfId="0" applyNumberFormat="1" applyBorder="1" applyAlignment="1">
      <alignment horizontal="center" vertical="center"/>
    </xf>
    <xf numFmtId="3" fontId="0" fillId="15" borderId="52" xfId="0" applyNumberFormat="1" applyFill="1" applyBorder="1" applyAlignment="1">
      <alignment horizontal="center" vertical="center"/>
    </xf>
    <xf numFmtId="3" fontId="0" fillId="15" borderId="53" xfId="0" applyNumberFormat="1" applyFill="1" applyBorder="1" applyAlignment="1">
      <alignment horizontal="center" vertical="center"/>
    </xf>
    <xf numFmtId="3" fontId="0" fillId="10" borderId="52" xfId="0" applyNumberFormat="1" applyFill="1" applyBorder="1" applyAlignment="1">
      <alignment horizontal="center" vertical="center"/>
    </xf>
    <xf numFmtId="3" fontId="0" fillId="10" borderId="53" xfId="0" applyNumberForma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 wrapText="1"/>
    </xf>
    <xf numFmtId="3" fontId="6" fillId="19" borderId="29" xfId="0" applyNumberFormat="1" applyFont="1" applyFill="1" applyBorder="1" applyAlignment="1">
      <alignment horizontal="center" vertical="center"/>
    </xf>
    <xf numFmtId="3" fontId="6" fillId="19" borderId="50" xfId="0" applyNumberFormat="1" applyFont="1" applyFill="1" applyBorder="1" applyAlignment="1">
      <alignment horizontal="center" vertical="center"/>
    </xf>
    <xf numFmtId="0" fontId="2" fillId="0" borderId="39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43" fontId="7" fillId="0" borderId="4" xfId="2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43" fontId="0" fillId="0" borderId="2" xfId="0" applyNumberFormat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0" fillId="20" borderId="2" xfId="0" applyFill="1" applyBorder="1" applyAlignment="1">
      <alignment horizontal="center" vertical="center"/>
    </xf>
    <xf numFmtId="0" fontId="0" fillId="21" borderId="2" xfId="0" applyFill="1" applyBorder="1" applyAlignment="1">
      <alignment horizontal="center" vertical="center"/>
    </xf>
    <xf numFmtId="10" fontId="0" fillId="0" borderId="57" xfId="1" applyNumberFormat="1" applyFont="1" applyBorder="1" applyAlignment="1">
      <alignment horizontal="center" vertical="center"/>
    </xf>
    <xf numFmtId="10" fontId="0" fillId="0" borderId="58" xfId="1" applyNumberFormat="1" applyFont="1" applyBorder="1" applyAlignment="1">
      <alignment horizontal="center" vertical="center"/>
    </xf>
    <xf numFmtId="10" fontId="0" fillId="0" borderId="56" xfId="1" applyNumberFormat="1" applyFont="1" applyBorder="1" applyAlignment="1">
      <alignment horizontal="center" vertical="center"/>
    </xf>
    <xf numFmtId="10" fontId="0" fillId="9" borderId="0" xfId="1" applyNumberFormat="1" applyFont="1" applyFill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10" fillId="22" borderId="2" xfId="0" applyFont="1" applyFill="1" applyBorder="1" applyAlignment="1">
      <alignment horizontal="center" vertical="center" wrapText="1"/>
    </xf>
    <xf numFmtId="0" fontId="0" fillId="22" borderId="2" xfId="0" applyFill="1" applyBorder="1" applyAlignment="1">
      <alignment horizontal="center" vertical="center"/>
    </xf>
    <xf numFmtId="0" fontId="10" fillId="22" borderId="2" xfId="0" applyFont="1" applyFill="1" applyBorder="1" applyAlignment="1">
      <alignment horizontal="center" vertical="center"/>
    </xf>
    <xf numFmtId="0" fontId="10" fillId="10" borderId="2" xfId="0" applyFont="1" applyFill="1" applyBorder="1" applyAlignment="1">
      <alignment horizontal="center" vertical="center"/>
    </xf>
    <xf numFmtId="0" fontId="10" fillId="10" borderId="3" xfId="0" applyFont="1" applyFill="1" applyBorder="1" applyAlignment="1">
      <alignment horizontal="center" vertical="center"/>
    </xf>
    <xf numFmtId="2" fontId="2" fillId="0" borderId="39" xfId="0" applyNumberFormat="1" applyFont="1" applyBorder="1" applyAlignment="1">
      <alignment horizontal="center" vertical="center" wrapText="1"/>
    </xf>
    <xf numFmtId="0" fontId="10" fillId="10" borderId="11" xfId="0" applyFont="1" applyFill="1" applyBorder="1" applyAlignment="1">
      <alignment horizontal="center" vertical="center"/>
    </xf>
    <xf numFmtId="0" fontId="0" fillId="23" borderId="2" xfId="0" applyFill="1" applyBorder="1" applyAlignment="1">
      <alignment horizontal="center" vertical="center"/>
    </xf>
    <xf numFmtId="0" fontId="10" fillId="23" borderId="2" xfId="0" applyFont="1" applyFill="1" applyBorder="1" applyAlignment="1">
      <alignment horizontal="center" vertical="center"/>
    </xf>
    <xf numFmtId="0" fontId="9" fillId="23" borderId="2" xfId="0" applyFont="1" applyFill="1" applyBorder="1" applyAlignment="1">
      <alignment horizontal="center" vertical="center"/>
    </xf>
    <xf numFmtId="0" fontId="0" fillId="23" borderId="2" xfId="0" applyFill="1" applyBorder="1" applyAlignment="1">
      <alignment horizontal="center" vertical="center" wrapText="1"/>
    </xf>
    <xf numFmtId="0" fontId="0" fillId="24" borderId="11" xfId="0" applyFill="1" applyBorder="1" applyAlignment="1">
      <alignment horizontal="center" vertical="center"/>
    </xf>
    <xf numFmtId="0" fontId="0" fillId="24" borderId="2" xfId="0" applyFill="1" applyBorder="1" applyAlignment="1">
      <alignment horizontal="center" vertical="center"/>
    </xf>
    <xf numFmtId="0" fontId="0" fillId="25" borderId="2" xfId="0" applyFill="1" applyBorder="1" applyAlignment="1">
      <alignment horizontal="center" vertical="center" wrapText="1"/>
    </xf>
    <xf numFmtId="2" fontId="0" fillId="26" borderId="5" xfId="0" applyNumberFormat="1" applyFill="1" applyBorder="1" applyAlignment="1">
      <alignment horizontal="center" vertical="center"/>
    </xf>
    <xf numFmtId="0" fontId="0" fillId="27" borderId="2" xfId="0" applyFill="1" applyBorder="1" applyAlignment="1">
      <alignment horizontal="center" vertical="center"/>
    </xf>
    <xf numFmtId="0" fontId="0" fillId="27" borderId="11" xfId="0" applyFill="1" applyBorder="1" applyAlignment="1">
      <alignment horizontal="center" vertical="center"/>
    </xf>
    <xf numFmtId="0" fontId="0" fillId="27" borderId="5" xfId="0" applyFill="1" applyBorder="1" applyAlignment="1">
      <alignment horizontal="center" vertical="center"/>
    </xf>
    <xf numFmtId="0" fontId="0" fillId="27" borderId="5" xfId="0" applyFill="1" applyBorder="1" applyAlignment="1">
      <alignment horizontal="center" vertical="center" wrapText="1"/>
    </xf>
    <xf numFmtId="0" fontId="0" fillId="27" borderId="53" xfId="0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164" fontId="6" fillId="19" borderId="50" xfId="1" applyNumberFormat="1" applyFont="1" applyFill="1" applyBorder="1" applyAlignment="1">
      <alignment horizontal="center" vertical="center"/>
    </xf>
    <xf numFmtId="2" fontId="9" fillId="0" borderId="9" xfId="0" applyNumberFormat="1" applyFont="1" applyBorder="1" applyAlignment="1">
      <alignment horizontal="center" vertical="center"/>
    </xf>
    <xf numFmtId="2" fontId="9" fillId="0" borderId="10" xfId="0" applyNumberFormat="1" applyFont="1" applyBorder="1" applyAlignment="1">
      <alignment horizontal="center" vertical="center"/>
    </xf>
    <xf numFmtId="2" fontId="10" fillId="28" borderId="2" xfId="0" applyNumberFormat="1" applyFont="1" applyFill="1" applyBorder="1" applyAlignment="1">
      <alignment horizontal="center" vertical="center" wrapText="1"/>
    </xf>
    <xf numFmtId="2" fontId="0" fillId="24" borderId="2" xfId="0" applyNumberFormat="1" applyFill="1" applyBorder="1" applyAlignment="1">
      <alignment horizontal="center" vertical="center"/>
    </xf>
    <xf numFmtId="0" fontId="9" fillId="10" borderId="2" xfId="0" applyFont="1" applyFill="1" applyBorder="1" applyAlignment="1">
      <alignment horizontal="center" vertical="center"/>
    </xf>
    <xf numFmtId="2" fontId="0" fillId="27" borderId="2" xfId="0" applyNumberFormat="1" applyFill="1" applyBorder="1" applyAlignment="1">
      <alignment horizontal="center" vertical="center"/>
    </xf>
    <xf numFmtId="2" fontId="0" fillId="28" borderId="2" xfId="0" applyNumberFormat="1" applyFill="1" applyBorder="1" applyAlignment="1">
      <alignment horizontal="center" vertical="center"/>
    </xf>
    <xf numFmtId="2" fontId="0" fillId="23" borderId="2" xfId="0" applyNumberFormat="1" applyFill="1" applyBorder="1" applyAlignment="1">
      <alignment horizontal="center" vertical="center"/>
    </xf>
    <xf numFmtId="2" fontId="0" fillId="23" borderId="2" xfId="0" applyNumberFormat="1" applyFill="1" applyBorder="1" applyAlignment="1">
      <alignment horizontal="center" vertical="center" wrapText="1"/>
    </xf>
    <xf numFmtId="2" fontId="0" fillId="23" borderId="11" xfId="0" applyNumberFormat="1" applyFill="1" applyBorder="1" applyAlignment="1">
      <alignment horizontal="center" vertical="center"/>
    </xf>
    <xf numFmtId="2" fontId="10" fillId="23" borderId="2" xfId="0" applyNumberFormat="1" applyFont="1" applyFill="1" applyBorder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 wrapText="1"/>
    </xf>
    <xf numFmtId="2" fontId="0" fillId="9" borderId="11" xfId="0" applyNumberFormat="1" applyFill="1" applyBorder="1" applyAlignment="1">
      <alignment horizontal="center" vertical="center" wrapText="1"/>
    </xf>
    <xf numFmtId="2" fontId="10" fillId="9" borderId="11" xfId="0" applyNumberFormat="1" applyFont="1" applyFill="1" applyBorder="1" applyAlignment="1">
      <alignment horizontal="center" vertical="center" wrapText="1"/>
    </xf>
    <xf numFmtId="2" fontId="10" fillId="9" borderId="2" xfId="0" applyNumberFormat="1" applyFont="1" applyFill="1" applyBorder="1" applyAlignment="1">
      <alignment horizontal="center" vertical="center"/>
    </xf>
    <xf numFmtId="2" fontId="0" fillId="24" borderId="2" xfId="0" applyNumberFormat="1" applyFill="1" applyBorder="1" applyAlignment="1">
      <alignment horizontal="center" vertical="center" wrapText="1"/>
    </xf>
    <xf numFmtId="3" fontId="0" fillId="0" borderId="0" xfId="0" applyNumberFormat="1"/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3" fontId="9" fillId="0" borderId="0" xfId="0" applyNumberFormat="1" applyFont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9" fillId="10" borderId="0" xfId="0" applyNumberFormat="1" applyFont="1" applyFill="1" applyAlignment="1">
      <alignment horizontal="center" vertical="center"/>
    </xf>
    <xf numFmtId="2" fontId="0" fillId="10" borderId="2" xfId="0" applyNumberFormat="1" applyFill="1" applyBorder="1" applyAlignment="1">
      <alignment horizontal="center" vertical="center"/>
    </xf>
    <xf numFmtId="2" fontId="0" fillId="10" borderId="11" xfId="0" applyNumberFormat="1" applyFill="1" applyBorder="1" applyAlignment="1">
      <alignment horizontal="center" vertical="center" wrapText="1"/>
    </xf>
    <xf numFmtId="2" fontId="10" fillId="10" borderId="2" xfId="0" applyNumberFormat="1" applyFont="1" applyFill="1" applyBorder="1" applyAlignment="1">
      <alignment horizontal="center" vertical="center"/>
    </xf>
    <xf numFmtId="2" fontId="10" fillId="10" borderId="2" xfId="0" applyNumberFormat="1" applyFont="1" applyFill="1" applyBorder="1" applyAlignment="1">
      <alignment horizontal="center" vertical="center" wrapText="1"/>
    </xf>
    <xf numFmtId="2" fontId="0" fillId="10" borderId="2" xfId="0" applyNumberFormat="1" applyFill="1" applyBorder="1" applyAlignment="1">
      <alignment horizontal="center" vertical="center" wrapText="1"/>
    </xf>
    <xf numFmtId="2" fontId="9" fillId="10" borderId="2" xfId="0" applyNumberFormat="1" applyFont="1" applyFill="1" applyBorder="1" applyAlignment="1">
      <alignment horizontal="center" vertical="center"/>
    </xf>
    <xf numFmtId="3" fontId="9" fillId="18" borderId="0" xfId="0" applyNumberFormat="1" applyFont="1" applyFill="1" applyAlignment="1">
      <alignment horizontal="center" vertical="center"/>
    </xf>
    <xf numFmtId="2" fontId="0" fillId="10" borderId="11" xfId="0" applyNumberFormat="1" applyFill="1" applyBorder="1" applyAlignment="1">
      <alignment horizontal="center" vertical="center"/>
    </xf>
    <xf numFmtId="2" fontId="0" fillId="24" borderId="11" xfId="0" applyNumberFormat="1" applyFill="1" applyBorder="1" applyAlignment="1">
      <alignment horizontal="center" vertical="center"/>
    </xf>
    <xf numFmtId="2" fontId="10" fillId="24" borderId="2" xfId="0" applyNumberFormat="1" applyFont="1" applyFill="1" applyBorder="1" applyAlignment="1">
      <alignment horizontal="center" vertical="center"/>
    </xf>
    <xf numFmtId="2" fontId="0" fillId="24" borderId="3" xfId="0" applyNumberFormat="1" applyFill="1" applyBorder="1" applyAlignment="1">
      <alignment horizontal="center" vertical="center"/>
    </xf>
    <xf numFmtId="2" fontId="0" fillId="27" borderId="2" xfId="0" applyNumberFormat="1" applyFill="1" applyBorder="1" applyAlignment="1">
      <alignment horizontal="center" vertical="center" wrapText="1"/>
    </xf>
    <xf numFmtId="2" fontId="0" fillId="27" borderId="11" xfId="0" applyNumberFormat="1" applyFill="1" applyBorder="1" applyAlignment="1">
      <alignment horizontal="center" vertical="center"/>
    </xf>
    <xf numFmtId="2" fontId="9" fillId="23" borderId="2" xfId="0" applyNumberFormat="1" applyFont="1" applyFill="1" applyBorder="1" applyAlignment="1">
      <alignment horizontal="center" vertical="center"/>
    </xf>
    <xf numFmtId="2" fontId="4" fillId="29" borderId="2" xfId="0" applyNumberFormat="1" applyFont="1" applyFill="1" applyBorder="1" applyAlignment="1">
      <alignment horizontal="center" vertical="center"/>
    </xf>
    <xf numFmtId="2" fontId="4" fillId="29" borderId="2" xfId="0" applyNumberFormat="1" applyFont="1" applyFill="1" applyBorder="1" applyAlignment="1">
      <alignment horizontal="center" vertical="center" wrapText="1"/>
    </xf>
    <xf numFmtId="2" fontId="0" fillId="23" borderId="3" xfId="0" applyNumberFormat="1" applyFill="1" applyBorder="1" applyAlignment="1">
      <alignment horizontal="center" vertical="center"/>
    </xf>
    <xf numFmtId="0" fontId="0" fillId="23" borderId="0" xfId="0" applyFill="1" applyAlignment="1">
      <alignment horizontal="center"/>
    </xf>
    <xf numFmtId="0" fontId="10" fillId="24" borderId="2" xfId="0" applyFont="1" applyFill="1" applyBorder="1" applyAlignment="1">
      <alignment horizontal="center" vertical="center"/>
    </xf>
    <xf numFmtId="0" fontId="10" fillId="27" borderId="2" xfId="0" applyFont="1" applyFill="1" applyBorder="1" applyAlignment="1">
      <alignment horizontal="center" vertical="center"/>
    </xf>
    <xf numFmtId="0" fontId="0" fillId="27" borderId="2" xfId="0" applyFill="1" applyBorder="1" applyAlignment="1">
      <alignment horizontal="center" vertical="center" wrapText="1"/>
    </xf>
    <xf numFmtId="0" fontId="0" fillId="24" borderId="2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9" fillId="27" borderId="2" xfId="0" applyFont="1" applyFill="1" applyBorder="1" applyAlignment="1">
      <alignment horizontal="center" vertical="center"/>
    </xf>
    <xf numFmtId="0" fontId="9" fillId="27" borderId="3" xfId="0" applyFont="1" applyFill="1" applyBorder="1" applyAlignment="1">
      <alignment horizontal="center" vertical="center"/>
    </xf>
    <xf numFmtId="0" fontId="9" fillId="27" borderId="2" xfId="0" applyFont="1" applyFill="1" applyBorder="1" applyAlignment="1">
      <alignment horizontal="center" vertical="center" wrapText="1"/>
    </xf>
    <xf numFmtId="0" fontId="0" fillId="27" borderId="3" xfId="0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6" fontId="0" fillId="0" borderId="0" xfId="0" applyNumberFormat="1" applyAlignment="1">
      <alignment horizontal="center" vertical="center" wrapText="1"/>
    </xf>
    <xf numFmtId="2" fontId="10" fillId="0" borderId="2" xfId="0" applyNumberFormat="1" applyFont="1" applyBorder="1" applyAlignment="1">
      <alignment horizontal="center" vertical="center"/>
    </xf>
    <xf numFmtId="2" fontId="9" fillId="0" borderId="2" xfId="0" applyNumberFormat="1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 wrapText="1"/>
    </xf>
    <xf numFmtId="10" fontId="0" fillId="10" borderId="0" xfId="1" applyNumberFormat="1" applyFont="1" applyFill="1" applyBorder="1" applyAlignment="1">
      <alignment horizontal="center" vertical="center"/>
    </xf>
    <xf numFmtId="164" fontId="2" fillId="12" borderId="0" xfId="1" applyNumberFormat="1" applyFont="1" applyFill="1" applyBorder="1" applyAlignment="1">
      <alignment horizontal="center" vertical="center"/>
    </xf>
    <xf numFmtId="165" fontId="0" fillId="10" borderId="0" xfId="0" applyNumberForma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12" borderId="0" xfId="0" applyNumberFormat="1" applyFont="1" applyFill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 wrapText="1"/>
    </xf>
    <xf numFmtId="2" fontId="4" fillId="0" borderId="11" xfId="0" applyNumberFormat="1" applyFont="1" applyBorder="1" applyAlignment="1">
      <alignment horizontal="center" vertical="center"/>
    </xf>
    <xf numFmtId="0" fontId="0" fillId="27" borderId="0" xfId="0" applyFill="1" applyAlignment="1">
      <alignment horizontal="center" vertical="center"/>
    </xf>
    <xf numFmtId="2" fontId="0" fillId="23" borderId="0" xfId="0" applyNumberFormat="1" applyFill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3" fontId="0" fillId="30" borderId="36" xfId="0" applyNumberFormat="1" applyFill="1" applyBorder="1" applyAlignment="1">
      <alignment horizontal="center" vertical="center"/>
    </xf>
    <xf numFmtId="3" fontId="6" fillId="0" borderId="67" xfId="0" applyNumberFormat="1" applyFont="1" applyBorder="1" applyAlignment="1">
      <alignment horizontal="center" vertical="center"/>
    </xf>
    <xf numFmtId="0" fontId="5" fillId="19" borderId="40" xfId="0" applyFont="1" applyFill="1" applyBorder="1" applyAlignment="1">
      <alignment horizontal="center" vertical="center"/>
    </xf>
    <xf numFmtId="3" fontId="5" fillId="19" borderId="50" xfId="0" applyNumberFormat="1" applyFont="1" applyFill="1" applyBorder="1" applyAlignment="1">
      <alignment horizontal="center" vertical="center"/>
    </xf>
    <xf numFmtId="3" fontId="5" fillId="19" borderId="29" xfId="0" applyNumberFormat="1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164" fontId="2" fillId="12" borderId="15" xfId="1" applyNumberFormat="1" applyFont="1" applyFill="1" applyBorder="1" applyAlignment="1">
      <alignment horizontal="center" vertical="center"/>
    </xf>
    <xf numFmtId="164" fontId="2" fillId="12" borderId="1" xfId="1" applyNumberFormat="1" applyFont="1" applyFill="1" applyBorder="1" applyAlignment="1">
      <alignment horizontal="center" vertical="center"/>
    </xf>
    <xf numFmtId="164" fontId="2" fillId="12" borderId="30" xfId="1" applyNumberFormat="1" applyFont="1" applyFill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2" fontId="9" fillId="11" borderId="9" xfId="0" applyNumberFormat="1" applyFont="1" applyFill="1" applyBorder="1" applyAlignment="1">
      <alignment horizontal="center" vertical="center"/>
    </xf>
    <xf numFmtId="3" fontId="0" fillId="10" borderId="57" xfId="0" applyNumberFormat="1" applyFill="1" applyBorder="1" applyAlignment="1">
      <alignment horizontal="center" vertical="center"/>
    </xf>
    <xf numFmtId="2" fontId="9" fillId="0" borderId="2" xfId="0" applyNumberFormat="1" applyFont="1" applyBorder="1" applyAlignment="1">
      <alignment horizontal="center" vertical="center" wrapText="1"/>
    </xf>
    <xf numFmtId="2" fontId="0" fillId="11" borderId="2" xfId="0" applyNumberFormat="1" applyFill="1" applyBorder="1" applyAlignment="1">
      <alignment horizontal="center" vertical="center"/>
    </xf>
    <xf numFmtId="3" fontId="9" fillId="10" borderId="33" xfId="0" applyNumberFormat="1" applyFont="1" applyFill="1" applyBorder="1" applyAlignment="1">
      <alignment horizontal="center" vertical="center"/>
    </xf>
    <xf numFmtId="2" fontId="9" fillId="10" borderId="2" xfId="0" applyNumberFormat="1" applyFont="1" applyFill="1" applyBorder="1" applyAlignment="1">
      <alignment horizontal="center" vertical="center" wrapText="1"/>
    </xf>
    <xf numFmtId="2" fontId="10" fillId="0" borderId="2" xfId="0" applyNumberFormat="1" applyFont="1" applyBorder="1" applyAlignment="1">
      <alignment horizontal="center" vertical="center" wrapText="1"/>
    </xf>
    <xf numFmtId="43" fontId="0" fillId="0" borderId="0" xfId="2" applyFont="1"/>
    <xf numFmtId="43" fontId="0" fillId="0" borderId="0" xfId="2" applyFont="1" applyAlignment="1">
      <alignment horizontal="center" vertical="center"/>
    </xf>
    <xf numFmtId="43" fontId="0" fillId="0" borderId="0" xfId="0" applyNumberFormat="1"/>
    <xf numFmtId="2" fontId="0" fillId="0" borderId="3" xfId="0" applyNumberFormat="1" applyBorder="1" applyAlignment="1">
      <alignment horizontal="center" vertical="center"/>
    </xf>
    <xf numFmtId="2" fontId="10" fillId="0" borderId="2" xfId="0" quotePrefix="1" applyNumberFormat="1" applyFont="1" applyBorder="1" applyAlignment="1">
      <alignment horizontal="center" vertical="center"/>
    </xf>
    <xf numFmtId="2" fontId="9" fillId="0" borderId="11" xfId="0" applyNumberFormat="1" applyFont="1" applyBorder="1" applyAlignment="1">
      <alignment horizontal="center" vertical="center"/>
    </xf>
    <xf numFmtId="2" fontId="0" fillId="20" borderId="2" xfId="0" applyNumberForma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 wrapText="1"/>
    </xf>
    <xf numFmtId="2" fontId="0" fillId="26" borderId="25" xfId="0" applyNumberFormat="1" applyFill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0" borderId="70" xfId="0" applyNumberFormat="1" applyBorder="1" applyAlignment="1">
      <alignment horizontal="center" vertical="center"/>
    </xf>
    <xf numFmtId="2" fontId="0" fillId="0" borderId="72" xfId="0" applyNumberFormat="1" applyBorder="1" applyAlignment="1">
      <alignment horizontal="center" vertical="center"/>
    </xf>
    <xf numFmtId="2" fontId="0" fillId="0" borderId="27" xfId="0" applyNumberFormat="1" applyBorder="1" applyAlignment="1">
      <alignment horizontal="center" vertical="center"/>
    </xf>
    <xf numFmtId="2" fontId="0" fillId="0" borderId="73" xfId="0" applyNumberFormat="1" applyBorder="1" applyAlignment="1">
      <alignment horizontal="center" vertical="center"/>
    </xf>
    <xf numFmtId="2" fontId="9" fillId="0" borderId="4" xfId="0" applyNumberFormat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2" fontId="0" fillId="0" borderId="75" xfId="0" applyNumberFormat="1" applyBorder="1" applyAlignment="1">
      <alignment horizontal="center" vertical="center"/>
    </xf>
    <xf numFmtId="10" fontId="0" fillId="10" borderId="23" xfId="1" applyNumberFormat="1" applyFont="1" applyFill="1" applyBorder="1" applyAlignment="1">
      <alignment horizontal="center" vertical="center"/>
    </xf>
    <xf numFmtId="164" fontId="2" fillId="12" borderId="73" xfId="1" applyNumberFormat="1" applyFont="1" applyFill="1" applyBorder="1" applyAlignment="1">
      <alignment horizontal="center" vertical="center"/>
    </xf>
    <xf numFmtId="164" fontId="2" fillId="12" borderId="4" xfId="1" applyNumberFormat="1" applyFont="1" applyFill="1" applyBorder="1" applyAlignment="1">
      <alignment horizontal="center" vertical="center"/>
    </xf>
    <xf numFmtId="164" fontId="2" fillId="12" borderId="75" xfId="1" applyNumberFormat="1" applyFont="1" applyFill="1" applyBorder="1" applyAlignment="1">
      <alignment horizontal="center" vertical="center"/>
    </xf>
    <xf numFmtId="165" fontId="0" fillId="10" borderId="4" xfId="0" applyNumberForma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12" borderId="4" xfId="0" applyNumberFormat="1" applyFont="1" applyFill="1" applyBorder="1" applyAlignment="1">
      <alignment horizontal="center" vertical="center"/>
    </xf>
    <xf numFmtId="0" fontId="0" fillId="0" borderId="76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10" borderId="77" xfId="0" applyFill="1" applyBorder="1" applyAlignment="1">
      <alignment horizontal="center" vertical="center" wrapText="1"/>
    </xf>
    <xf numFmtId="14" fontId="2" fillId="0" borderId="49" xfId="0" applyNumberFormat="1" applyFont="1" applyBorder="1" applyAlignment="1">
      <alignment horizontal="center" vertical="center" wrapText="1"/>
    </xf>
    <xf numFmtId="14" fontId="2" fillId="0" borderId="55" xfId="0" applyNumberFormat="1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0" fillId="10" borderId="55" xfId="0" applyFill="1" applyBorder="1" applyAlignment="1">
      <alignment horizontal="center" vertical="center" wrapText="1"/>
    </xf>
    <xf numFmtId="0" fontId="2" fillId="0" borderId="55" xfId="0" applyFont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2" fontId="9" fillId="20" borderId="2" xfId="0" applyNumberFormat="1" applyFont="1" applyFill="1" applyBorder="1" applyAlignment="1">
      <alignment horizontal="center" vertical="center"/>
    </xf>
    <xf numFmtId="2" fontId="0" fillId="20" borderId="2" xfId="0" applyNumberFormat="1" applyFill="1" applyBorder="1" applyAlignment="1">
      <alignment horizontal="center" vertical="center" wrapText="1"/>
    </xf>
    <xf numFmtId="2" fontId="0" fillId="23" borderId="4" xfId="0" applyNumberFormat="1" applyFill="1" applyBorder="1" applyAlignment="1">
      <alignment horizontal="center" vertical="center"/>
    </xf>
    <xf numFmtId="2" fontId="9" fillId="24" borderId="2" xfId="0" applyNumberFormat="1" applyFont="1" applyFill="1" applyBorder="1" applyAlignment="1">
      <alignment horizontal="center" vertical="center"/>
    </xf>
    <xf numFmtId="2" fontId="0" fillId="31" borderId="2" xfId="0" applyNumberFormat="1" applyFill="1" applyBorder="1" applyAlignment="1">
      <alignment horizontal="center" vertical="center"/>
    </xf>
    <xf numFmtId="2" fontId="9" fillId="0" borderId="2" xfId="0" quotePrefix="1" applyNumberFormat="1" applyFont="1" applyBorder="1" applyAlignment="1">
      <alignment horizontal="center" vertical="center"/>
    </xf>
    <xf numFmtId="3" fontId="9" fillId="18" borderId="52" xfId="0" applyNumberFormat="1" applyFont="1" applyFill="1" applyBorder="1" applyAlignment="1">
      <alignment horizontal="center" vertical="center"/>
    </xf>
    <xf numFmtId="0" fontId="9" fillId="24" borderId="9" xfId="0" applyFont="1" applyFill="1" applyBorder="1" applyAlignment="1">
      <alignment horizontal="center" vertical="center" wrapText="1"/>
    </xf>
    <xf numFmtId="0" fontId="9" fillId="24" borderId="9" xfId="0" applyFont="1" applyFill="1" applyBorder="1" applyAlignment="1">
      <alignment horizontal="center" vertical="center"/>
    </xf>
    <xf numFmtId="0" fontId="0" fillId="24" borderId="9" xfId="0" applyFill="1" applyBorder="1" applyAlignment="1">
      <alignment horizontal="center" vertical="center"/>
    </xf>
    <xf numFmtId="0" fontId="0" fillId="24" borderId="73" xfId="0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9" fillId="24" borderId="2" xfId="0" applyFont="1" applyFill="1" applyBorder="1" applyAlignment="1">
      <alignment horizontal="center" vertical="center"/>
    </xf>
    <xf numFmtId="0" fontId="0" fillId="24" borderId="4" xfId="0" applyFill="1" applyBorder="1" applyAlignment="1">
      <alignment horizontal="center" vertical="center"/>
    </xf>
    <xf numFmtId="0" fontId="0" fillId="24" borderId="0" xfId="0" applyFill="1" applyAlignment="1">
      <alignment horizontal="center"/>
    </xf>
    <xf numFmtId="0" fontId="9" fillId="9" borderId="2" xfId="0" applyFont="1" applyFill="1" applyBorder="1" applyAlignment="1">
      <alignment horizontal="center" vertical="center"/>
    </xf>
    <xf numFmtId="0" fontId="0" fillId="24" borderId="25" xfId="0" applyFill="1" applyBorder="1" applyAlignment="1">
      <alignment horizontal="center" vertical="center"/>
    </xf>
    <xf numFmtId="0" fontId="0" fillId="24" borderId="72" xfId="0" applyFill="1" applyBorder="1" applyAlignment="1">
      <alignment horizontal="center" vertical="center"/>
    </xf>
    <xf numFmtId="0" fontId="0" fillId="24" borderId="25" xfId="0" applyFill="1" applyBorder="1" applyAlignment="1">
      <alignment horizontal="center" vertical="center" wrapText="1"/>
    </xf>
    <xf numFmtId="3" fontId="0" fillId="18" borderId="57" xfId="0" applyNumberFormat="1" applyFill="1" applyBorder="1" applyAlignment="1">
      <alignment horizontal="center" vertical="center"/>
    </xf>
    <xf numFmtId="3" fontId="0" fillId="0" borderId="57" xfId="0" applyNumberFormat="1" applyBorder="1" applyAlignment="1">
      <alignment horizontal="center" vertical="center"/>
    </xf>
    <xf numFmtId="3" fontId="0" fillId="15" borderId="56" xfId="0" applyNumberFormat="1" applyFill="1" applyBorder="1" applyAlignment="1">
      <alignment horizontal="center" vertical="center"/>
    </xf>
    <xf numFmtId="3" fontId="0" fillId="15" borderId="57" xfId="0" applyNumberFormat="1" applyFill="1" applyBorder="1" applyAlignment="1">
      <alignment horizontal="center" vertical="center"/>
    </xf>
    <xf numFmtId="2" fontId="9" fillId="20" borderId="9" xfId="0" applyNumberFormat="1" applyFont="1" applyFill="1" applyBorder="1" applyAlignment="1">
      <alignment horizontal="center" vertical="center"/>
    </xf>
    <xf numFmtId="3" fontId="13" fillId="10" borderId="56" xfId="0" applyNumberFormat="1" applyFont="1" applyFill="1" applyBorder="1" applyAlignment="1">
      <alignment horizontal="center"/>
    </xf>
    <xf numFmtId="3" fontId="13" fillId="0" borderId="57" xfId="0" applyNumberFormat="1" applyFont="1" applyBorder="1" applyAlignment="1">
      <alignment horizontal="center" vertical="center"/>
    </xf>
    <xf numFmtId="3" fontId="13" fillId="10" borderId="57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4" fillId="27" borderId="2" xfId="0" applyFont="1" applyFill="1" applyBorder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0" fillId="23" borderId="4" xfId="0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20" borderId="9" xfId="0" applyFont="1" applyFill="1" applyBorder="1" applyAlignment="1">
      <alignment horizontal="center" vertical="center"/>
    </xf>
    <xf numFmtId="0" fontId="9" fillId="20" borderId="2" xfId="0" applyFont="1" applyFill="1" applyBorder="1" applyAlignment="1">
      <alignment horizontal="center" vertical="center"/>
    </xf>
    <xf numFmtId="0" fontId="10" fillId="28" borderId="2" xfId="0" applyFont="1" applyFill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0" fillId="6" borderId="0" xfId="0" applyFill="1"/>
    <xf numFmtId="2" fontId="10" fillId="20" borderId="9" xfId="0" applyNumberFormat="1" applyFont="1" applyFill="1" applyBorder="1" applyAlignment="1">
      <alignment horizontal="center" vertical="center" wrapText="1"/>
    </xf>
    <xf numFmtId="2" fontId="10" fillId="20" borderId="9" xfId="0" applyNumberFormat="1" applyFont="1" applyFill="1" applyBorder="1" applyAlignment="1">
      <alignment horizontal="center" vertical="center"/>
    </xf>
    <xf numFmtId="17" fontId="0" fillId="10" borderId="2" xfId="0" applyNumberFormat="1" applyFill="1" applyBorder="1" applyAlignment="1">
      <alignment horizontal="center" vertical="center"/>
    </xf>
    <xf numFmtId="17" fontId="2" fillId="10" borderId="2" xfId="0" applyNumberFormat="1" applyFont="1" applyFill="1" applyBorder="1" applyAlignment="1">
      <alignment horizontal="center" vertical="center"/>
    </xf>
    <xf numFmtId="0" fontId="14" fillId="32" borderId="2" xfId="0" applyFont="1" applyFill="1" applyBorder="1" applyAlignment="1">
      <alignment horizontal="center" vertical="center"/>
    </xf>
    <xf numFmtId="3" fontId="14" fillId="32" borderId="2" xfId="0" applyNumberFormat="1" applyFont="1" applyFill="1" applyBorder="1" applyAlignment="1">
      <alignment horizontal="center" vertical="center"/>
    </xf>
    <xf numFmtId="3" fontId="15" fillId="32" borderId="2" xfId="0" applyNumberFormat="1" applyFont="1" applyFill="1" applyBorder="1" applyAlignment="1">
      <alignment horizontal="center" vertical="center"/>
    </xf>
    <xf numFmtId="0" fontId="0" fillId="9" borderId="0" xfId="0" applyFill="1"/>
    <xf numFmtId="3" fontId="0" fillId="6" borderId="0" xfId="0" applyNumberFormat="1" applyFill="1"/>
    <xf numFmtId="0" fontId="0" fillId="6" borderId="1" xfId="0" applyFill="1" applyBorder="1"/>
    <xf numFmtId="1" fontId="0" fillId="6" borderId="0" xfId="0" applyNumberFormat="1" applyFill="1"/>
    <xf numFmtId="0" fontId="0" fillId="6" borderId="3" xfId="0" applyFill="1" applyBorder="1"/>
    <xf numFmtId="0" fontId="0" fillId="6" borderId="4" xfId="0" applyFill="1" applyBorder="1"/>
    <xf numFmtId="1" fontId="0" fillId="0" borderId="0" xfId="0" applyNumberFormat="1"/>
    <xf numFmtId="0" fontId="14" fillId="0" borderId="2" xfId="0" applyFont="1" applyBorder="1" applyAlignment="1">
      <alignment horizontal="center" vertical="center"/>
    </xf>
    <xf numFmtId="3" fontId="14" fillId="0" borderId="2" xfId="0" applyNumberFormat="1" applyFont="1" applyBorder="1" applyAlignment="1">
      <alignment horizontal="center" vertical="center"/>
    </xf>
    <xf numFmtId="3" fontId="15" fillId="0" borderId="2" xfId="0" applyNumberFormat="1" applyFont="1" applyBorder="1" applyAlignment="1">
      <alignment horizontal="center" vertical="center"/>
    </xf>
    <xf numFmtId="0" fontId="14" fillId="10" borderId="2" xfId="0" applyFont="1" applyFill="1" applyBorder="1" applyAlignment="1">
      <alignment horizontal="center" vertical="center"/>
    </xf>
    <xf numFmtId="3" fontId="14" fillId="10" borderId="2" xfId="0" applyNumberFormat="1" applyFont="1" applyFill="1" applyBorder="1" applyAlignment="1">
      <alignment horizontal="center" vertical="center"/>
    </xf>
    <xf numFmtId="3" fontId="15" fillId="10" borderId="2" xfId="0" applyNumberFormat="1" applyFont="1" applyFill="1" applyBorder="1" applyAlignment="1">
      <alignment horizontal="center" vertical="center"/>
    </xf>
    <xf numFmtId="9" fontId="0" fillId="0" borderId="0" xfId="1" applyFont="1" applyAlignment="1">
      <alignment horizontal="center"/>
    </xf>
    <xf numFmtId="3" fontId="17" fillId="0" borderId="2" xfId="0" applyNumberFormat="1" applyFont="1" applyBorder="1" applyAlignment="1">
      <alignment horizontal="center"/>
    </xf>
    <xf numFmtId="3" fontId="17" fillId="0" borderId="2" xfId="0" applyNumberFormat="1" applyFont="1" applyBorder="1" applyAlignment="1">
      <alignment horizontal="center" vertical="center"/>
    </xf>
    <xf numFmtId="9" fontId="17" fillId="0" borderId="2" xfId="1" applyFont="1" applyBorder="1" applyAlignment="1">
      <alignment horizontal="center"/>
    </xf>
    <xf numFmtId="9" fontId="17" fillId="32" borderId="2" xfId="1" applyFont="1" applyFill="1" applyBorder="1" applyAlignment="1">
      <alignment horizontal="center" vertical="center"/>
    </xf>
    <xf numFmtId="0" fontId="17" fillId="32" borderId="2" xfId="0" applyFont="1" applyFill="1" applyBorder="1" applyAlignment="1">
      <alignment horizontal="center" vertical="center"/>
    </xf>
    <xf numFmtId="17" fontId="18" fillId="10" borderId="2" xfId="0" applyNumberFormat="1" applyFont="1" applyFill="1" applyBorder="1" applyAlignment="1">
      <alignment horizontal="center" vertical="center"/>
    </xf>
    <xf numFmtId="0" fontId="18" fillId="10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9" fontId="14" fillId="0" borderId="2" xfId="1" applyFont="1" applyFill="1" applyBorder="1" applyAlignment="1">
      <alignment horizontal="center" vertical="center"/>
    </xf>
    <xf numFmtId="0" fontId="2" fillId="0" borderId="2" xfId="0" applyFont="1" applyBorder="1"/>
    <xf numFmtId="14" fontId="16" fillId="0" borderId="2" xfId="0" applyNumberFormat="1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0" fillId="15" borderId="63" xfId="0" applyFill="1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3" fontId="21" fillId="15" borderId="52" xfId="0" applyNumberFormat="1" applyFont="1" applyFill="1" applyBorder="1" applyAlignment="1">
      <alignment horizontal="center" vertical="center"/>
    </xf>
    <xf numFmtId="14" fontId="19" fillId="14" borderId="39" xfId="0" applyNumberFormat="1" applyFont="1" applyFill="1" applyBorder="1" applyAlignment="1">
      <alignment horizontal="center" vertical="center" wrapText="1"/>
    </xf>
    <xf numFmtId="0" fontId="19" fillId="14" borderId="39" xfId="0" applyFont="1" applyFill="1" applyBorder="1" applyAlignment="1">
      <alignment horizontal="center" vertical="center" wrapText="1"/>
    </xf>
    <xf numFmtId="0" fontId="15" fillId="14" borderId="29" xfId="0" applyFont="1" applyFill="1" applyBorder="1" applyAlignment="1">
      <alignment horizontal="center" vertical="center" wrapText="1"/>
    </xf>
    <xf numFmtId="0" fontId="15" fillId="14" borderId="39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22" fillId="0" borderId="0" xfId="0" applyFont="1" applyAlignment="1">
      <alignment vertical="top" wrapText="1" indent="1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23" fillId="0" borderId="81" xfId="0" applyFont="1" applyBorder="1" applyAlignment="1">
      <alignment horizontal="center" vertical="center" wrapText="1" readingOrder="1"/>
    </xf>
    <xf numFmtId="0" fontId="23" fillId="0" borderId="82" xfId="0" applyFont="1" applyBorder="1" applyAlignment="1">
      <alignment horizontal="center" vertical="center" wrapText="1" readingOrder="1"/>
    </xf>
    <xf numFmtId="0" fontId="24" fillId="0" borderId="82" xfId="0" applyFont="1" applyBorder="1" applyAlignment="1">
      <alignment horizontal="center" vertical="center" wrapText="1" readingOrder="1"/>
    </xf>
    <xf numFmtId="0" fontId="24" fillId="0" borderId="83" xfId="0" applyFont="1" applyBorder="1" applyAlignment="1">
      <alignment horizontal="center" vertical="center" wrapText="1" readingOrder="1"/>
    </xf>
    <xf numFmtId="0" fontId="23" fillId="0" borderId="84" xfId="0" applyFont="1" applyBorder="1" applyAlignment="1">
      <alignment horizontal="center" vertical="center" readingOrder="1"/>
    </xf>
    <xf numFmtId="0" fontId="23" fillId="0" borderId="85" xfId="0" applyFont="1" applyBorder="1" applyAlignment="1">
      <alignment horizontal="center" vertical="center" readingOrder="1"/>
    </xf>
    <xf numFmtId="0" fontId="24" fillId="0" borderId="85" xfId="0" applyFont="1" applyBorder="1" applyAlignment="1">
      <alignment horizontal="center" vertical="center" readingOrder="1"/>
    </xf>
    <xf numFmtId="0" fontId="24" fillId="0" borderId="86" xfId="0" applyFont="1" applyBorder="1" applyAlignment="1">
      <alignment horizontal="center" vertical="center" readingOrder="1"/>
    </xf>
    <xf numFmtId="22" fontId="24" fillId="0" borderId="84" xfId="0" applyNumberFormat="1" applyFont="1" applyBorder="1" applyAlignment="1">
      <alignment horizontal="center" vertical="center" readingOrder="1"/>
    </xf>
    <xf numFmtId="22" fontId="24" fillId="0" borderId="85" xfId="0" applyNumberFormat="1" applyFont="1" applyBorder="1" applyAlignment="1">
      <alignment horizontal="center" vertical="center" readingOrder="1"/>
    </xf>
    <xf numFmtId="22" fontId="24" fillId="0" borderId="87" xfId="0" applyNumberFormat="1" applyFont="1" applyBorder="1" applyAlignment="1">
      <alignment horizontal="center" vertical="center" readingOrder="1"/>
    </xf>
    <xf numFmtId="0" fontId="23" fillId="0" borderId="88" xfId="0" applyFont="1" applyBorder="1" applyAlignment="1">
      <alignment horizontal="center" vertical="center" readingOrder="1"/>
    </xf>
    <xf numFmtId="0" fontId="24" fillId="0" borderId="88" xfId="0" applyFont="1" applyBorder="1" applyAlignment="1">
      <alignment horizontal="center" vertical="center" readingOrder="1"/>
    </xf>
    <xf numFmtId="22" fontId="24" fillId="0" borderId="88" xfId="0" applyNumberFormat="1" applyFont="1" applyBorder="1" applyAlignment="1">
      <alignment horizontal="center" vertical="center" readingOrder="1"/>
    </xf>
    <xf numFmtId="0" fontId="24" fillId="0" borderId="89" xfId="0" applyFont="1" applyBorder="1" applyAlignment="1">
      <alignment horizontal="center" vertical="center" readingOrder="1"/>
    </xf>
    <xf numFmtId="0" fontId="0" fillId="6" borderId="0" xfId="0" applyFill="1" applyAlignment="1">
      <alignment horizontal="center"/>
    </xf>
    <xf numFmtId="2" fontId="0" fillId="6" borderId="0" xfId="0" applyNumberFormat="1" applyFill="1" applyAlignment="1">
      <alignment horizontal="center" vertical="center"/>
    </xf>
    <xf numFmtId="2" fontId="9" fillId="6" borderId="0" xfId="0" applyNumberFormat="1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2" fontId="0" fillId="6" borderId="0" xfId="0" applyNumberFormat="1" applyFill="1" applyAlignment="1">
      <alignment horizontal="center" vertical="center" wrapText="1"/>
    </xf>
    <xf numFmtId="2" fontId="9" fillId="6" borderId="0" xfId="0" applyNumberFormat="1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2" fontId="10" fillId="6" borderId="0" xfId="0" applyNumberFormat="1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 readingOrder="1"/>
    </xf>
    <xf numFmtId="0" fontId="24" fillId="0" borderId="0" xfId="0" applyFont="1" applyAlignment="1">
      <alignment horizontal="center" vertical="center" readingOrder="1"/>
    </xf>
    <xf numFmtId="22" fontId="24" fillId="0" borderId="0" xfId="0" applyNumberFormat="1" applyFont="1" applyAlignment="1">
      <alignment horizontal="center" vertical="center" readingOrder="1"/>
    </xf>
    <xf numFmtId="2" fontId="25" fillId="0" borderId="2" xfId="0" applyNumberFormat="1" applyFont="1" applyBorder="1" applyAlignment="1">
      <alignment horizontal="center" vertical="center" wrapText="1"/>
    </xf>
    <xf numFmtId="3" fontId="21" fillId="0" borderId="54" xfId="0" applyNumberFormat="1" applyFont="1" applyBorder="1" applyAlignment="1">
      <alignment horizontal="center" vertical="center"/>
    </xf>
    <xf numFmtId="166" fontId="0" fillId="0" borderId="2" xfId="2" applyNumberFormat="1" applyFont="1" applyBorder="1" applyAlignment="1">
      <alignment horizontal="center"/>
    </xf>
    <xf numFmtId="166" fontId="0" fillId="0" borderId="2" xfId="0" applyNumberFormat="1" applyBorder="1"/>
    <xf numFmtId="3" fontId="16" fillId="0" borderId="58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/>
    <xf numFmtId="16" fontId="10" fillId="0" borderId="0" xfId="0" applyNumberFormat="1" applyFont="1" applyAlignment="1">
      <alignment horizontal="center"/>
    </xf>
    <xf numFmtId="20" fontId="10" fillId="0" borderId="0" xfId="0" applyNumberFormat="1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16" fontId="9" fillId="0" borderId="0" xfId="0" applyNumberFormat="1" applyFont="1" applyAlignment="1">
      <alignment horizontal="center"/>
    </xf>
    <xf numFmtId="20" fontId="9" fillId="0" borderId="0" xfId="0" applyNumberFormat="1" applyFont="1" applyAlignment="1">
      <alignment horizontal="center"/>
    </xf>
    <xf numFmtId="0" fontId="9" fillId="20" borderId="0" xfId="0" applyFont="1" applyFill="1" applyAlignment="1">
      <alignment horizontal="center"/>
    </xf>
    <xf numFmtId="0" fontId="26" fillId="0" borderId="90" xfId="0" applyFont="1" applyBorder="1" applyAlignment="1">
      <alignment horizontal="center"/>
    </xf>
    <xf numFmtId="16" fontId="0" fillId="20" borderId="0" xfId="0" applyNumberFormat="1" applyFill="1" applyAlignment="1">
      <alignment horizontal="center"/>
    </xf>
    <xf numFmtId="20" fontId="0" fillId="20" borderId="0" xfId="0" applyNumberFormat="1" applyFill="1" applyAlignment="1">
      <alignment horizontal="center"/>
    </xf>
    <xf numFmtId="0" fontId="0" fillId="20" borderId="0" xfId="0" applyFill="1" applyAlignment="1">
      <alignment horizontal="center"/>
    </xf>
    <xf numFmtId="2" fontId="0" fillId="20" borderId="5" xfId="0" applyNumberForma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20" borderId="0" xfId="0" applyFont="1" applyFill="1" applyAlignment="1">
      <alignment horizontal="left"/>
    </xf>
    <xf numFmtId="0" fontId="10" fillId="20" borderId="0" xfId="0" applyFont="1" applyFill="1" applyAlignment="1">
      <alignment horizontal="right"/>
    </xf>
    <xf numFmtId="0" fontId="9" fillId="0" borderId="25" xfId="0" applyFont="1" applyBorder="1" applyAlignment="1">
      <alignment horizontal="center" vertical="center"/>
    </xf>
    <xf numFmtId="2" fontId="9" fillId="0" borderId="9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9" fillId="31" borderId="0" xfId="0" applyFont="1" applyFill="1"/>
    <xf numFmtId="0" fontId="9" fillId="31" borderId="0" xfId="0" applyFont="1" applyFill="1" applyAlignment="1">
      <alignment horizontal="center"/>
    </xf>
    <xf numFmtId="16" fontId="0" fillId="31" borderId="0" xfId="0" applyNumberFormat="1" applyFill="1" applyAlignment="1">
      <alignment horizontal="center"/>
    </xf>
    <xf numFmtId="20" fontId="0" fillId="31" borderId="0" xfId="0" applyNumberFormat="1" applyFill="1" applyAlignment="1">
      <alignment horizontal="center"/>
    </xf>
    <xf numFmtId="0" fontId="0" fillId="31" borderId="0" xfId="0" applyFill="1" applyAlignment="1">
      <alignment horizontal="center"/>
    </xf>
    <xf numFmtId="2" fontId="0" fillId="33" borderId="2" xfId="0" applyNumberFormat="1" applyFill="1" applyBorder="1" applyAlignment="1">
      <alignment horizontal="center" vertical="center"/>
    </xf>
    <xf numFmtId="0" fontId="9" fillId="20" borderId="0" xfId="0" applyFont="1" applyFill="1"/>
    <xf numFmtId="0" fontId="10" fillId="20" borderId="0" xfId="0" applyFont="1" applyFill="1" applyAlignment="1">
      <alignment horizontal="center"/>
    </xf>
    <xf numFmtId="2" fontId="10" fillId="20" borderId="2" xfId="0" applyNumberFormat="1" applyFont="1" applyFill="1" applyBorder="1" applyAlignment="1">
      <alignment horizontal="center" vertical="center"/>
    </xf>
    <xf numFmtId="3" fontId="27" fillId="18" borderId="56" xfId="0" applyNumberFormat="1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2" fontId="9" fillId="20" borderId="2" xfId="0" applyNumberFormat="1" applyFont="1" applyFill="1" applyBorder="1" applyAlignment="1">
      <alignment horizontal="center" vertical="center" wrapText="1"/>
    </xf>
    <xf numFmtId="2" fontId="0" fillId="20" borderId="4" xfId="0" applyNumberFormat="1" applyFill="1" applyBorder="1" applyAlignment="1">
      <alignment horizontal="center" vertical="center"/>
    </xf>
    <xf numFmtId="2" fontId="10" fillId="20" borderId="2" xfId="0" applyNumberFormat="1" applyFont="1" applyFill="1" applyBorder="1" applyAlignment="1">
      <alignment horizontal="center" vertical="center" wrapText="1"/>
    </xf>
    <xf numFmtId="2" fontId="0" fillId="20" borderId="3" xfId="0" applyNumberFormat="1" applyFill="1" applyBorder="1" applyAlignment="1">
      <alignment horizontal="center" vertical="center"/>
    </xf>
    <xf numFmtId="2" fontId="9" fillId="31" borderId="2" xfId="0" applyNumberFormat="1" applyFont="1" applyFill="1" applyBorder="1" applyAlignment="1">
      <alignment horizontal="center" vertical="center"/>
    </xf>
    <xf numFmtId="2" fontId="0" fillId="8" borderId="2" xfId="0" applyNumberFormat="1" applyFill="1" applyBorder="1" applyAlignment="1">
      <alignment horizontal="center" vertical="center"/>
    </xf>
    <xf numFmtId="2" fontId="0" fillId="4" borderId="2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3" fontId="9" fillId="15" borderId="33" xfId="0" applyNumberFormat="1" applyFont="1" applyFill="1" applyBorder="1" applyAlignment="1">
      <alignment horizontal="center" vertical="center"/>
    </xf>
    <xf numFmtId="2" fontId="9" fillId="4" borderId="2" xfId="0" applyNumberFormat="1" applyFont="1" applyFill="1" applyBorder="1" applyAlignment="1">
      <alignment horizontal="center" vertical="center"/>
    </xf>
    <xf numFmtId="2" fontId="9" fillId="6" borderId="2" xfId="0" applyNumberFormat="1" applyFont="1" applyFill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9" fillId="4" borderId="3" xfId="0" applyNumberFormat="1" applyFont="1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0" fillId="20" borderId="31" xfId="0" applyFill="1" applyBorder="1" applyAlignment="1">
      <alignment horizontal="center" vertical="center"/>
    </xf>
    <xf numFmtId="167" fontId="0" fillId="20" borderId="31" xfId="0" applyNumberFormat="1" applyFill="1" applyBorder="1" applyAlignment="1">
      <alignment horizontal="center" vertical="center"/>
    </xf>
    <xf numFmtId="0" fontId="9" fillId="20" borderId="31" xfId="0" applyFont="1" applyFill="1" applyBorder="1" applyAlignment="1">
      <alignment horizontal="center" vertical="center"/>
    </xf>
    <xf numFmtId="3" fontId="0" fillId="0" borderId="53" xfId="0" quotePrefix="1" applyNumberFormat="1" applyBorder="1" applyAlignment="1">
      <alignment horizontal="center" vertical="center"/>
    </xf>
    <xf numFmtId="2" fontId="9" fillId="0" borderId="11" xfId="0" applyNumberFormat="1" applyFont="1" applyBorder="1" applyAlignment="1">
      <alignment horizontal="center" vertical="center" wrapText="1"/>
    </xf>
    <xf numFmtId="3" fontId="14" fillId="10" borderId="11" xfId="0" applyNumberFormat="1" applyFont="1" applyFill="1" applyBorder="1" applyAlignment="1">
      <alignment horizontal="center" vertical="center"/>
    </xf>
    <xf numFmtId="0" fontId="2" fillId="10" borderId="49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17" fontId="2" fillId="10" borderId="55" xfId="0" applyNumberFormat="1" applyFont="1" applyFill="1" applyBorder="1" applyAlignment="1">
      <alignment horizontal="center" vertical="center"/>
    </xf>
    <xf numFmtId="17" fontId="2" fillId="10" borderId="50" xfId="0" applyNumberFormat="1" applyFont="1" applyFill="1" applyBorder="1" applyAlignment="1">
      <alignment horizontal="center" vertical="center"/>
    </xf>
    <xf numFmtId="3" fontId="18" fillId="10" borderId="27" xfId="0" applyNumberFormat="1" applyFont="1" applyFill="1" applyBorder="1" applyAlignment="1">
      <alignment horizontal="center" vertical="center"/>
    </xf>
    <xf numFmtId="0" fontId="18" fillId="16" borderId="11" xfId="0" applyFont="1" applyFill="1" applyBorder="1" applyAlignment="1">
      <alignment horizontal="center" vertical="center"/>
    </xf>
    <xf numFmtId="0" fontId="18" fillId="16" borderId="4" xfId="0" applyFont="1" applyFill="1" applyBorder="1" applyAlignment="1">
      <alignment horizontal="center" vertical="center"/>
    </xf>
    <xf numFmtId="3" fontId="14" fillId="16" borderId="4" xfId="0" applyNumberFormat="1" applyFont="1" applyFill="1" applyBorder="1" applyAlignment="1">
      <alignment horizontal="center" vertical="center"/>
    </xf>
    <xf numFmtId="3" fontId="18" fillId="16" borderId="72" xfId="0" applyNumberFormat="1" applyFont="1" applyFill="1" applyBorder="1" applyAlignment="1">
      <alignment horizontal="center" vertical="center"/>
    </xf>
    <xf numFmtId="0" fontId="18" fillId="32" borderId="7" xfId="0" applyFont="1" applyFill="1" applyBorder="1" applyAlignment="1">
      <alignment horizontal="center" vertical="center"/>
    </xf>
    <xf numFmtId="3" fontId="14" fillId="32" borderId="7" xfId="0" applyNumberFormat="1" applyFont="1" applyFill="1" applyBorder="1" applyAlignment="1">
      <alignment horizontal="center" vertical="center"/>
    </xf>
    <xf numFmtId="3" fontId="18" fillId="32" borderId="8" xfId="0" applyNumberFormat="1" applyFont="1" applyFill="1" applyBorder="1" applyAlignment="1">
      <alignment horizontal="center" vertical="center"/>
    </xf>
    <xf numFmtId="0" fontId="18" fillId="32" borderId="11" xfId="0" applyFont="1" applyFill="1" applyBorder="1" applyAlignment="1">
      <alignment horizontal="center" vertical="center"/>
    </xf>
    <xf numFmtId="2" fontId="0" fillId="4" borderId="2" xfId="0" applyNumberFormat="1" applyFill="1" applyBorder="1" applyAlignment="1">
      <alignment horizontal="center" vertical="center" wrapText="1"/>
    </xf>
    <xf numFmtId="3" fontId="9" fillId="15" borderId="56" xfId="0" applyNumberFormat="1" applyFont="1" applyFill="1" applyBorder="1" applyAlignment="1">
      <alignment horizontal="center" vertical="center"/>
    </xf>
    <xf numFmtId="3" fontId="9" fillId="0" borderId="58" xfId="0" applyNumberFormat="1" applyFont="1" applyBorder="1" applyAlignment="1">
      <alignment horizontal="center" vertical="center"/>
    </xf>
    <xf numFmtId="0" fontId="0" fillId="0" borderId="33" xfId="0" applyBorder="1"/>
    <xf numFmtId="3" fontId="2" fillId="14" borderId="40" xfId="0" applyNumberFormat="1" applyFont="1" applyFill="1" applyBorder="1" applyAlignment="1">
      <alignment horizontal="center"/>
    </xf>
    <xf numFmtId="0" fontId="0" fillId="14" borderId="40" xfId="0" applyFill="1" applyBorder="1"/>
    <xf numFmtId="0" fontId="0" fillId="14" borderId="77" xfId="0" applyFill="1" applyBorder="1"/>
    <xf numFmtId="0" fontId="0" fillId="14" borderId="41" xfId="0" applyFill="1" applyBorder="1"/>
    <xf numFmtId="2" fontId="9" fillId="34" borderId="2" xfId="0" applyNumberFormat="1" applyFont="1" applyFill="1" applyBorder="1" applyAlignment="1">
      <alignment horizontal="center" vertical="center"/>
    </xf>
    <xf numFmtId="2" fontId="10" fillId="34" borderId="2" xfId="0" applyNumberFormat="1" applyFont="1" applyFill="1" applyBorder="1" applyAlignment="1">
      <alignment horizontal="center" vertical="center"/>
    </xf>
    <xf numFmtId="2" fontId="9" fillId="20" borderId="2" xfId="0" quotePrefix="1" applyNumberFormat="1" applyFont="1" applyFill="1" applyBorder="1" applyAlignment="1">
      <alignment horizontal="center" vertical="center"/>
    </xf>
    <xf numFmtId="2" fontId="0" fillId="20" borderId="11" xfId="0" applyNumberFormat="1" applyFill="1" applyBorder="1" applyAlignment="1">
      <alignment horizontal="center" vertical="center"/>
    </xf>
    <xf numFmtId="2" fontId="9" fillId="20" borderId="4" xfId="0" applyNumberFormat="1" applyFont="1" applyFill="1" applyBorder="1" applyAlignment="1">
      <alignment horizontal="center" vertical="center"/>
    </xf>
    <xf numFmtId="2" fontId="9" fillId="20" borderId="11" xfId="0" applyNumberFormat="1" applyFont="1" applyFill="1" applyBorder="1" applyAlignment="1">
      <alignment horizontal="center" vertical="center"/>
    </xf>
    <xf numFmtId="2" fontId="9" fillId="20" borderId="3" xfId="0" applyNumberFormat="1" applyFont="1" applyFill="1" applyBorder="1" applyAlignment="1">
      <alignment horizontal="center" vertical="center"/>
    </xf>
    <xf numFmtId="3" fontId="9" fillId="18" borderId="33" xfId="0" applyNumberFormat="1" applyFont="1" applyFill="1" applyBorder="1" applyAlignment="1">
      <alignment horizontal="center" vertical="center"/>
    </xf>
    <xf numFmtId="3" fontId="9" fillId="18" borderId="56" xfId="0" applyNumberFormat="1" applyFont="1" applyFill="1" applyBorder="1" applyAlignment="1">
      <alignment horizontal="center" vertical="center"/>
    </xf>
    <xf numFmtId="3" fontId="9" fillId="0" borderId="57" xfId="0" applyNumberFormat="1" applyFont="1" applyBorder="1" applyAlignment="1">
      <alignment horizontal="center" vertical="center"/>
    </xf>
    <xf numFmtId="3" fontId="9" fillId="18" borderId="57" xfId="0" applyNumberFormat="1" applyFont="1" applyFill="1" applyBorder="1" applyAlignment="1">
      <alignment horizontal="center" vertical="center"/>
    </xf>
    <xf numFmtId="3" fontId="9" fillId="10" borderId="57" xfId="0" applyNumberFormat="1" applyFont="1" applyFill="1" applyBorder="1" applyAlignment="1">
      <alignment horizontal="center" vertical="center"/>
    </xf>
    <xf numFmtId="3" fontId="9" fillId="0" borderId="56" xfId="0" applyNumberFormat="1" applyFont="1" applyBorder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2" fontId="0" fillId="0" borderId="78" xfId="0" applyNumberFormat="1" applyBorder="1" applyAlignment="1">
      <alignment horizontal="center" vertical="center"/>
    </xf>
    <xf numFmtId="2" fontId="9" fillId="4" borderId="2" xfId="0" applyNumberFormat="1" applyFont="1" applyFill="1" applyBorder="1" applyAlignment="1">
      <alignment horizontal="center" vertical="center" wrapText="1"/>
    </xf>
    <xf numFmtId="2" fontId="0" fillId="20" borderId="11" xfId="0" applyNumberFormat="1" applyFill="1" applyBorder="1" applyAlignment="1">
      <alignment horizontal="center" vertical="center" wrapText="1"/>
    </xf>
    <xf numFmtId="2" fontId="9" fillId="20" borderId="11" xfId="0" applyNumberFormat="1" applyFont="1" applyFill="1" applyBorder="1" applyAlignment="1">
      <alignment horizontal="center" vertical="center" wrapText="1"/>
    </xf>
    <xf numFmtId="2" fontId="25" fillId="20" borderId="2" xfId="0" applyNumberFormat="1" applyFont="1" applyFill="1" applyBorder="1" applyAlignment="1">
      <alignment horizontal="center" vertical="center" wrapText="1"/>
    </xf>
    <xf numFmtId="0" fontId="0" fillId="20" borderId="0" xfId="0" applyFill="1"/>
    <xf numFmtId="0" fontId="10" fillId="0" borderId="11" xfId="0" applyFont="1" applyBorder="1" applyAlignment="1">
      <alignment horizontal="center" vertical="center"/>
    </xf>
    <xf numFmtId="3" fontId="9" fillId="10" borderId="56" xfId="0" applyNumberFormat="1" applyFont="1" applyFill="1" applyBorder="1" applyAlignment="1">
      <alignment horizontal="center" vertical="center"/>
    </xf>
    <xf numFmtId="0" fontId="9" fillId="20" borderId="5" xfId="0" applyFont="1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10" fillId="20" borderId="2" xfId="0" applyFont="1" applyFill="1" applyBorder="1" applyAlignment="1">
      <alignment horizontal="center" vertical="center"/>
    </xf>
    <xf numFmtId="0" fontId="9" fillId="31" borderId="5" xfId="0" applyFon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 wrapText="1"/>
    </xf>
    <xf numFmtId="0" fontId="10" fillId="20" borderId="9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31" borderId="0" xfId="0" applyFont="1" applyFill="1" applyAlignment="1">
      <alignment horizontal="left"/>
    </xf>
    <xf numFmtId="0" fontId="9" fillId="31" borderId="0" xfId="0" applyFont="1" applyFill="1" applyAlignment="1">
      <alignment horizontal="right"/>
    </xf>
    <xf numFmtId="3" fontId="9" fillId="10" borderId="58" xfId="0" applyNumberFormat="1" applyFont="1" applyFill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0" fontId="9" fillId="20" borderId="0" xfId="0" applyFont="1" applyFill="1" applyAlignment="1">
      <alignment horizontal="right"/>
    </xf>
    <xf numFmtId="0" fontId="0" fillId="20" borderId="2" xfId="0" applyFill="1" applyBorder="1" applyAlignment="1">
      <alignment horizontal="center"/>
    </xf>
    <xf numFmtId="0" fontId="9" fillId="20" borderId="11" xfId="0" applyFont="1" applyFill="1" applyBorder="1" applyAlignment="1">
      <alignment horizontal="center" vertical="center"/>
    </xf>
    <xf numFmtId="0" fontId="9" fillId="28" borderId="9" xfId="0" applyFont="1" applyFill="1" applyBorder="1" applyAlignment="1">
      <alignment horizontal="center" vertical="center"/>
    </xf>
    <xf numFmtId="0" fontId="0" fillId="28" borderId="9" xfId="0" applyFill="1" applyBorder="1" applyAlignment="1">
      <alignment horizontal="center" vertical="center"/>
    </xf>
    <xf numFmtId="0" fontId="0" fillId="28" borderId="4" xfId="0" applyFill="1" applyBorder="1" applyAlignment="1">
      <alignment horizontal="center" vertical="center"/>
    </xf>
    <xf numFmtId="0" fontId="0" fillId="28" borderId="0" xfId="0" applyFill="1" applyAlignment="1">
      <alignment horizontal="center"/>
    </xf>
    <xf numFmtId="0" fontId="9" fillId="28" borderId="2" xfId="0" applyFont="1" applyFill="1" applyBorder="1" applyAlignment="1">
      <alignment horizontal="center" vertical="center"/>
    </xf>
    <xf numFmtId="0" fontId="9" fillId="28" borderId="2" xfId="0" applyFont="1" applyFill="1" applyBorder="1" applyAlignment="1">
      <alignment horizontal="center" vertical="center" wrapText="1"/>
    </xf>
    <xf numFmtId="0" fontId="0" fillId="28" borderId="2" xfId="0" applyFill="1" applyBorder="1" applyAlignment="1">
      <alignment horizontal="center" vertical="center"/>
    </xf>
    <xf numFmtId="2" fontId="9" fillId="28" borderId="2" xfId="0" applyNumberFormat="1" applyFont="1" applyFill="1" applyBorder="1" applyAlignment="1">
      <alignment horizontal="center" vertical="center"/>
    </xf>
    <xf numFmtId="0" fontId="0" fillId="28" borderId="11" xfId="0" applyFill="1" applyBorder="1" applyAlignment="1">
      <alignment horizontal="center" vertical="center"/>
    </xf>
    <xf numFmtId="3" fontId="3" fillId="30" borderId="58" xfId="0" applyNumberFormat="1" applyFont="1" applyFill="1" applyBorder="1" applyAlignment="1">
      <alignment horizontal="center" vertical="center"/>
    </xf>
    <xf numFmtId="0" fontId="0" fillId="20" borderId="31" xfId="0" applyFill="1" applyBorder="1" applyAlignment="1">
      <alignment horizontal="center" vertical="center" wrapText="1"/>
    </xf>
    <xf numFmtId="0" fontId="0" fillId="20" borderId="23" xfId="0" applyFill="1" applyBorder="1" applyAlignment="1">
      <alignment horizontal="center" vertical="center"/>
    </xf>
    <xf numFmtId="2" fontId="0" fillId="20" borderId="9" xfId="0" applyNumberFormat="1" applyFill="1" applyBorder="1" applyAlignment="1">
      <alignment horizontal="center" vertical="center"/>
    </xf>
    <xf numFmtId="2" fontId="0" fillId="4" borderId="9" xfId="0" applyNumberFormat="1" applyFill="1" applyBorder="1" applyAlignment="1">
      <alignment horizontal="center" vertical="center"/>
    </xf>
    <xf numFmtId="2" fontId="9" fillId="4" borderId="9" xfId="0" applyNumberFormat="1" applyFont="1" applyFill="1" applyBorder="1" applyAlignment="1">
      <alignment horizontal="center" vertical="center"/>
    </xf>
    <xf numFmtId="44" fontId="0" fillId="0" borderId="0" xfId="3" applyFont="1"/>
    <xf numFmtId="0" fontId="16" fillId="0" borderId="0" xfId="0" applyFont="1" applyAlignment="1">
      <alignment wrapText="1"/>
    </xf>
    <xf numFmtId="44" fontId="0" fillId="0" borderId="0" xfId="0" applyNumberFormat="1"/>
    <xf numFmtId="0" fontId="0" fillId="20" borderId="68" xfId="0" applyFill="1" applyBorder="1" applyAlignment="1">
      <alignment horizontal="center" vertical="center"/>
    </xf>
    <xf numFmtId="0" fontId="10" fillId="20" borderId="4" xfId="0" applyFont="1" applyFill="1" applyBorder="1" applyAlignment="1">
      <alignment horizontal="center" vertical="center"/>
    </xf>
    <xf numFmtId="0" fontId="9" fillId="20" borderId="2" xfId="0" applyFont="1" applyFill="1" applyBorder="1" applyAlignment="1">
      <alignment horizontal="center" vertical="center" wrapText="1"/>
    </xf>
    <xf numFmtId="3" fontId="0" fillId="0" borderId="57" xfId="0" quotePrefix="1" applyNumberFormat="1" applyBorder="1" applyAlignment="1">
      <alignment horizontal="center" vertical="center"/>
    </xf>
    <xf numFmtId="2" fontId="9" fillId="35" borderId="9" xfId="0" applyNumberFormat="1" applyFont="1" applyFill="1" applyBorder="1" applyAlignment="1">
      <alignment horizontal="center" vertical="center"/>
    </xf>
    <xf numFmtId="168" fontId="17" fillId="0" borderId="0" xfId="0" applyNumberFormat="1" applyFont="1"/>
    <xf numFmtId="2" fontId="16" fillId="0" borderId="0" xfId="1" applyNumberFormat="1" applyFont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9" fontId="0" fillId="6" borderId="0" xfId="1" applyFont="1" applyFill="1"/>
    <xf numFmtId="164" fontId="0" fillId="6" borderId="0" xfId="1" applyNumberFormat="1" applyFont="1" applyFill="1"/>
    <xf numFmtId="3" fontId="0" fillId="6" borderId="2" xfId="0" applyNumberFormat="1" applyFill="1" applyBorder="1"/>
    <xf numFmtId="164" fontId="0" fillId="6" borderId="2" xfId="1" applyNumberFormat="1" applyFont="1" applyFill="1" applyBorder="1"/>
    <xf numFmtId="2" fontId="0" fillId="0" borderId="92" xfId="0" applyNumberFormat="1" applyBorder="1" applyAlignment="1">
      <alignment horizontal="center" vertical="center"/>
    </xf>
    <xf numFmtId="0" fontId="9" fillId="0" borderId="69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2" fontId="9" fillId="20" borderId="9" xfId="0" applyNumberFormat="1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3" fontId="9" fillId="30" borderId="36" xfId="0" applyNumberFormat="1" applyFont="1" applyFill="1" applyBorder="1" applyAlignment="1">
      <alignment horizontal="center" vertical="center"/>
    </xf>
    <xf numFmtId="169" fontId="16" fillId="0" borderId="0" xfId="2" applyNumberFormat="1" applyFont="1"/>
    <xf numFmtId="2" fontId="0" fillId="0" borderId="0" xfId="1" applyNumberFormat="1" applyFont="1" applyAlignment="1">
      <alignment horizontal="center"/>
    </xf>
    <xf numFmtId="0" fontId="2" fillId="10" borderId="2" xfId="0" applyFont="1" applyFill="1" applyBorder="1" applyAlignment="1">
      <alignment horizontal="center" vertical="center"/>
    </xf>
    <xf numFmtId="0" fontId="2" fillId="32" borderId="2" xfId="0" applyFont="1" applyFill="1" applyBorder="1" applyAlignment="1">
      <alignment horizontal="center" vertical="center"/>
    </xf>
    <xf numFmtId="0" fontId="0" fillId="32" borderId="2" xfId="0" applyFill="1" applyBorder="1" applyAlignment="1">
      <alignment horizontal="center" vertical="center"/>
    </xf>
    <xf numFmtId="3" fontId="18" fillId="32" borderId="2" xfId="0" applyNumberFormat="1" applyFont="1" applyFill="1" applyBorder="1" applyAlignment="1">
      <alignment horizontal="center" vertical="center"/>
    </xf>
    <xf numFmtId="0" fontId="2" fillId="16" borderId="2" xfId="0" applyFont="1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3" fontId="18" fillId="16" borderId="2" xfId="0" applyNumberFormat="1" applyFont="1" applyFill="1" applyBorder="1" applyAlignment="1">
      <alignment horizontal="center" vertical="center"/>
    </xf>
    <xf numFmtId="0" fontId="29" fillId="0" borderId="2" xfId="0" applyFont="1" applyBorder="1" applyAlignment="1">
      <alignment horizontal="center"/>
    </xf>
    <xf numFmtId="3" fontId="17" fillId="32" borderId="2" xfId="0" applyNumberFormat="1" applyFont="1" applyFill="1" applyBorder="1" applyAlignment="1">
      <alignment horizontal="center" vertical="center"/>
    </xf>
    <xf numFmtId="3" fontId="17" fillId="16" borderId="2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left" vertical="center" indent="1"/>
    </xf>
    <xf numFmtId="0" fontId="30" fillId="0" borderId="22" xfId="0" applyFont="1" applyBorder="1" applyAlignment="1">
      <alignment horizontal="left" vertical="center" indent="1"/>
    </xf>
    <xf numFmtId="43" fontId="0" fillId="0" borderId="5" xfId="2" applyFont="1" applyBorder="1" applyAlignment="1">
      <alignment horizontal="left"/>
    </xf>
    <xf numFmtId="0" fontId="30" fillId="0" borderId="28" xfId="0" applyFont="1" applyBorder="1" applyAlignment="1">
      <alignment horizontal="left" vertical="center" indent="1"/>
    </xf>
    <xf numFmtId="0" fontId="2" fillId="0" borderId="1" xfId="0" applyFont="1" applyBorder="1" applyAlignment="1">
      <alignment horizontal="center"/>
    </xf>
    <xf numFmtId="43" fontId="2" fillId="0" borderId="21" xfId="0" applyNumberFormat="1" applyFont="1" applyBorder="1"/>
    <xf numFmtId="0" fontId="31" fillId="0" borderId="79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 wrapText="1"/>
    </xf>
    <xf numFmtId="3" fontId="20" fillId="0" borderId="2" xfId="0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2" fontId="0" fillId="3" borderId="75" xfId="0" applyNumberFormat="1" applyFill="1" applyBorder="1" applyAlignment="1">
      <alignment horizontal="center" vertical="center"/>
    </xf>
    <xf numFmtId="0" fontId="0" fillId="20" borderId="2" xfId="0" applyFill="1" applyBorder="1" applyAlignment="1">
      <alignment horizontal="center" vertical="center" wrapText="1"/>
    </xf>
    <xf numFmtId="0" fontId="2" fillId="18" borderId="63" xfId="0" applyFont="1" applyFill="1" applyBorder="1" applyAlignment="1">
      <alignment horizontal="center" vertical="center"/>
    </xf>
    <xf numFmtId="0" fontId="2" fillId="18" borderId="59" xfId="0" applyFont="1" applyFill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" fillId="18" borderId="64" xfId="0" applyFont="1" applyFill="1" applyBorder="1" applyAlignment="1">
      <alignment horizontal="center" vertical="center"/>
    </xf>
    <xf numFmtId="0" fontId="2" fillId="18" borderId="60" xfId="0" applyFont="1" applyFill="1" applyBorder="1" applyAlignment="1">
      <alignment horizontal="center" vertical="center"/>
    </xf>
    <xf numFmtId="2" fontId="2" fillId="0" borderId="47" xfId="0" applyNumberFormat="1" applyFont="1" applyBorder="1" applyAlignment="1">
      <alignment horizontal="center" vertical="center"/>
    </xf>
    <xf numFmtId="2" fontId="2" fillId="18" borderId="47" xfId="0" applyNumberFormat="1" applyFont="1" applyFill="1" applyBorder="1" applyAlignment="1">
      <alignment horizontal="center" vertical="center"/>
    </xf>
    <xf numFmtId="2" fontId="2" fillId="0" borderId="48" xfId="0" applyNumberFormat="1" applyFont="1" applyBorder="1" applyAlignment="1">
      <alignment horizontal="center" vertical="center"/>
    </xf>
    <xf numFmtId="0" fontId="2" fillId="0" borderId="61" xfId="0" applyFont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/>
    </xf>
    <xf numFmtId="0" fontId="2" fillId="15" borderId="59" xfId="0" applyFont="1" applyFill="1" applyBorder="1" applyAlignment="1">
      <alignment horizontal="center" vertical="center"/>
    </xf>
    <xf numFmtId="2" fontId="2" fillId="15" borderId="47" xfId="0" applyNumberFormat="1" applyFont="1" applyFill="1" applyBorder="1" applyAlignment="1">
      <alignment horizontal="center" vertical="center"/>
    </xf>
    <xf numFmtId="0" fontId="2" fillId="15" borderId="60" xfId="0" applyFont="1" applyFill="1" applyBorder="1" applyAlignment="1">
      <alignment horizontal="center" vertical="center"/>
    </xf>
    <xf numFmtId="2" fontId="2" fillId="10" borderId="46" xfId="0" applyNumberFormat="1" applyFont="1" applyFill="1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2" fontId="2" fillId="10" borderId="47" xfId="0" applyNumberFormat="1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2" fontId="2" fillId="10" borderId="66" xfId="0" applyNumberFormat="1" applyFont="1" applyFill="1" applyBorder="1" applyAlignment="1">
      <alignment horizontal="center" vertical="center"/>
    </xf>
    <xf numFmtId="2" fontId="2" fillId="0" borderId="32" xfId="0" applyNumberFormat="1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2" fontId="2" fillId="30" borderId="35" xfId="0" applyNumberFormat="1" applyFont="1" applyFill="1" applyBorder="1" applyAlignment="1">
      <alignment horizontal="center" vertical="center"/>
    </xf>
    <xf numFmtId="0" fontId="2" fillId="30" borderId="58" xfId="0" applyFont="1" applyFill="1" applyBorder="1" applyAlignment="1">
      <alignment horizontal="center" vertical="center"/>
    </xf>
    <xf numFmtId="43" fontId="0" fillId="0" borderId="0" xfId="2" applyFont="1" applyAlignment="1">
      <alignment horizontal="center"/>
    </xf>
    <xf numFmtId="0" fontId="0" fillId="0" borderId="0" xfId="0" quotePrefix="1" applyAlignment="1">
      <alignment horizontal="center"/>
    </xf>
    <xf numFmtId="0" fontId="28" fillId="0" borderId="0" xfId="0" applyFont="1" applyAlignment="1">
      <alignment horizontal="center"/>
    </xf>
    <xf numFmtId="0" fontId="0" fillId="0" borderId="74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3" fontId="9" fillId="0" borderId="91" xfId="0" applyNumberFormat="1" applyFont="1" applyBorder="1" applyAlignment="1">
      <alignment horizontal="center" vertical="center"/>
    </xf>
    <xf numFmtId="3" fontId="9" fillId="15" borderId="0" xfId="0" applyNumberFormat="1" applyFont="1" applyFill="1" applyAlignment="1">
      <alignment horizontal="center" vertical="center"/>
    </xf>
    <xf numFmtId="3" fontId="9" fillId="15" borderId="57" xfId="0" applyNumberFormat="1" applyFont="1" applyFill="1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14" fillId="9" borderId="2" xfId="0" applyFont="1" applyFill="1" applyBorder="1" applyAlignment="1">
      <alignment horizontal="center" vertical="center"/>
    </xf>
    <xf numFmtId="3" fontId="14" fillId="9" borderId="2" xfId="0" applyNumberFormat="1" applyFont="1" applyFill="1" applyBorder="1" applyAlignment="1">
      <alignment horizontal="center" vertical="center"/>
    </xf>
    <xf numFmtId="3" fontId="15" fillId="9" borderId="2" xfId="0" applyNumberFormat="1" applyFont="1" applyFill="1" applyBorder="1" applyAlignment="1">
      <alignment horizontal="center" vertical="center"/>
    </xf>
    <xf numFmtId="0" fontId="20" fillId="10" borderId="2" xfId="0" applyFont="1" applyFill="1" applyBorder="1" applyAlignment="1">
      <alignment horizontal="center" vertical="center"/>
    </xf>
    <xf numFmtId="17" fontId="20" fillId="10" borderId="2" xfId="0" applyNumberFormat="1" applyFont="1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 wrapText="1"/>
    </xf>
    <xf numFmtId="0" fontId="14" fillId="22" borderId="2" xfId="0" applyFont="1" applyFill="1" applyBorder="1" applyAlignment="1">
      <alignment horizontal="center" vertical="center"/>
    </xf>
    <xf numFmtId="3" fontId="14" fillId="22" borderId="2" xfId="0" applyNumberFormat="1" applyFont="1" applyFill="1" applyBorder="1" applyAlignment="1">
      <alignment horizontal="center" vertical="center"/>
    </xf>
    <xf numFmtId="3" fontId="15" fillId="22" borderId="2" xfId="0" applyNumberFormat="1" applyFont="1" applyFill="1" applyBorder="1" applyAlignment="1">
      <alignment horizontal="center" vertical="center"/>
    </xf>
    <xf numFmtId="0" fontId="14" fillId="36" borderId="2" xfId="0" applyFont="1" applyFill="1" applyBorder="1" applyAlignment="1">
      <alignment horizontal="center" vertical="center"/>
    </xf>
    <xf numFmtId="3" fontId="14" fillId="36" borderId="2" xfId="0" applyNumberFormat="1" applyFont="1" applyFill="1" applyBorder="1" applyAlignment="1">
      <alignment horizontal="center" vertical="center"/>
    </xf>
    <xf numFmtId="3" fontId="15" fillId="36" borderId="2" xfId="0" applyNumberFormat="1" applyFont="1" applyFill="1" applyBorder="1" applyAlignment="1">
      <alignment horizontal="center" vertical="center"/>
    </xf>
    <xf numFmtId="0" fontId="17" fillId="35" borderId="2" xfId="0" applyFont="1" applyFill="1" applyBorder="1" applyAlignment="1">
      <alignment horizontal="center" vertical="center"/>
    </xf>
    <xf numFmtId="9" fontId="17" fillId="35" borderId="2" xfId="1" applyFont="1" applyFill="1" applyBorder="1" applyAlignment="1">
      <alignment horizontal="center"/>
    </xf>
    <xf numFmtId="9" fontId="17" fillId="35" borderId="2" xfId="1" applyFont="1" applyFill="1" applyBorder="1" applyAlignment="1">
      <alignment horizontal="center" vertical="center"/>
    </xf>
    <xf numFmtId="0" fontId="14" fillId="35" borderId="2" xfId="0" applyFont="1" applyFill="1" applyBorder="1" applyAlignment="1">
      <alignment horizontal="center" vertical="center"/>
    </xf>
    <xf numFmtId="9" fontId="14" fillId="35" borderId="2" xfId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3" fontId="19" fillId="15" borderId="2" xfId="0" applyNumberFormat="1" applyFont="1" applyFill="1" applyBorder="1" applyAlignment="1">
      <alignment horizontal="center" vertical="center"/>
    </xf>
    <xf numFmtId="0" fontId="18" fillId="15" borderId="2" xfId="0" applyFont="1" applyFill="1" applyBorder="1" applyAlignment="1">
      <alignment horizontal="center" vertical="center"/>
    </xf>
    <xf numFmtId="3" fontId="18" fillId="15" borderId="2" xfId="0" applyNumberFormat="1" applyFont="1" applyFill="1" applyBorder="1" applyAlignment="1">
      <alignment horizontal="center" vertical="center"/>
    </xf>
    <xf numFmtId="3" fontId="18" fillId="15" borderId="2" xfId="0" applyNumberFormat="1" applyFont="1" applyFill="1" applyBorder="1" applyAlignment="1">
      <alignment horizontal="center"/>
    </xf>
    <xf numFmtId="3" fontId="21" fillId="0" borderId="2" xfId="0" applyNumberFormat="1" applyFont="1" applyBorder="1" applyAlignment="1">
      <alignment horizontal="center"/>
    </xf>
    <xf numFmtId="3" fontId="21" fillId="0" borderId="2" xfId="0" applyNumberFormat="1" applyFont="1" applyBorder="1" applyAlignment="1">
      <alignment horizontal="center" vertical="center"/>
    </xf>
    <xf numFmtId="0" fontId="20" fillId="15" borderId="2" xfId="0" applyFont="1" applyFill="1" applyBorder="1" applyAlignment="1">
      <alignment horizontal="center" vertical="center"/>
    </xf>
    <xf numFmtId="3" fontId="20" fillId="15" borderId="2" xfId="0" applyNumberFormat="1" applyFont="1" applyFill="1" applyBorder="1" applyAlignment="1">
      <alignment horizontal="center"/>
    </xf>
    <xf numFmtId="3" fontId="20" fillId="15" borderId="2" xfId="0" applyNumberFormat="1" applyFont="1" applyFill="1" applyBorder="1" applyAlignment="1">
      <alignment horizontal="center" vertical="center"/>
    </xf>
    <xf numFmtId="0" fontId="21" fillId="35" borderId="2" xfId="0" applyFont="1" applyFill="1" applyBorder="1" applyAlignment="1">
      <alignment horizontal="center" vertical="center"/>
    </xf>
    <xf numFmtId="9" fontId="21" fillId="35" borderId="2" xfId="1" applyFont="1" applyFill="1" applyBorder="1" applyAlignment="1">
      <alignment horizontal="center"/>
    </xf>
    <xf numFmtId="9" fontId="21" fillId="35" borderId="2" xfId="1" applyFont="1" applyFill="1" applyBorder="1" applyAlignment="1">
      <alignment horizontal="center" vertical="center"/>
    </xf>
    <xf numFmtId="3" fontId="9" fillId="30" borderId="58" xfId="0" applyNumberFormat="1" applyFont="1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 wrapText="1"/>
    </xf>
    <xf numFmtId="2" fontId="0" fillId="0" borderId="67" xfId="0" applyNumberFormat="1" applyBorder="1" applyAlignment="1">
      <alignment horizontal="center" vertical="center"/>
    </xf>
    <xf numFmtId="2" fontId="2" fillId="0" borderId="66" xfId="0" applyNumberFormat="1" applyFont="1" applyBorder="1" applyAlignment="1">
      <alignment horizontal="center" vertical="center"/>
    </xf>
    <xf numFmtId="0" fontId="2" fillId="0" borderId="93" xfId="0" applyFont="1" applyBorder="1" applyAlignment="1">
      <alignment horizontal="center" vertical="center"/>
    </xf>
    <xf numFmtId="2" fontId="2" fillId="15" borderId="58" xfId="0" applyNumberFormat="1" applyFont="1" applyFill="1" applyBorder="1" applyAlignment="1">
      <alignment horizontal="center" vertical="center"/>
    </xf>
    <xf numFmtId="0" fontId="2" fillId="15" borderId="57" xfId="0" applyFont="1" applyFill="1" applyBorder="1" applyAlignment="1">
      <alignment horizontal="center" vertical="center"/>
    </xf>
    <xf numFmtId="3" fontId="9" fillId="15" borderId="58" xfId="0" applyNumberFormat="1" applyFont="1" applyFill="1" applyBorder="1" applyAlignment="1">
      <alignment horizontal="center" vertical="center"/>
    </xf>
    <xf numFmtId="3" fontId="13" fillId="15" borderId="57" xfId="0" applyNumberFormat="1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2" fontId="9" fillId="0" borderId="23" xfId="0" applyNumberFormat="1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36" borderId="2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36" borderId="28" xfId="0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22" xfId="0" applyFill="1" applyBorder="1" applyAlignment="1">
      <alignment horizontal="center" vertical="center"/>
    </xf>
    <xf numFmtId="3" fontId="9" fillId="0" borderId="33" xfId="0" applyNumberFormat="1" applyFont="1" applyBorder="1" applyAlignment="1">
      <alignment horizontal="center" vertical="center"/>
    </xf>
    <xf numFmtId="0" fontId="0" fillId="36" borderId="22" xfId="0" applyFill="1" applyBorder="1" applyAlignment="1">
      <alignment vertical="center"/>
    </xf>
    <xf numFmtId="0" fontId="0" fillId="36" borderId="2" xfId="0" applyFill="1" applyBorder="1" applyAlignment="1">
      <alignment vertical="center"/>
    </xf>
    <xf numFmtId="0" fontId="2" fillId="0" borderId="0" xfId="0" applyFont="1" applyAlignment="1">
      <alignment horizontal="right"/>
    </xf>
    <xf numFmtId="0" fontId="9" fillId="20" borderId="1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9" fillId="22" borderId="1" xfId="0" applyFont="1" applyFill="1" applyBorder="1" applyAlignment="1">
      <alignment horizontal="center" vertical="center"/>
    </xf>
    <xf numFmtId="3" fontId="9" fillId="22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left"/>
    </xf>
    <xf numFmtId="3" fontId="14" fillId="20" borderId="2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14" borderId="2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2" fillId="0" borderId="23" xfId="0" applyFont="1" applyBorder="1" applyAlignment="1">
      <alignment horizontal="center" vertical="center" wrapText="1"/>
    </xf>
    <xf numFmtId="2" fontId="0" fillId="2" borderId="1" xfId="0" applyNumberFormat="1" applyFill="1" applyBorder="1" applyAlignment="1">
      <alignment horizontal="center" vertical="center" wrapText="1"/>
    </xf>
    <xf numFmtId="2" fontId="0" fillId="2" borderId="3" xfId="0" applyNumberFormat="1" applyFill="1" applyBorder="1" applyAlignment="1">
      <alignment horizontal="center" vertical="center"/>
    </xf>
    <xf numFmtId="2" fontId="0" fillId="2" borderId="26" xfId="0" applyNumberFormat="1" applyFill="1" applyBorder="1" applyAlignment="1">
      <alignment horizontal="center" vertical="center"/>
    </xf>
    <xf numFmtId="2" fontId="0" fillId="2" borderId="4" xfId="0" applyNumberFormat="1" applyFill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2" fontId="8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2" fontId="0" fillId="2" borderId="69" xfId="0" applyNumberFormat="1" applyFill="1" applyBorder="1" applyAlignment="1">
      <alignment horizontal="center" vertical="center" wrapText="1"/>
    </xf>
    <xf numFmtId="2" fontId="0" fillId="2" borderId="69" xfId="0" applyNumberFormat="1" applyFill="1" applyBorder="1" applyAlignment="1">
      <alignment horizontal="center" vertical="center"/>
    </xf>
    <xf numFmtId="2" fontId="0" fillId="2" borderId="71" xfId="0" applyNumberFormat="1" applyFill="1" applyBorder="1" applyAlignment="1">
      <alignment horizontal="center" vertical="center"/>
    </xf>
    <xf numFmtId="2" fontId="0" fillId="2" borderId="15" xfId="0" applyNumberFormat="1" applyFill="1" applyBorder="1" applyAlignment="1">
      <alignment horizontal="center" vertical="center" wrapText="1"/>
    </xf>
    <xf numFmtId="2" fontId="0" fillId="2" borderId="73" xfId="0" applyNumberFormat="1" applyFill="1" applyBorder="1" applyAlignment="1">
      <alignment horizontal="center" vertical="center"/>
    </xf>
    <xf numFmtId="2" fontId="0" fillId="2" borderId="9" xfId="0" applyNumberFormat="1" applyFill="1" applyBorder="1" applyAlignment="1">
      <alignment horizontal="center" vertical="center" wrapText="1"/>
    </xf>
    <xf numFmtId="2" fontId="8" fillId="0" borderId="4" xfId="0" applyNumberFormat="1" applyFont="1" applyBorder="1" applyAlignment="1">
      <alignment horizontal="center" vertical="center"/>
    </xf>
    <xf numFmtId="2" fontId="0" fillId="2" borderId="74" xfId="0" applyNumberFormat="1" applyFill="1" applyBorder="1" applyAlignment="1">
      <alignment horizontal="center" vertical="center" wrapText="1"/>
    </xf>
    <xf numFmtId="0" fontId="0" fillId="32" borderId="1" xfId="0" applyFill="1" applyBorder="1" applyAlignment="1">
      <alignment horizontal="center" vertical="center"/>
    </xf>
    <xf numFmtId="0" fontId="0" fillId="32" borderId="3" xfId="0" applyFill="1" applyBorder="1" applyAlignment="1">
      <alignment horizontal="center" vertical="center"/>
    </xf>
    <xf numFmtId="0" fontId="0" fillId="32" borderId="4" xfId="0" applyFill="1" applyBorder="1" applyAlignment="1">
      <alignment horizontal="center" vertical="center"/>
    </xf>
    <xf numFmtId="0" fontId="2" fillId="32" borderId="1" xfId="0" applyFont="1" applyFill="1" applyBorder="1" applyAlignment="1">
      <alignment horizontal="center" vertical="center"/>
    </xf>
    <xf numFmtId="0" fontId="2" fillId="32" borderId="3" xfId="0" applyFont="1" applyFill="1" applyBorder="1" applyAlignment="1">
      <alignment horizontal="center" vertical="center"/>
    </xf>
    <xf numFmtId="0" fontId="2" fillId="32" borderId="4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3" fontId="2" fillId="32" borderId="1" xfId="0" applyNumberFormat="1" applyFont="1" applyFill="1" applyBorder="1" applyAlignment="1">
      <alignment horizontal="center" vertical="center"/>
    </xf>
    <xf numFmtId="3" fontId="2" fillId="32" borderId="3" xfId="0" applyNumberFormat="1" applyFont="1" applyFill="1" applyBorder="1" applyAlignment="1">
      <alignment horizontal="center" vertical="center"/>
    </xf>
    <xf numFmtId="3" fontId="2" fillId="32" borderId="4" xfId="0" applyNumberFormat="1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3" fontId="5" fillId="15" borderId="56" xfId="0" applyNumberFormat="1" applyFont="1" applyFill="1" applyBorder="1" applyAlignment="1">
      <alignment horizontal="center" vertical="center"/>
    </xf>
    <xf numFmtId="3" fontId="5" fillId="15" borderId="57" xfId="0" applyNumberFormat="1" applyFont="1" applyFill="1" applyBorder="1" applyAlignment="1">
      <alignment horizontal="center" vertical="center"/>
    </xf>
    <xf numFmtId="3" fontId="5" fillId="15" borderId="58" xfId="0" applyNumberFormat="1" applyFont="1" applyFill="1" applyBorder="1" applyAlignment="1">
      <alignment horizontal="center" vertical="center"/>
    </xf>
    <xf numFmtId="3" fontId="5" fillId="18" borderId="56" xfId="0" applyNumberFormat="1" applyFont="1" applyFill="1" applyBorder="1" applyAlignment="1">
      <alignment horizontal="center" vertical="center"/>
    </xf>
    <xf numFmtId="3" fontId="5" fillId="18" borderId="57" xfId="0" applyNumberFormat="1" applyFont="1" applyFill="1" applyBorder="1" applyAlignment="1">
      <alignment horizontal="center" vertical="center"/>
    </xf>
    <xf numFmtId="3" fontId="5" fillId="18" borderId="58" xfId="0" applyNumberFormat="1" applyFont="1" applyFill="1" applyBorder="1" applyAlignment="1">
      <alignment horizontal="center" vertical="center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5" fillId="18" borderId="56" xfId="0" applyFont="1" applyFill="1" applyBorder="1" applyAlignment="1">
      <alignment horizontal="center" vertical="center" wrapText="1"/>
    </xf>
    <xf numFmtId="0" fontId="5" fillId="18" borderId="57" xfId="0" applyFont="1" applyFill="1" applyBorder="1" applyAlignment="1">
      <alignment horizontal="center" vertical="center"/>
    </xf>
    <xf numFmtId="0" fontId="5" fillId="18" borderId="58" xfId="0" applyFont="1" applyFill="1" applyBorder="1" applyAlignment="1">
      <alignment horizontal="center" vertical="center"/>
    </xf>
    <xf numFmtId="0" fontId="5" fillId="30" borderId="56" xfId="0" applyFont="1" applyFill="1" applyBorder="1" applyAlignment="1">
      <alignment horizontal="center" vertical="center" wrapText="1"/>
    </xf>
    <xf numFmtId="0" fontId="5" fillId="30" borderId="58" xfId="0" applyFont="1" applyFill="1" applyBorder="1" applyAlignment="1">
      <alignment horizontal="center" vertical="center" wrapText="1"/>
    </xf>
    <xf numFmtId="3" fontId="5" fillId="10" borderId="56" xfId="0" applyNumberFormat="1" applyFont="1" applyFill="1" applyBorder="1" applyAlignment="1">
      <alignment horizontal="center" vertical="center"/>
    </xf>
    <xf numFmtId="3" fontId="5" fillId="10" borderId="57" xfId="0" applyNumberFormat="1" applyFont="1" applyFill="1" applyBorder="1" applyAlignment="1">
      <alignment horizontal="center" vertical="center"/>
    </xf>
    <xf numFmtId="3" fontId="5" fillId="10" borderId="58" xfId="0" applyNumberFormat="1" applyFont="1" applyFill="1" applyBorder="1" applyAlignment="1">
      <alignment horizontal="center" vertical="center"/>
    </xf>
    <xf numFmtId="3" fontId="5" fillId="30" borderId="56" xfId="0" applyNumberFormat="1" applyFont="1" applyFill="1" applyBorder="1" applyAlignment="1">
      <alignment horizontal="center" vertical="center"/>
    </xf>
    <xf numFmtId="3" fontId="5" fillId="30" borderId="58" xfId="0" applyNumberFormat="1" applyFont="1" applyFill="1" applyBorder="1" applyAlignment="1">
      <alignment horizontal="center" vertical="center"/>
    </xf>
    <xf numFmtId="0" fontId="5" fillId="10" borderId="56" xfId="0" applyFont="1" applyFill="1" applyBorder="1" applyAlignment="1">
      <alignment horizontal="center" vertical="center" wrapText="1"/>
    </xf>
    <xf numFmtId="0" fontId="5" fillId="10" borderId="57" xfId="0" applyFont="1" applyFill="1" applyBorder="1" applyAlignment="1">
      <alignment horizontal="center" vertical="center" wrapText="1"/>
    </xf>
    <xf numFmtId="0" fontId="5" fillId="10" borderId="58" xfId="0" applyFont="1" applyFill="1" applyBorder="1" applyAlignment="1">
      <alignment horizontal="center" vertical="center" wrapText="1"/>
    </xf>
    <xf numFmtId="0" fontId="5" fillId="15" borderId="56" xfId="0" applyFont="1" applyFill="1" applyBorder="1" applyAlignment="1">
      <alignment horizontal="center" vertical="center" wrapText="1"/>
    </xf>
    <xf numFmtId="0" fontId="5" fillId="15" borderId="57" xfId="0" applyFont="1" applyFill="1" applyBorder="1" applyAlignment="1">
      <alignment horizontal="center" vertical="center" wrapText="1"/>
    </xf>
    <xf numFmtId="0" fontId="5" fillId="15" borderId="58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3" fontId="6" fillId="15" borderId="56" xfId="0" applyNumberFormat="1" applyFont="1" applyFill="1" applyBorder="1" applyAlignment="1">
      <alignment horizontal="center" vertical="center"/>
    </xf>
    <xf numFmtId="3" fontId="6" fillId="15" borderId="58" xfId="0" applyNumberFormat="1" applyFont="1" applyFill="1" applyBorder="1" applyAlignment="1">
      <alignment horizontal="center" vertical="center"/>
    </xf>
    <xf numFmtId="0" fontId="20" fillId="15" borderId="56" xfId="0" applyFont="1" applyFill="1" applyBorder="1" applyAlignment="1">
      <alignment horizontal="center" vertical="center" wrapText="1"/>
    </xf>
    <xf numFmtId="0" fontId="20" fillId="15" borderId="58" xfId="0" applyFont="1" applyFill="1" applyBorder="1" applyAlignment="1">
      <alignment horizontal="center" vertical="center" wrapText="1"/>
    </xf>
    <xf numFmtId="0" fontId="7" fillId="14" borderId="40" xfId="0" applyFont="1" applyFill="1" applyBorder="1" applyAlignment="1">
      <alignment horizontal="center" vertical="center" wrapText="1"/>
    </xf>
    <xf numFmtId="0" fontId="7" fillId="14" borderId="41" xfId="0" applyFont="1" applyFill="1" applyBorder="1" applyAlignment="1">
      <alignment horizontal="center" vertical="center" wrapText="1"/>
    </xf>
    <xf numFmtId="3" fontId="20" fillId="15" borderId="56" xfId="0" applyNumberFormat="1" applyFont="1" applyFill="1" applyBorder="1" applyAlignment="1">
      <alignment horizontal="center" vertical="center"/>
    </xf>
    <xf numFmtId="3" fontId="20" fillId="15" borderId="58" xfId="0" applyNumberFormat="1" applyFont="1" applyFill="1" applyBorder="1" applyAlignment="1">
      <alignment horizontal="center" vertical="center"/>
    </xf>
    <xf numFmtId="0" fontId="2" fillId="14" borderId="40" xfId="0" applyFont="1" applyFill="1" applyBorder="1" applyAlignment="1">
      <alignment horizontal="right"/>
    </xf>
    <xf numFmtId="0" fontId="2" fillId="14" borderId="77" xfId="0" applyFont="1" applyFill="1" applyBorder="1" applyAlignment="1">
      <alignment horizontal="right"/>
    </xf>
    <xf numFmtId="0" fontId="0" fillId="22" borderId="28" xfId="0" applyFill="1" applyBorder="1" applyAlignment="1">
      <alignment horizontal="center" vertical="center"/>
    </xf>
    <xf numFmtId="0" fontId="0" fillId="22" borderId="78" xfId="0" applyFill="1" applyBorder="1" applyAlignment="1">
      <alignment horizontal="center" vertical="center"/>
    </xf>
    <xf numFmtId="0" fontId="0" fillId="22" borderId="79" xfId="0" applyFill="1" applyBorder="1" applyAlignment="1">
      <alignment horizontal="center" vertical="center"/>
    </xf>
    <xf numFmtId="3" fontId="2" fillId="22" borderId="1" xfId="0" applyNumberFormat="1" applyFont="1" applyFill="1" applyBorder="1" applyAlignment="1">
      <alignment horizontal="center" vertical="center"/>
    </xf>
    <xf numFmtId="3" fontId="2" fillId="22" borderId="3" xfId="0" applyNumberFormat="1" applyFont="1" applyFill="1" applyBorder="1" applyAlignment="1">
      <alignment horizontal="center" vertical="center"/>
    </xf>
    <xf numFmtId="3" fontId="2" fillId="22" borderId="4" xfId="0" applyNumberFormat="1" applyFont="1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2" fillId="22" borderId="3" xfId="0" applyFont="1" applyFill="1" applyBorder="1" applyAlignment="1">
      <alignment horizontal="center" vertical="center"/>
    </xf>
    <xf numFmtId="0" fontId="2" fillId="22" borderId="4" xfId="0" applyFont="1" applyFill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22" borderId="3" xfId="0" applyFill="1" applyBorder="1" applyAlignment="1">
      <alignment horizontal="center" vertical="center"/>
    </xf>
    <xf numFmtId="0" fontId="0" fillId="22" borderId="4" xfId="0" applyFill="1" applyBorder="1" applyAlignment="1">
      <alignment horizontal="center" vertical="center"/>
    </xf>
    <xf numFmtId="0" fontId="0" fillId="36" borderId="28" xfId="0" applyFill="1" applyBorder="1" applyAlignment="1">
      <alignment horizontal="center" vertical="center"/>
    </xf>
    <xf numFmtId="0" fontId="0" fillId="36" borderId="78" xfId="0" applyFill="1" applyBorder="1" applyAlignment="1">
      <alignment horizontal="center" vertical="center"/>
    </xf>
    <xf numFmtId="0" fontId="0" fillId="36" borderId="79" xfId="0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3" xfId="0" applyFill="1" applyBorder="1" applyAlignment="1">
      <alignment horizontal="center" vertical="center"/>
    </xf>
    <xf numFmtId="0" fontId="0" fillId="36" borderId="4" xfId="0" applyFill="1" applyBorder="1" applyAlignment="1">
      <alignment horizontal="center" vertical="center"/>
    </xf>
    <xf numFmtId="0" fontId="0" fillId="36" borderId="22" xfId="0" applyFill="1" applyBorder="1" applyAlignment="1">
      <alignment horizontal="center" vertical="center"/>
    </xf>
    <xf numFmtId="0" fontId="0" fillId="36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2" fillId="22" borderId="2" xfId="0" applyFont="1" applyFill="1" applyBorder="1" applyAlignment="1">
      <alignment horizontal="center" vertical="center" wrapText="1"/>
    </xf>
    <xf numFmtId="0" fontId="0" fillId="36" borderId="4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 wrapText="1"/>
    </xf>
    <xf numFmtId="0" fontId="0" fillId="2" borderId="53" xfId="0" applyFill="1" applyBorder="1" applyAlignment="1">
      <alignment horizontal="center" vertical="center" wrapText="1"/>
    </xf>
    <xf numFmtId="0" fontId="0" fillId="2" borderId="2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0" fillId="6" borderId="2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20" fillId="6" borderId="3" xfId="0" applyNumberFormat="1" applyFont="1" applyFill="1" applyBorder="1" applyAlignment="1">
      <alignment horizontal="center" vertical="center"/>
    </xf>
    <xf numFmtId="0" fontId="20" fillId="6" borderId="4" xfId="0" applyFont="1" applyFill="1" applyBorder="1" applyAlignment="1">
      <alignment horizontal="center" vertical="center"/>
    </xf>
    <xf numFmtId="9" fontId="20" fillId="6" borderId="2" xfId="1" applyFont="1" applyFill="1" applyBorder="1" applyAlignment="1">
      <alignment horizontal="center" vertical="center"/>
    </xf>
    <xf numFmtId="0" fontId="20" fillId="6" borderId="28" xfId="0" applyFont="1" applyFill="1" applyBorder="1" applyAlignment="1">
      <alignment horizontal="center" vertical="center"/>
    </xf>
    <xf numFmtId="0" fontId="20" fillId="6" borderId="78" xfId="0" applyFont="1" applyFill="1" applyBorder="1" applyAlignment="1">
      <alignment horizontal="center" vertical="center"/>
    </xf>
    <xf numFmtId="0" fontId="20" fillId="6" borderId="79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 wrapText="1"/>
    </xf>
    <xf numFmtId="0" fontId="20" fillId="2" borderId="3" xfId="0" applyFont="1" applyFill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0" fontId="20" fillId="6" borderId="3" xfId="0" applyFont="1" applyFill="1" applyBorder="1" applyAlignment="1">
      <alignment horizontal="center" vertical="center"/>
    </xf>
    <xf numFmtId="9" fontId="20" fillId="0" borderId="2" xfId="1" applyFont="1" applyBorder="1" applyAlignment="1">
      <alignment horizontal="center" vertical="center"/>
    </xf>
    <xf numFmtId="3" fontId="20" fillId="0" borderId="1" xfId="0" applyNumberFormat="1" applyFont="1" applyBorder="1" applyAlignment="1">
      <alignment horizontal="center" vertical="center"/>
    </xf>
    <xf numFmtId="3" fontId="20" fillId="0" borderId="2" xfId="0" applyNumberFormat="1" applyFont="1" applyBorder="1" applyAlignment="1">
      <alignment horizontal="center" vertical="center"/>
    </xf>
    <xf numFmtId="3" fontId="20" fillId="0" borderId="3" xfId="0" applyNumberFormat="1" applyFont="1" applyBorder="1" applyAlignment="1">
      <alignment horizontal="center" vertical="center"/>
    </xf>
    <xf numFmtId="164" fontId="20" fillId="0" borderId="2" xfId="1" applyNumberFormat="1" applyFont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7" fillId="22" borderId="2" xfId="0" applyFont="1" applyFill="1" applyBorder="1" applyAlignment="1">
      <alignment horizontal="center" vertical="center" wrapText="1"/>
    </xf>
    <xf numFmtId="0" fontId="7" fillId="36" borderId="4" xfId="0" applyFont="1" applyFill="1" applyBorder="1" applyAlignment="1">
      <alignment horizontal="center" vertical="center" wrapText="1"/>
    </xf>
    <xf numFmtId="0" fontId="7" fillId="36" borderId="2" xfId="0" applyFont="1" applyFill="1" applyBorder="1" applyAlignment="1">
      <alignment horizontal="center" vertical="center"/>
    </xf>
    <xf numFmtId="0" fontId="2" fillId="36" borderId="1" xfId="0" applyFont="1" applyFill="1" applyBorder="1" applyAlignment="1">
      <alignment horizontal="center" vertical="center"/>
    </xf>
    <xf numFmtId="0" fontId="2" fillId="36" borderId="3" xfId="0" applyFont="1" applyFill="1" applyBorder="1" applyAlignment="1">
      <alignment horizontal="center" vertical="center"/>
    </xf>
    <xf numFmtId="0" fontId="2" fillId="36" borderId="4" xfId="0" applyFont="1" applyFill="1" applyBorder="1" applyAlignment="1">
      <alignment horizontal="center" vertical="center"/>
    </xf>
    <xf numFmtId="0" fontId="2" fillId="36" borderId="2" xfId="0" applyFont="1" applyFill="1" applyBorder="1" applyAlignment="1">
      <alignment horizontal="center" vertical="center"/>
    </xf>
    <xf numFmtId="0" fontId="20" fillId="36" borderId="2" xfId="0" applyFont="1" applyFill="1" applyBorder="1" applyAlignment="1">
      <alignment horizontal="center" vertical="center" wrapText="1"/>
    </xf>
    <xf numFmtId="0" fontId="20" fillId="36" borderId="2" xfId="0" applyFont="1" applyFill="1" applyBorder="1" applyAlignment="1">
      <alignment horizontal="center" vertical="center"/>
    </xf>
    <xf numFmtId="3" fontId="20" fillId="36" borderId="2" xfId="0" applyNumberFormat="1" applyFont="1" applyFill="1" applyBorder="1" applyAlignment="1">
      <alignment horizontal="center" vertical="center" wrapText="1"/>
    </xf>
    <xf numFmtId="3" fontId="20" fillId="36" borderId="2" xfId="0" applyNumberFormat="1" applyFont="1" applyFill="1" applyBorder="1" applyAlignment="1">
      <alignment horizontal="center" vertical="center"/>
    </xf>
    <xf numFmtId="9" fontId="20" fillId="36" borderId="2" xfId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 wrapText="1"/>
    </xf>
    <xf numFmtId="3" fontId="20" fillId="9" borderId="1" xfId="0" applyNumberFormat="1" applyFont="1" applyFill="1" applyBorder="1" applyAlignment="1">
      <alignment horizontal="center" vertical="center" wrapText="1"/>
    </xf>
    <xf numFmtId="3" fontId="20" fillId="9" borderId="3" xfId="0" applyNumberFormat="1" applyFont="1" applyFill="1" applyBorder="1" applyAlignment="1">
      <alignment horizontal="center" vertical="center" wrapText="1"/>
    </xf>
    <xf numFmtId="3" fontId="20" fillId="9" borderId="4" xfId="0" applyNumberFormat="1" applyFont="1" applyFill="1" applyBorder="1" applyAlignment="1">
      <alignment horizontal="center" vertical="center" wrapText="1"/>
    </xf>
    <xf numFmtId="3" fontId="20" fillId="9" borderId="2" xfId="0" applyNumberFormat="1" applyFont="1" applyFill="1" applyBorder="1" applyAlignment="1">
      <alignment horizontal="center" vertical="center" wrapText="1"/>
    </xf>
    <xf numFmtId="9" fontId="20" fillId="9" borderId="2" xfId="1" applyFont="1" applyFill="1" applyBorder="1" applyAlignment="1">
      <alignment horizontal="center" vertical="center" wrapText="1"/>
    </xf>
    <xf numFmtId="3" fontId="20" fillId="0" borderId="2" xfId="0" applyNumberFormat="1" applyFont="1" applyBorder="1" applyAlignment="1">
      <alignment horizontal="center" vertical="center" wrapText="1"/>
    </xf>
    <xf numFmtId="9" fontId="20" fillId="0" borderId="2" xfId="1" applyFont="1" applyFill="1" applyBorder="1" applyAlignment="1">
      <alignment horizontal="center" vertical="center" wrapText="1"/>
    </xf>
    <xf numFmtId="0" fontId="20" fillId="22" borderId="2" xfId="0" applyFont="1" applyFill="1" applyBorder="1" applyAlignment="1">
      <alignment horizontal="center" vertical="center" wrapText="1"/>
    </xf>
    <xf numFmtId="3" fontId="20" fillId="22" borderId="2" xfId="0" applyNumberFormat="1" applyFont="1" applyFill="1" applyBorder="1" applyAlignment="1">
      <alignment horizontal="center" vertical="center" wrapText="1"/>
    </xf>
    <xf numFmtId="9" fontId="20" fillId="22" borderId="2" xfId="1" applyFont="1" applyFill="1" applyBorder="1" applyAlignment="1">
      <alignment horizontal="center" vertical="center" wrapText="1"/>
    </xf>
    <xf numFmtId="0" fontId="2" fillId="32" borderId="6" xfId="0" applyFont="1" applyFill="1" applyBorder="1" applyAlignment="1">
      <alignment horizontal="center" vertical="center"/>
    </xf>
    <xf numFmtId="0" fontId="2" fillId="32" borderId="10" xfId="0" applyFont="1" applyFill="1" applyBorder="1" applyAlignment="1">
      <alignment horizontal="center" vertical="center"/>
    </xf>
    <xf numFmtId="0" fontId="0" fillId="32" borderId="7" xfId="0" applyFill="1" applyBorder="1" applyAlignment="1">
      <alignment horizontal="center" vertical="center"/>
    </xf>
    <xf numFmtId="0" fontId="0" fillId="32" borderId="11" xfId="0" applyFill="1" applyBorder="1" applyAlignment="1">
      <alignment horizontal="center" vertical="center"/>
    </xf>
    <xf numFmtId="0" fontId="2" fillId="16" borderId="73" xfId="0" applyFont="1" applyFill="1" applyBorder="1" applyAlignment="1">
      <alignment horizontal="center" vertical="center"/>
    </xf>
    <xf numFmtId="0" fontId="2" fillId="16" borderId="10" xfId="0" applyFont="1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1" xfId="0" applyFill="1" applyBorder="1" applyAlignment="1">
      <alignment horizontal="center" vertical="center"/>
    </xf>
    <xf numFmtId="2" fontId="9" fillId="0" borderId="3" xfId="0" applyNumberFormat="1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</cellXfs>
  <cellStyles count="4">
    <cellStyle name="Moeda" xfId="3" builtinId="4"/>
    <cellStyle name="Normal" xfId="0" builtinId="0"/>
    <cellStyle name="Porcentagem" xfId="1" builtinId="5"/>
    <cellStyle name="Vírgula" xfId="2" builtinId="3"/>
  </cellStyles>
  <dxfs count="189">
    <dxf>
      <font>
        <color theme="0"/>
      </font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theme="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49998474074526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center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colors>
    <mruColors>
      <color rgb="FFFF5050"/>
      <color rgb="FFCCCCFF"/>
      <color rgb="FFFF9900"/>
      <color rgb="FF00CC00"/>
      <color rgb="FF3399FF"/>
      <color rgb="FFCC3300"/>
      <color rgb="FF0099FF"/>
      <color rgb="FFFF5757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microsoft.com/office/2022/10/relationships/richValueRel" Target="richData/richValueRel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53" Type="http://schemas.microsoft.com/office/2017/06/relationships/rdRichValueTypes" Target="richData/rdRichValueTypes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microsoft.com/office/2017/06/relationships/rdRichValue" Target="richData/rdrichvalue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eetMetadata" Target="metadata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[FC Controle_cws_.xlsx]Planilha4!Tabela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Planilha4!$B$3:$B$4</c:f>
              <c:strCache>
                <c:ptCount val="1"/>
                <c:pt idx="0">
                  <c:v>BELMIRO BRAGA 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Planilha4!$B$5:$B$7</c:f>
              <c:numCache>
                <c:formatCode>General</c:formatCode>
                <c:ptCount val="2"/>
                <c:pt idx="0">
                  <c:v>445.9</c:v>
                </c:pt>
                <c:pt idx="1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A-4333-BDFB-512119176E8A}"/>
            </c:ext>
          </c:extLst>
        </c:ser>
        <c:ser>
          <c:idx val="1"/>
          <c:order val="1"/>
          <c:tx>
            <c:strRef>
              <c:f>Planilha4!$C$3:$C$4</c:f>
              <c:strCache>
                <c:ptCount val="1"/>
                <c:pt idx="0">
                  <c:v>CAMPO ALEGRE II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Planilha4!$C$5:$C$7</c:f>
              <c:numCache>
                <c:formatCode>General</c:formatCode>
                <c:ptCount val="2"/>
                <c:pt idx="0">
                  <c:v>346.5</c:v>
                </c:pt>
                <c:pt idx="1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A-4333-BDFB-512119176E8A}"/>
            </c:ext>
          </c:extLst>
        </c:ser>
        <c:ser>
          <c:idx val="2"/>
          <c:order val="2"/>
          <c:tx>
            <c:strRef>
              <c:f>Planilha4!$D$3:$D$4</c:f>
              <c:strCache>
                <c:ptCount val="1"/>
                <c:pt idx="0">
                  <c:v>CAMPO ALEGRE III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Planilha4!$D$5:$D$7</c:f>
              <c:numCache>
                <c:formatCode>General</c:formatCode>
                <c:ptCount val="2"/>
                <c:pt idx="0">
                  <c:v>391.2</c:v>
                </c:pt>
                <c:pt idx="1">
                  <c:v>351.6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A-4333-BDFB-512119176E8A}"/>
            </c:ext>
          </c:extLst>
        </c:ser>
        <c:ser>
          <c:idx val="3"/>
          <c:order val="3"/>
          <c:tx>
            <c:strRef>
              <c:f>Planilha4!$E$3:$E$4</c:f>
              <c:strCache>
                <c:ptCount val="1"/>
                <c:pt idx="0">
                  <c:v>CAMPO BELO 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Planilha4!$E$5:$E$7</c:f>
              <c:numCache>
                <c:formatCode>General</c:formatCode>
                <c:ptCount val="2"/>
                <c:pt idx="0">
                  <c:v>208.3</c:v>
                </c:pt>
                <c:pt idx="1">
                  <c:v>147.4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FA-4333-BDFB-512119176E8A}"/>
            </c:ext>
          </c:extLst>
        </c:ser>
        <c:ser>
          <c:idx val="4"/>
          <c:order val="4"/>
          <c:tx>
            <c:strRef>
              <c:f>Planilha4!$F$3:$F$4</c:f>
              <c:strCache>
                <c:ptCount val="1"/>
                <c:pt idx="0">
                  <c:v>CAMPO BELO II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Planilha4!$F$5:$F$7</c:f>
              <c:numCache>
                <c:formatCode>General</c:formatCode>
                <c:ptCount val="2"/>
                <c:pt idx="0">
                  <c:v>342.7</c:v>
                </c:pt>
                <c:pt idx="1">
                  <c:v>245.8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FA-4333-BDFB-512119176E8A}"/>
            </c:ext>
          </c:extLst>
        </c:ser>
        <c:ser>
          <c:idx val="5"/>
          <c:order val="5"/>
          <c:tx>
            <c:strRef>
              <c:f>Planilha4!$G$3:$G$4</c:f>
              <c:strCache>
                <c:ptCount val="1"/>
                <c:pt idx="0">
                  <c:v>CORONEL ABÍLIO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Planilha4!$G$5:$G$7</c:f>
              <c:numCache>
                <c:formatCode>General</c:formatCode>
                <c:ptCount val="2"/>
                <c:pt idx="0">
                  <c:v>219.39999999999998</c:v>
                </c:pt>
                <c:pt idx="1">
                  <c:v>152.4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FA-4333-BDFB-512119176E8A}"/>
            </c:ext>
          </c:extLst>
        </c:ser>
        <c:ser>
          <c:idx val="6"/>
          <c:order val="6"/>
          <c:tx>
            <c:strRef>
              <c:f>Planilha4!$H$3:$H$4</c:f>
              <c:strCache>
                <c:ptCount val="1"/>
                <c:pt idx="0">
                  <c:v>LOTE 12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Planilha4!$H$5:$H$7</c:f>
              <c:numCache>
                <c:formatCode>General</c:formatCode>
                <c:ptCount val="2"/>
                <c:pt idx="0">
                  <c:v>357.3</c:v>
                </c:pt>
                <c:pt idx="1">
                  <c:v>279.89999999999998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FA-4333-BDFB-512119176E8A}"/>
            </c:ext>
          </c:extLst>
        </c:ser>
        <c:ser>
          <c:idx val="7"/>
          <c:order val="7"/>
          <c:tx>
            <c:strRef>
              <c:f>Planilha4!$I$3:$I$4</c:f>
              <c:strCache>
                <c:ptCount val="1"/>
                <c:pt idx="0">
                  <c:v>LOTE 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Planilha4!$I$5:$I$7</c:f>
              <c:numCache>
                <c:formatCode>General</c:formatCode>
                <c:ptCount val="2"/>
                <c:pt idx="0">
                  <c:v>258.3</c:v>
                </c:pt>
                <c:pt idx="1">
                  <c:v>208.9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FA-4333-BDFB-512119176E8A}"/>
            </c:ext>
          </c:extLst>
        </c:ser>
        <c:ser>
          <c:idx val="8"/>
          <c:order val="8"/>
          <c:tx>
            <c:strRef>
              <c:f>Planilha4!$J$3:$J$4</c:f>
              <c:strCache>
                <c:ptCount val="1"/>
                <c:pt idx="0">
                  <c:v>LOTE 14 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Planilha4!$J$5:$J$7</c:f>
              <c:numCache>
                <c:formatCode>General</c:formatCode>
                <c:ptCount val="2"/>
                <c:pt idx="0">
                  <c:v>99</c:v>
                </c:pt>
                <c:pt idx="1">
                  <c:v>75.5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FA-4333-BDFB-512119176E8A}"/>
            </c:ext>
          </c:extLst>
        </c:ser>
        <c:ser>
          <c:idx val="9"/>
          <c:order val="9"/>
          <c:tx>
            <c:strRef>
              <c:f>Planilha4!$K$3:$K$4</c:f>
              <c:strCache>
                <c:ptCount val="1"/>
                <c:pt idx="0">
                  <c:v>OLARIA CX1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Planilha4!$K$5:$K$7</c:f>
              <c:numCache>
                <c:formatCode>General</c:formatCode>
                <c:ptCount val="2"/>
                <c:pt idx="1">
                  <c:v>123.8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FA-4333-BDFB-512119176E8A}"/>
            </c:ext>
          </c:extLst>
        </c:ser>
        <c:ser>
          <c:idx val="10"/>
          <c:order val="10"/>
          <c:tx>
            <c:strRef>
              <c:f>Planilha4!$L$3:$L$4</c:f>
              <c:strCache>
                <c:ptCount val="1"/>
                <c:pt idx="0">
                  <c:v>OLARIA CX2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Planilha4!$L$5:$L$7</c:f>
              <c:numCache>
                <c:formatCode>General</c:formatCode>
                <c:ptCount val="2"/>
                <c:pt idx="0">
                  <c:v>95.1</c:v>
                </c:pt>
                <c:pt idx="1">
                  <c:v>85.7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FA-4333-BDFB-512119176E8A}"/>
            </c:ext>
          </c:extLst>
        </c:ser>
        <c:ser>
          <c:idx val="11"/>
          <c:order val="11"/>
          <c:tx>
            <c:strRef>
              <c:f>Planilha4!$M$3:$M$4</c:f>
              <c:strCache>
                <c:ptCount val="1"/>
                <c:pt idx="0">
                  <c:v>PEQUERI 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Planilha4!$M$5:$M$7</c:f>
              <c:numCache>
                <c:formatCode>General</c:formatCode>
                <c:ptCount val="2"/>
                <c:pt idx="0">
                  <c:v>38.5</c:v>
                </c:pt>
                <c:pt idx="1">
                  <c:v>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FA-4333-BDFB-512119176E8A}"/>
            </c:ext>
          </c:extLst>
        </c:ser>
        <c:ser>
          <c:idx val="12"/>
          <c:order val="12"/>
          <c:tx>
            <c:strRef>
              <c:f>Planilha4!$N$3:$N$4</c:f>
              <c:strCache>
                <c:ptCount val="1"/>
                <c:pt idx="0">
                  <c:v>SANTA CECILIA 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Planilha4!$N$5:$N$7</c:f>
              <c:numCache>
                <c:formatCode>General</c:formatCode>
                <c:ptCount val="2"/>
                <c:pt idx="0">
                  <c:v>0</c:v>
                </c:pt>
                <c:pt idx="1">
                  <c:v>365.1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FA-4333-BDFB-512119176E8A}"/>
            </c:ext>
          </c:extLst>
        </c:ser>
        <c:ser>
          <c:idx val="13"/>
          <c:order val="13"/>
          <c:tx>
            <c:strRef>
              <c:f>Planilha4!$O$3:$O$4</c:f>
              <c:strCache>
                <c:ptCount val="1"/>
                <c:pt idx="0">
                  <c:v>SANTA CECILIA II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Planilha4!$O$5:$O$7</c:f>
              <c:numCache>
                <c:formatCode>General</c:formatCode>
                <c:ptCount val="2"/>
                <c:pt idx="0">
                  <c:v>0</c:v>
                </c:pt>
                <c:pt idx="1">
                  <c:v>348.2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FA-4333-BDFB-512119176E8A}"/>
            </c:ext>
          </c:extLst>
        </c:ser>
        <c:ser>
          <c:idx val="14"/>
          <c:order val="14"/>
          <c:tx>
            <c:strRef>
              <c:f>Planilha4!$P$3:$P$4</c:f>
              <c:strCache>
                <c:ptCount val="1"/>
                <c:pt idx="0">
                  <c:v>SANTA CECILIA III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Planilha4!$P$5:$P$7</c:f>
              <c:numCache>
                <c:formatCode>General</c:formatCode>
                <c:ptCount val="2"/>
                <c:pt idx="0">
                  <c:v>0</c:v>
                </c:pt>
                <c:pt idx="1">
                  <c:v>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FA-4333-BDFB-512119176E8A}"/>
            </c:ext>
          </c:extLst>
        </c:ser>
        <c:ser>
          <c:idx val="15"/>
          <c:order val="15"/>
          <c:tx>
            <c:strRef>
              <c:f>Planilha4!$Q$3:$Q$4</c:f>
              <c:strCache>
                <c:ptCount val="1"/>
                <c:pt idx="0">
                  <c:v>SANTA LUIZA 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Planilha4!$Q$5:$Q$7</c:f>
              <c:numCache>
                <c:formatCode>General</c:formatCode>
                <c:ptCount val="2"/>
                <c:pt idx="0">
                  <c:v>438.9</c:v>
                </c:pt>
                <c:pt idx="1">
                  <c:v>365.8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FA-4333-BDFB-512119176E8A}"/>
            </c:ext>
          </c:extLst>
        </c:ser>
        <c:ser>
          <c:idx val="16"/>
          <c:order val="16"/>
          <c:tx>
            <c:strRef>
              <c:f>Planilha4!$R$3:$R$4</c:f>
              <c:strCache>
                <c:ptCount val="1"/>
                <c:pt idx="0">
                  <c:v>SÃO FRANCISCO 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Planilha4!$R$5:$R$7</c:f>
              <c:numCache>
                <c:formatCode>General</c:formatCode>
                <c:ptCount val="2"/>
                <c:pt idx="0">
                  <c:v>521.20000000000005</c:v>
                </c:pt>
                <c:pt idx="1">
                  <c:v>390.6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FA-4333-BDFB-512119176E8A}"/>
            </c:ext>
          </c:extLst>
        </c:ser>
        <c:ser>
          <c:idx val="17"/>
          <c:order val="17"/>
          <c:tx>
            <c:strRef>
              <c:f>Planilha4!$S$3:$S$4</c:f>
              <c:strCache>
                <c:ptCount val="1"/>
                <c:pt idx="0">
                  <c:v>SÃO FRANCISCO II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Planilha4!$S$5:$S$7</c:f>
              <c:numCache>
                <c:formatCode>General</c:formatCode>
                <c:ptCount val="2"/>
                <c:pt idx="0">
                  <c:v>386.2</c:v>
                </c:pt>
                <c:pt idx="1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FA-4333-BDFB-512119176E8A}"/>
            </c:ext>
          </c:extLst>
        </c:ser>
        <c:ser>
          <c:idx val="18"/>
          <c:order val="18"/>
          <c:tx>
            <c:strRef>
              <c:f>Planilha4!$T$3:$T$4</c:f>
              <c:strCache>
                <c:ptCount val="1"/>
                <c:pt idx="0">
                  <c:v>SÃO JOSÉ 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Planilha4!$T$5:$T$7</c:f>
              <c:numCache>
                <c:formatCode>General</c:formatCode>
                <c:ptCount val="2"/>
                <c:pt idx="0">
                  <c:v>418.7</c:v>
                </c:pt>
                <c:pt idx="1">
                  <c:v>334.9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FA-4333-BDFB-512119176E8A}"/>
            </c:ext>
          </c:extLst>
        </c:ser>
        <c:ser>
          <c:idx val="19"/>
          <c:order val="19"/>
          <c:tx>
            <c:strRef>
              <c:f>Planilha4!$U$3:$U$4</c:f>
              <c:strCache>
                <c:ptCount val="1"/>
                <c:pt idx="0">
                  <c:v>SÃO JOSÉ II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Planilha4!$U$5:$U$7</c:f>
              <c:numCache>
                <c:formatCode>General</c:formatCode>
                <c:ptCount val="2"/>
                <c:pt idx="0">
                  <c:v>352.5</c:v>
                </c:pt>
                <c:pt idx="1">
                  <c:v>262.3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FA-4333-BDFB-512119176E8A}"/>
            </c:ext>
          </c:extLst>
        </c:ser>
        <c:ser>
          <c:idx val="20"/>
          <c:order val="20"/>
          <c:tx>
            <c:strRef>
              <c:f>Planilha4!$V$3:$V$4</c:f>
              <c:strCache>
                <c:ptCount val="1"/>
                <c:pt idx="0">
                  <c:v>SÃO JOSÉ III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Planilha4!$V$5:$V$7</c:f>
              <c:numCache>
                <c:formatCode>General</c:formatCode>
                <c:ptCount val="2"/>
                <c:pt idx="0">
                  <c:v>1340</c:v>
                </c:pt>
                <c:pt idx="1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FA-4333-BDFB-512119176E8A}"/>
            </c:ext>
          </c:extLst>
        </c:ser>
        <c:ser>
          <c:idx val="21"/>
          <c:order val="21"/>
          <c:tx>
            <c:strRef>
              <c:f>Planilha4!$W$3:$W$4</c:f>
              <c:strCache>
                <c:ptCount val="1"/>
                <c:pt idx="0">
                  <c:v>TRIUNFO CX1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Planilha4!$W$5:$W$7</c:f>
              <c:numCache>
                <c:formatCode>General</c:formatCode>
                <c:ptCount val="2"/>
                <c:pt idx="0">
                  <c:v>12.8</c:v>
                </c:pt>
                <c:pt idx="1">
                  <c:v>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FA-4333-BDFB-512119176E8A}"/>
            </c:ext>
          </c:extLst>
        </c:ser>
        <c:ser>
          <c:idx val="22"/>
          <c:order val="22"/>
          <c:tx>
            <c:strRef>
              <c:f>Planilha4!$X$3:$X$4</c:f>
              <c:strCache>
                <c:ptCount val="1"/>
                <c:pt idx="0">
                  <c:v>TRIUNFO CX2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Planilha4!$X$5:$X$7</c:f>
              <c:numCache>
                <c:formatCode>General</c:formatCode>
                <c:ptCount val="2"/>
                <c:pt idx="0">
                  <c:v>15.4</c:v>
                </c:pt>
                <c:pt idx="1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FA-4333-BDFB-512119176E8A}"/>
            </c:ext>
          </c:extLst>
        </c:ser>
        <c:ser>
          <c:idx val="23"/>
          <c:order val="23"/>
          <c:tx>
            <c:strRef>
              <c:f>Planilha4!$Y$3:$Y$4</c:f>
              <c:strCache>
                <c:ptCount val="1"/>
                <c:pt idx="0">
                  <c:v>VARGEM LINDA 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Planilha4!$Y$5:$Y$7</c:f>
              <c:numCache>
                <c:formatCode>General</c:formatCode>
                <c:ptCount val="2"/>
                <c:pt idx="0">
                  <c:v>304.3</c:v>
                </c:pt>
                <c:pt idx="1">
                  <c:v>295.39999999999998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FA-4333-BDFB-512119176E8A}"/>
            </c:ext>
          </c:extLst>
        </c:ser>
        <c:ser>
          <c:idx val="24"/>
          <c:order val="24"/>
          <c:tx>
            <c:strRef>
              <c:f>Planilha4!$Z$3:$Z$4</c:f>
              <c:strCache>
                <c:ptCount val="1"/>
                <c:pt idx="0">
                  <c:v>VARGEM LINDA II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Planilha4!$Z$5:$Z$7</c:f>
              <c:numCache>
                <c:formatCode>General</c:formatCode>
                <c:ptCount val="2"/>
                <c:pt idx="0">
                  <c:v>387.9</c:v>
                </c:pt>
                <c:pt idx="1">
                  <c:v>376.8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FA-4333-BDFB-512119176E8A}"/>
            </c:ext>
          </c:extLst>
        </c:ser>
        <c:ser>
          <c:idx val="25"/>
          <c:order val="25"/>
          <c:tx>
            <c:strRef>
              <c:f>Planilha4!$AA$3:$AA$4</c:f>
              <c:strCache>
                <c:ptCount val="1"/>
                <c:pt idx="0">
                  <c:v>VARGEM LINDA III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Planilha4!$AA$5:$AA$7</c:f>
              <c:numCache>
                <c:formatCode>General</c:formatCode>
                <c:ptCount val="2"/>
                <c:pt idx="0">
                  <c:v>151.80000000000001</c:v>
                </c:pt>
                <c:pt idx="1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FA-4333-BDFB-512119176E8A}"/>
            </c:ext>
          </c:extLst>
        </c:ser>
        <c:ser>
          <c:idx val="26"/>
          <c:order val="26"/>
          <c:tx>
            <c:strRef>
              <c:f>Planilha4!$AB$3:$AB$4</c:f>
              <c:strCache>
                <c:ptCount val="1"/>
                <c:pt idx="0">
                  <c:v>01/02/2024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Planilha4!$A$5:$A$7</c:f>
              <c:strCache>
                <c:ptCount val="2"/>
                <c:pt idx="0">
                  <c:v>01/01/2024</c:v>
                </c:pt>
                <c:pt idx="1">
                  <c:v>01/02/2024</c:v>
                </c:pt>
              </c:strCache>
            </c:strRef>
          </c:cat>
          <c:val>
            <c:numRef>
              <c:f>Planilha4!$AB$5:$AB$7</c:f>
              <c:numCache>
                <c:formatCode>General</c:formatCode>
                <c:ptCount val="2"/>
                <c:pt idx="0">
                  <c:v>170.5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FA-4333-BDFB-512119176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40072"/>
        <c:axId val="1313242120"/>
      </c:lineChart>
      <c:catAx>
        <c:axId val="1313240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3242120"/>
        <c:crosses val="autoZero"/>
        <c:auto val="1"/>
        <c:lblAlgn val="ctr"/>
        <c:lblOffset val="100"/>
        <c:noMultiLvlLbl val="0"/>
      </c:catAx>
      <c:valAx>
        <c:axId val="131324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324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</a:t>
            </a:r>
            <a:r>
              <a:rPr lang="pt-BR" baseline="0"/>
              <a:t> USINAS BIOGÁS 2024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5721404113825874"/>
          <c:y val="0.17947819314641744"/>
          <c:w val="0.7386622302743131"/>
          <c:h val="0.452735975176000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'OESTE BIOGAS'!$C$12</c:f>
              <c:strCache>
                <c:ptCount val="1"/>
                <c:pt idx="0">
                  <c:v>UTB DIRCE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'OESTE BIOGAS'!$E$11:$P$11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'OESTE BIOGAS'!$E$12:$P$12</c:f>
              <c:numCache>
                <c:formatCode>#,##0</c:formatCode>
                <c:ptCount val="12"/>
                <c:pt idx="0">
                  <c:v>9840</c:v>
                </c:pt>
                <c:pt idx="1">
                  <c:v>13572</c:v>
                </c:pt>
                <c:pt idx="2">
                  <c:v>13428</c:v>
                </c:pt>
                <c:pt idx="3">
                  <c:v>7185</c:v>
                </c:pt>
                <c:pt idx="4">
                  <c:v>15718</c:v>
                </c:pt>
                <c:pt idx="5">
                  <c:v>13879</c:v>
                </c:pt>
                <c:pt idx="6">
                  <c:v>14534</c:v>
                </c:pt>
                <c:pt idx="7">
                  <c:v>10231</c:v>
                </c:pt>
                <c:pt idx="8">
                  <c:v>12849</c:v>
                </c:pt>
                <c:pt idx="9">
                  <c:v>247</c:v>
                </c:pt>
                <c:pt idx="10">
                  <c:v>8638</c:v>
                </c:pt>
                <c:pt idx="11">
                  <c:v>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B-4430-8859-23A620262221}"/>
            </c:ext>
          </c:extLst>
        </c:ser>
        <c:ser>
          <c:idx val="1"/>
          <c:order val="1"/>
          <c:tx>
            <c:strRef>
              <c:f>'OESTE BIOGAS'!$C$13</c:f>
              <c:strCache>
                <c:ptCount val="1"/>
                <c:pt idx="0">
                  <c:v>UTB SIRLEIA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'OESTE BIOGAS'!$E$11:$P$11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'OESTE BIOGAS'!$E$13:$P$13</c:f>
              <c:numCache>
                <c:formatCode>#,##0</c:formatCode>
                <c:ptCount val="12"/>
                <c:pt idx="0">
                  <c:v>9343</c:v>
                </c:pt>
                <c:pt idx="1">
                  <c:v>21520</c:v>
                </c:pt>
                <c:pt idx="2">
                  <c:v>16829</c:v>
                </c:pt>
                <c:pt idx="3">
                  <c:v>5403</c:v>
                </c:pt>
                <c:pt idx="4">
                  <c:v>5036</c:v>
                </c:pt>
                <c:pt idx="5">
                  <c:v>29437</c:v>
                </c:pt>
                <c:pt idx="6">
                  <c:v>20201</c:v>
                </c:pt>
                <c:pt idx="7">
                  <c:v>3450</c:v>
                </c:pt>
                <c:pt idx="8">
                  <c:v>3493</c:v>
                </c:pt>
                <c:pt idx="9">
                  <c:v>2826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B-4430-8859-23A620262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7752911"/>
        <c:axId val="827744751"/>
      </c:barChart>
      <c:lineChart>
        <c:grouping val="standard"/>
        <c:varyColors val="0"/>
        <c:ser>
          <c:idx val="2"/>
          <c:order val="2"/>
          <c:tx>
            <c:strRef>
              <c:f>'OESTE BIOGAS'!$C$14</c:f>
              <c:strCache>
                <c:ptCount val="1"/>
                <c:pt idx="0">
                  <c:v>TOTAL  ACUMULADO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'OESTE BIOGAS'!$E$11:$P$11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'OESTE BIOGAS'!$E$14:$P$14</c:f>
              <c:numCache>
                <c:formatCode>#,##0</c:formatCode>
                <c:ptCount val="12"/>
                <c:pt idx="0">
                  <c:v>19183</c:v>
                </c:pt>
                <c:pt idx="1">
                  <c:v>35092</c:v>
                </c:pt>
                <c:pt idx="2">
                  <c:v>30257</c:v>
                </c:pt>
                <c:pt idx="3">
                  <c:v>42845</c:v>
                </c:pt>
                <c:pt idx="4">
                  <c:v>63599</c:v>
                </c:pt>
                <c:pt idx="5">
                  <c:v>106915</c:v>
                </c:pt>
                <c:pt idx="6">
                  <c:v>141650</c:v>
                </c:pt>
                <c:pt idx="7">
                  <c:v>155331</c:v>
                </c:pt>
                <c:pt idx="8">
                  <c:v>171673</c:v>
                </c:pt>
                <c:pt idx="9">
                  <c:v>174746</c:v>
                </c:pt>
                <c:pt idx="10">
                  <c:v>183384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B-4430-8859-23A620262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483215"/>
        <c:axId val="817484655"/>
      </c:lineChart>
      <c:dateAx>
        <c:axId val="827752911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extTo"/>
        <c:crossAx val="827744751"/>
        <c:crosses val="autoZero"/>
        <c:auto val="1"/>
        <c:lblOffset val="100"/>
        <c:baseTimeUnit val="months"/>
      </c:dateAx>
      <c:valAx>
        <c:axId val="82774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Geração kWh</a:t>
                </a:r>
              </a:p>
            </c:rich>
          </c:tx>
          <c:layout>
            <c:manualLayout>
              <c:xMode val="edge"/>
              <c:yMode val="edge"/>
              <c:x val="8.3455267657703322E-2"/>
              <c:y val="0.25167936075747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#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7752911"/>
        <c:crosses val="autoZero"/>
        <c:crossBetween val="between"/>
      </c:valAx>
      <c:valAx>
        <c:axId val="81748465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b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Geração</a:t>
                </a:r>
                <a:r>
                  <a:rPr lang="pt-BR" baseline="0"/>
                  <a:t> Acumulada kWh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96010701925533648"/>
              <c:y val="0.181585902813550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#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17483215"/>
        <c:crosses val="max"/>
        <c:crossBetween val="between"/>
        <c:majorUnit val="50000"/>
      </c:valAx>
      <c:dateAx>
        <c:axId val="817483215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817484655"/>
        <c:crosses val="autoZero"/>
        <c:auto val="1"/>
        <c:lblOffset val="100"/>
        <c:baseTimeUnit val="months"/>
      </c:date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17132359389046E-2"/>
          <c:y val="2.946428157138898E-2"/>
          <c:w val="0.8941696767640066"/>
          <c:h val="0.731438240798897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'Geração - 01_2025'!$F$89</c:f>
              <c:strCache>
                <c:ptCount val="1"/>
                <c:pt idx="0">
                  <c:v>P</c:v>
                </c:pt>
              </c:strCache>
            </c:strRef>
          </c:tx>
          <c:spPr>
            <a:solidFill>
              <a:srgbClr val="3399FF">
                <a:alpha val="50196"/>
              </a:srgbClr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numRef>
              <c:f>'Geração - 01_2025'!$G$88:$R$88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- 01_2025'!$G$89:$R$89</c:f>
              <c:numCache>
                <c:formatCode>#,##0</c:formatCode>
                <c:ptCount val="12"/>
                <c:pt idx="0">
                  <c:v>306617.44944000005</c:v>
                </c:pt>
                <c:pt idx="1">
                  <c:v>306893.83588799997</c:v>
                </c:pt>
                <c:pt idx="2">
                  <c:v>303501.46272000001</c:v>
                </c:pt>
                <c:pt idx="3">
                  <c:v>279151.50567520002</c:v>
                </c:pt>
                <c:pt idx="4">
                  <c:v>271422.05348799995</c:v>
                </c:pt>
                <c:pt idx="5">
                  <c:v>242662.66535360005</c:v>
                </c:pt>
                <c:pt idx="6">
                  <c:v>258467.96496479996</c:v>
                </c:pt>
                <c:pt idx="7">
                  <c:v>316919.69779519999</c:v>
                </c:pt>
                <c:pt idx="8">
                  <c:v>290405.70070559997</c:v>
                </c:pt>
                <c:pt idx="9">
                  <c:v>295139.5905263999</c:v>
                </c:pt>
                <c:pt idx="10">
                  <c:v>270788.89444160002</c:v>
                </c:pt>
                <c:pt idx="11">
                  <c:v>320186.08874719992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2-4389-95E3-5A23CB3D7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587599"/>
        <c:axId val="269145871"/>
      </c:barChart>
      <c:lineChart>
        <c:grouping val="standard"/>
        <c:varyColors val="0"/>
        <c:ser>
          <c:idx val="1"/>
          <c:order val="1"/>
          <c:tx>
            <c:strRef>
              <c:f>'Geração - 01_2025'!$F$90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34"/>
            <c:spPr>
              <a:solidFill>
                <a:srgbClr val="00CC00"/>
              </a:solidFill>
              <a:ln w="25400">
                <a:noFill/>
              </a:ln>
              <a:effectLst/>
            </c:spPr>
          </c:marker>
          <c:cat>
            <c:numRef>
              <c:f>'Geração - 01_2025'!$G$88:$R$88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- 01_2025'!$G$90:$R$90</c:f>
              <c:numCache>
                <c:formatCode>#,##0</c:formatCode>
                <c:ptCount val="12"/>
                <c:pt idx="0">
                  <c:v>289458.30000000005</c:v>
                </c:pt>
                <c:pt idx="1">
                  <c:v>312070.11000000004</c:v>
                </c:pt>
                <c:pt idx="2">
                  <c:v>289630.92000000004</c:v>
                </c:pt>
                <c:pt idx="3">
                  <c:v>41366.5</c:v>
                </c:pt>
                <c:pt idx="4">
                  <c:v>40504.600000000006</c:v>
                </c:pt>
                <c:pt idx="5">
                  <c:v>35944.199999999997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2-4389-95E3-5A23CB3D7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87599"/>
        <c:axId val="269145871"/>
      </c:lineChart>
      <c:lineChart>
        <c:grouping val="standard"/>
        <c:varyColors val="0"/>
        <c:ser>
          <c:idx val="2"/>
          <c:order val="2"/>
          <c:tx>
            <c:strRef>
              <c:f>'Geração - 01_2025'!$F$91</c:f>
              <c:strCache>
                <c:ptCount val="1"/>
                <c:pt idx="0">
                  <c:v>R/P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99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'Geração - 01_2025'!$G$88:$R$88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- 01_2025'!$G$91:$R$91</c:f>
              <c:numCache>
                <c:formatCode>0%</c:formatCode>
                <c:ptCount val="12"/>
                <c:pt idx="0">
                  <c:v>0.94403727031407003</c:v>
                </c:pt>
                <c:pt idx="1">
                  <c:v>1.0168666604105048</c:v>
                </c:pt>
                <c:pt idx="2">
                  <c:v>0.95429826731083511</c:v>
                </c:pt>
                <c:pt idx="3">
                  <c:v>0.14818655518244273</c:v>
                </c:pt>
                <c:pt idx="4">
                  <c:v>0.14923105723901978</c:v>
                </c:pt>
                <c:pt idx="5">
                  <c:v>0.14812414570499871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02-4389-95E3-5A23CB3D7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970047"/>
        <c:axId val="430245743"/>
      </c:lineChart>
      <c:dateAx>
        <c:axId val="269587599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extTo"/>
        <c:crossAx val="269145871"/>
        <c:crosses val="autoZero"/>
        <c:auto val="1"/>
        <c:lblOffset val="100"/>
        <c:baseTimeUnit val="months"/>
      </c:dateAx>
      <c:valAx>
        <c:axId val="26914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4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9587599"/>
        <c:crosses val="autoZero"/>
        <c:crossBetween val="between"/>
      </c:valAx>
      <c:valAx>
        <c:axId val="4302457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6970047"/>
        <c:crosses val="max"/>
        <c:crossBetween val="between"/>
      </c:valAx>
      <c:dateAx>
        <c:axId val="446970047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30245743"/>
        <c:crossesAt val="10"/>
        <c:auto val="1"/>
        <c:lblOffset val="100"/>
        <c:baseTimeUnit val="months"/>
      </c:date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alpha val="99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1">
                <a:solidFill>
                  <a:schemeClr val="bg1">
                    <a:lumMod val="50000"/>
                  </a:schemeClr>
                </a:solidFill>
              </a:rPr>
              <a:t>Geração</a:t>
            </a:r>
            <a:r>
              <a:rPr lang="pt-BR" sz="1600" b="1" baseline="0">
                <a:solidFill>
                  <a:schemeClr val="bg1">
                    <a:lumMod val="50000"/>
                  </a:schemeClr>
                </a:solidFill>
              </a:rPr>
              <a:t> mensal - Previsto X Realizado </a:t>
            </a:r>
            <a:endParaRPr lang="pt-BR" sz="1600" b="1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0812464314641952"/>
          <c:y val="4.74160233992198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270556306878381"/>
          <c:y val="1.9122843483683233E-2"/>
          <c:w val="0.8221284628628841"/>
          <c:h val="0.533527544981810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'Geração - 01_2025'!$F$89</c:f>
              <c:strCache>
                <c:ptCount val="1"/>
                <c:pt idx="0">
                  <c:v>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'Geração - 01_2025'!$G$88:$R$88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- 01_2025'!$G$89:$R$89</c:f>
              <c:numCache>
                <c:formatCode>#,##0</c:formatCode>
                <c:ptCount val="12"/>
                <c:pt idx="0">
                  <c:v>306617.44944000005</c:v>
                </c:pt>
                <c:pt idx="1">
                  <c:v>306893.83588799997</c:v>
                </c:pt>
                <c:pt idx="2">
                  <c:v>303501.46272000001</c:v>
                </c:pt>
                <c:pt idx="3">
                  <c:v>279151.50567520002</c:v>
                </c:pt>
                <c:pt idx="4">
                  <c:v>271422.05348799995</c:v>
                </c:pt>
                <c:pt idx="5">
                  <c:v>242662.66535360005</c:v>
                </c:pt>
                <c:pt idx="6">
                  <c:v>258467.96496479996</c:v>
                </c:pt>
                <c:pt idx="7">
                  <c:v>316919.69779519999</c:v>
                </c:pt>
                <c:pt idx="8">
                  <c:v>290405.70070559997</c:v>
                </c:pt>
                <c:pt idx="9">
                  <c:v>295139.5905263999</c:v>
                </c:pt>
                <c:pt idx="10">
                  <c:v>270788.89444160002</c:v>
                </c:pt>
                <c:pt idx="11">
                  <c:v>320186.08874719992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D-4118-8667-5FC5720EA02F}"/>
            </c:ext>
          </c:extLst>
        </c:ser>
        <c:ser>
          <c:idx val="1"/>
          <c:order val="1"/>
          <c:tx>
            <c:strRef>
              <c:f>'Geração - 01_2025'!$F$90</c:f>
              <c:strCache>
                <c:ptCount val="1"/>
                <c:pt idx="0">
                  <c:v>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'Geração - 01_2025'!$G$88:$R$88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- 01_2025'!$G$90:$R$90</c:f>
              <c:numCache>
                <c:formatCode>#,##0</c:formatCode>
                <c:ptCount val="12"/>
                <c:pt idx="0">
                  <c:v>289458.30000000005</c:v>
                </c:pt>
                <c:pt idx="1">
                  <c:v>312070.11000000004</c:v>
                </c:pt>
                <c:pt idx="2">
                  <c:v>289630.92000000004</c:v>
                </c:pt>
                <c:pt idx="3">
                  <c:v>41366.5</c:v>
                </c:pt>
                <c:pt idx="4">
                  <c:v>40504.600000000006</c:v>
                </c:pt>
                <c:pt idx="5">
                  <c:v>35944.199999999997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AD-4118-8667-5FC5720EA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7007456"/>
        <c:axId val="1747004576"/>
      </c:barChart>
      <c:lineChart>
        <c:grouping val="standard"/>
        <c:varyColors val="0"/>
        <c:ser>
          <c:idx val="2"/>
          <c:order val="2"/>
          <c:tx>
            <c:strRef>
              <c:f>'Geração - 01_2025'!$F$91</c:f>
              <c:strCache>
                <c:ptCount val="1"/>
                <c:pt idx="0">
                  <c:v>R/P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'Geração - 01_2025'!$G$88:$R$88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- 01_2025'!$G$91:$R$91</c:f>
              <c:numCache>
                <c:formatCode>0%</c:formatCode>
                <c:ptCount val="12"/>
                <c:pt idx="0">
                  <c:v>0.94403727031407003</c:v>
                </c:pt>
                <c:pt idx="1">
                  <c:v>1.0168666604105048</c:v>
                </c:pt>
                <c:pt idx="2">
                  <c:v>0.95429826731083511</c:v>
                </c:pt>
                <c:pt idx="3">
                  <c:v>0.14818655518244273</c:v>
                </c:pt>
                <c:pt idx="4">
                  <c:v>0.14923105723901978</c:v>
                </c:pt>
                <c:pt idx="5">
                  <c:v>0.14812414570499871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AD-4118-8667-5FC5720EA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072559"/>
        <c:axId val="973068719"/>
      </c:lineChart>
      <c:catAx>
        <c:axId val="174700745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747004576"/>
        <c:crosses val="autoZero"/>
        <c:auto val="0"/>
        <c:lblAlgn val="ctr"/>
        <c:lblOffset val="100"/>
        <c:noMultiLvlLbl val="0"/>
      </c:catAx>
      <c:valAx>
        <c:axId val="17470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Geração kWh</a:t>
                </a:r>
              </a:p>
            </c:rich>
          </c:tx>
          <c:layout>
            <c:manualLayout>
              <c:xMode val="edge"/>
              <c:yMode val="edge"/>
              <c:x val="3.9188159457400019E-3"/>
              <c:y val="0.378223714937839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47007456"/>
        <c:crosses val="autoZero"/>
        <c:crossBetween val="between"/>
      </c:valAx>
      <c:valAx>
        <c:axId val="973068719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73072559"/>
        <c:crosses val="max"/>
        <c:crossBetween val="between"/>
      </c:valAx>
      <c:dateAx>
        <c:axId val="97307255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973068719"/>
        <c:crosses val="autoZero"/>
        <c:auto val="1"/>
        <c:lblOffset val="100"/>
        <c:baseTimeUnit val="months"/>
      </c:date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474739011996808"/>
          <c:y val="0.94025631708310353"/>
          <c:w val="0.16485628376662159"/>
          <c:h val="5.34132660614389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2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'Geração - 01_2025'!$S$88</c:f>
              <c:strCache>
                <c:ptCount val="1"/>
                <c:pt idx="0">
                  <c:v>TOTAL (kWh)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D89-41C4-8FA7-79358CED5D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D89-41C4-8FA7-79358CED5D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'Geração - 01_2025'!$F$89:$F$90</c:f>
              <c:strCache>
                <c:ptCount val="2"/>
                <c:pt idx="0">
                  <c:v>P</c:v>
                </c:pt>
                <c:pt idx="1">
                  <c:v>R</c:v>
                </c:pt>
              </c:strCache>
            </c:strRef>
          </c:cat>
          <c:val>
            <c:numRef>
              <c:f>'Geração - 01_2025'!$S$89:$S$90</c:f>
              <c:numCache>
                <c:formatCode>#,##0</c:formatCode>
                <c:ptCount val="2"/>
                <c:pt idx="0">
                  <c:v>3374145.9817455993</c:v>
                </c:pt>
                <c:pt idx="1">
                  <c:v>1008974.63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89-41C4-8FA7-79358CED5D5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50000"/>
                  </a:schemeClr>
                </a:solidFill>
              </a:rPr>
              <a:t>GERAÇÃO ACUMULADA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04609316883518"/>
          <c:y val="0.1500001311024933"/>
          <c:w val="0.833996741786587"/>
          <c:h val="0.565412232982105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'Geração - 01_2025'!$F$129</c:f>
              <c:strCache>
                <c:ptCount val="1"/>
                <c:pt idx="0">
                  <c:v>PREVISTO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'Geração - 01_2025'!$G$128:$R$128</c:f>
              <c:numCache>
                <c:formatCode>[$-416]mmm\-yy;@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- 01_2025'!$G$129:$R$129</c:f>
              <c:numCache>
                <c:formatCode>_-* #,##0_-;\-* #,##0_-;_-* "-"??_-;_-@_-</c:formatCode>
                <c:ptCount val="12"/>
                <c:pt idx="0">
                  <c:v>306617.44944000005</c:v>
                </c:pt>
                <c:pt idx="1">
                  <c:v>613511.28532800009</c:v>
                </c:pt>
                <c:pt idx="2">
                  <c:v>917012.74804800004</c:v>
                </c:pt>
                <c:pt idx="3">
                  <c:v>1196164.2537231999</c:v>
                </c:pt>
                <c:pt idx="4">
                  <c:v>1456968.9472111999</c:v>
                </c:pt>
                <c:pt idx="5">
                  <c:v>1690147.8205647999</c:v>
                </c:pt>
                <c:pt idx="6">
                  <c:v>1935720.7451295999</c:v>
                </c:pt>
                <c:pt idx="7">
                  <c:v>2236611.2533248002</c:v>
                </c:pt>
                <c:pt idx="8">
                  <c:v>2512445.7752304003</c:v>
                </c:pt>
                <c:pt idx="9">
                  <c:v>2792741.2085568001</c:v>
                </c:pt>
                <c:pt idx="10">
                  <c:v>3049909.2461984004</c:v>
                </c:pt>
                <c:pt idx="11">
                  <c:v>3354021.4993456006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B-451E-A9D4-A394E5B7F829}"/>
            </c:ext>
          </c:extLst>
        </c:ser>
        <c:ser>
          <c:idx val="1"/>
          <c:order val="1"/>
          <c:tx>
            <c:strRef>
              <c:f>'Geração - 01_2025'!$F$130</c:f>
              <c:strCache>
                <c:ptCount val="1"/>
                <c:pt idx="0">
                  <c:v>REAL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'Geração - 01_2025'!$G$128:$R$128</c:f>
              <c:numCache>
                <c:formatCode>[$-416]mmm\-yy;@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- 01_2025'!$G$130:$R$130</c:f>
              <c:numCache>
                <c:formatCode>_-* #,##0_-;\-* #,##0_-;_-* "-"??_-;_-@_-</c:formatCode>
                <c:ptCount val="12"/>
                <c:pt idx="0">
                  <c:v>22781.799999999996</c:v>
                </c:pt>
                <c:pt idx="1">
                  <c:v>22781.799999999996</c:v>
                </c:pt>
                <c:pt idx="2">
                  <c:v>22781.799999999996</c:v>
                </c:pt>
                <c:pt idx="3">
                  <c:v>22781.799999999996</c:v>
                </c:pt>
                <c:pt idx="4">
                  <c:v>22781.799999999996</c:v>
                </c:pt>
                <c:pt idx="5">
                  <c:v>22781.799999999996</c:v>
                </c:pt>
                <c:pt idx="6">
                  <c:v>22781.799999999996</c:v>
                </c:pt>
                <c:pt idx="7">
                  <c:v>22781.799999999996</c:v>
                </c:pt>
                <c:pt idx="8">
                  <c:v>22781.799999999996</c:v>
                </c:pt>
                <c:pt idx="9">
                  <c:v>22781.799999999996</c:v>
                </c:pt>
                <c:pt idx="10">
                  <c:v>22781.799999999996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B-451E-A9D4-A394E5B7F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521600"/>
        <c:axId val="359525920"/>
      </c:barChart>
      <c:lineChart>
        <c:grouping val="standard"/>
        <c:varyColors val="0"/>
        <c:ser>
          <c:idx val="2"/>
          <c:order val="2"/>
          <c:tx>
            <c:strRef>
              <c:f>'Geração - 01_2025'!$F$131</c:f>
              <c:strCache>
                <c:ptCount val="1"/>
                <c:pt idx="0">
                  <c:v>%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'Geração - 01_2025'!$G$128:$R$128</c:f>
              <c:numCache>
                <c:formatCode>[$-416]mmm\-yy;@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- 01_2025'!$G$131:$R$131</c:f>
              <c:numCache>
                <c:formatCode>0.0%</c:formatCode>
                <c:ptCount val="12"/>
                <c:pt idx="0">
                  <c:v>7.4300402803585436E-2</c:v>
                </c:pt>
                <c:pt idx="1">
                  <c:v>3.7133465259437268E-2</c:v>
                </c:pt>
                <c:pt idx="2">
                  <c:v>2.4843493232230951E-2</c:v>
                </c:pt>
                <c:pt idx="3">
                  <c:v>1.9045712099395214E-2</c:v>
                </c:pt>
                <c:pt idx="4">
                  <c:v>1.5636434835215183E-2</c:v>
                </c:pt>
                <c:pt idx="5">
                  <c:v>1.3479176035849312E-2</c:v>
                </c:pt>
                <c:pt idx="6">
                  <c:v>1.1769156298665753E-2</c:v>
                </c:pt>
                <c:pt idx="7">
                  <c:v>1.0185855930991163E-2</c:v>
                </c:pt>
                <c:pt idx="8">
                  <c:v>9.067578781042876E-3</c:v>
                </c:pt>
                <c:pt idx="9">
                  <c:v>8.1575048666155878E-3</c:v>
                </c:pt>
                <c:pt idx="10">
                  <c:v>7.4696648854049247E-3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B-451E-A9D4-A394E5B7F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439696"/>
        <c:axId val="477434416"/>
      </c:lineChart>
      <c:dateAx>
        <c:axId val="359521600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359525920"/>
        <c:crosses val="autoZero"/>
        <c:auto val="1"/>
        <c:lblOffset val="100"/>
        <c:baseTimeUnit val="months"/>
      </c:dateAx>
      <c:valAx>
        <c:axId val="3595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Geração</a:t>
                </a:r>
                <a:r>
                  <a:rPr lang="pt-BR" baseline="0"/>
                  <a:t> kWh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1.1922823671431316E-2"/>
              <c:y val="0.356361751077411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#" sourceLinked="0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9521600"/>
        <c:crosses val="autoZero"/>
        <c:crossBetween val="between"/>
      </c:valAx>
      <c:valAx>
        <c:axId val="47743441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7439696"/>
        <c:crosses val="max"/>
        <c:crossBetween val="between"/>
      </c:valAx>
      <c:dateAx>
        <c:axId val="477439696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477434416"/>
        <c:crosses val="autoZero"/>
        <c:auto val="1"/>
        <c:lblOffset val="100"/>
        <c:baseTimeUnit val="months"/>
      </c:date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17132359389046E-2"/>
          <c:y val="2.946428157138898E-2"/>
          <c:w val="0.8941696767640066"/>
          <c:h val="0.731438240798897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'Geração - 01_2024'!$H$86</c:f>
              <c:strCache>
                <c:ptCount val="1"/>
                <c:pt idx="0">
                  <c:v>P</c:v>
                </c:pt>
              </c:strCache>
            </c:strRef>
          </c:tx>
          <c:spPr>
            <a:solidFill>
              <a:srgbClr val="3399FF">
                <a:alpha val="50196"/>
              </a:srgbClr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numRef>
              <c:f>'Geração - 01_2024'!$I$85:$T$85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- 01_2024'!$I$86:$T$86</c:f>
              <c:numCache>
                <c:formatCode>#,##0</c:formatCode>
                <c:ptCount val="12"/>
                <c:pt idx="0">
                  <c:v>296546.02999999997</c:v>
                </c:pt>
                <c:pt idx="1">
                  <c:v>300189.60100000002</c:v>
                </c:pt>
                <c:pt idx="2">
                  <c:v>300739.94</c:v>
                </c:pt>
                <c:pt idx="3">
                  <c:v>277074.39290000004</c:v>
                </c:pt>
                <c:pt idx="4">
                  <c:v>260172.80100000004</c:v>
                </c:pt>
                <c:pt idx="5">
                  <c:v>244555.97219999999</c:v>
                </c:pt>
                <c:pt idx="6">
                  <c:v>257785.83710000003</c:v>
                </c:pt>
                <c:pt idx="7">
                  <c:v>308604.49540000001</c:v>
                </c:pt>
                <c:pt idx="8">
                  <c:v>286931.77169999998</c:v>
                </c:pt>
                <c:pt idx="9">
                  <c:v>290986.00229999999</c:v>
                </c:pt>
                <c:pt idx="10">
                  <c:v>268077.9362</c:v>
                </c:pt>
                <c:pt idx="11">
                  <c:v>317332.65789999999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6-4C96-A2BD-3BE9D41FA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587599"/>
        <c:axId val="269145871"/>
      </c:barChart>
      <c:lineChart>
        <c:grouping val="standard"/>
        <c:varyColors val="0"/>
        <c:ser>
          <c:idx val="1"/>
          <c:order val="1"/>
          <c:tx>
            <c:strRef>
              <c:f>'Geração - 01_2024'!$H$87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34"/>
            <c:spPr>
              <a:solidFill>
                <a:srgbClr val="00CC00"/>
              </a:solidFill>
              <a:ln w="25400">
                <a:noFill/>
              </a:ln>
              <a:effectLst/>
            </c:spPr>
          </c:marker>
          <c:cat>
            <c:numRef>
              <c:f>'Geração - 01_2024'!$I$85:$T$85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- 01_2024'!$I$87:$T$87</c:f>
              <c:numCache>
                <c:formatCode>#,##0</c:formatCode>
                <c:ptCount val="12"/>
                <c:pt idx="0">
                  <c:v>275202.8</c:v>
                </c:pt>
                <c:pt idx="1">
                  <c:v>267119.48</c:v>
                </c:pt>
                <c:pt idx="2">
                  <c:v>265056.82999999996</c:v>
                </c:pt>
                <c:pt idx="3">
                  <c:v>276088.74</c:v>
                </c:pt>
                <c:pt idx="4">
                  <c:v>271939.8</c:v>
                </c:pt>
                <c:pt idx="5">
                  <c:v>278424.48</c:v>
                </c:pt>
                <c:pt idx="6">
                  <c:v>261357.16999999998</c:v>
                </c:pt>
                <c:pt idx="7">
                  <c:v>308885.90000000002</c:v>
                </c:pt>
                <c:pt idx="8">
                  <c:v>306987.06</c:v>
                </c:pt>
                <c:pt idx="9">
                  <c:v>269566.98000000004</c:v>
                </c:pt>
                <c:pt idx="10">
                  <c:v>265221.89999999997</c:v>
                </c:pt>
                <c:pt idx="11">
                  <c:v>264673.2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6-4C96-A2BD-3BE9D41FA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87599"/>
        <c:axId val="269145871"/>
      </c:lineChart>
      <c:lineChart>
        <c:grouping val="standard"/>
        <c:varyColors val="0"/>
        <c:ser>
          <c:idx val="2"/>
          <c:order val="2"/>
          <c:tx>
            <c:strRef>
              <c:f>'Geração - 01_2024'!$H$88</c:f>
              <c:strCache>
                <c:ptCount val="1"/>
                <c:pt idx="0">
                  <c:v>R/P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99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'Geração - 01_2024'!$I$85:$T$85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- 01_2024'!$I$88:$T$88</c:f>
              <c:numCache>
                <c:formatCode>0%</c:formatCode>
                <c:ptCount val="12"/>
                <c:pt idx="0">
                  <c:v>0.92802726106297906</c:v>
                </c:pt>
                <c:pt idx="1">
                  <c:v>0.88983588741969766</c:v>
                </c:pt>
                <c:pt idx="2">
                  <c:v>0.88134894886259518</c:v>
                </c:pt>
                <c:pt idx="3">
                  <c:v>0.9964426416686013</c:v>
                </c:pt>
                <c:pt idx="4">
                  <c:v>1.0452276293093372</c:v>
                </c:pt>
                <c:pt idx="5">
                  <c:v>1.1384898004956592</c:v>
                </c:pt>
                <c:pt idx="6">
                  <c:v>1.0138538755277489</c:v>
                </c:pt>
                <c:pt idx="7">
                  <c:v>1.0009118616358303</c:v>
                </c:pt>
                <c:pt idx="8">
                  <c:v>1.0698956695564852</c:v>
                </c:pt>
                <c:pt idx="9">
                  <c:v>0.9263915716539608</c:v>
                </c:pt>
                <c:pt idx="10">
                  <c:v>0.98934624669047999</c:v>
                </c:pt>
                <c:pt idx="11">
                  <c:v>0.83405597694078371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6-4C96-A2BD-3BE9D41FA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970047"/>
        <c:axId val="430245743"/>
      </c:lineChart>
      <c:dateAx>
        <c:axId val="269587599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extTo"/>
        <c:crossAx val="269145871"/>
        <c:crosses val="autoZero"/>
        <c:auto val="1"/>
        <c:lblOffset val="100"/>
        <c:baseTimeUnit val="months"/>
      </c:dateAx>
      <c:valAx>
        <c:axId val="26914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4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9587599"/>
        <c:crosses val="autoZero"/>
        <c:crossBetween val="between"/>
      </c:valAx>
      <c:valAx>
        <c:axId val="4302457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6970047"/>
        <c:crosses val="max"/>
        <c:crossBetween val="between"/>
      </c:valAx>
      <c:dateAx>
        <c:axId val="446970047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30245743"/>
        <c:crossesAt val="10"/>
        <c:auto val="1"/>
        <c:lblOffset val="100"/>
        <c:baseTimeUnit val="months"/>
      </c:date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alpha val="99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1">
                <a:solidFill>
                  <a:schemeClr val="bg1">
                    <a:lumMod val="50000"/>
                  </a:schemeClr>
                </a:solidFill>
              </a:rPr>
              <a:t>Geração</a:t>
            </a:r>
            <a:r>
              <a:rPr lang="pt-BR" sz="1600" b="1" baseline="0">
                <a:solidFill>
                  <a:schemeClr val="bg1">
                    <a:lumMod val="50000"/>
                  </a:schemeClr>
                </a:solidFill>
              </a:rPr>
              <a:t> mensal - Previsto X Realizado </a:t>
            </a:r>
            <a:endParaRPr lang="pt-BR" sz="1600" b="1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0812464314641952"/>
          <c:y val="4.74160233992198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2362592382294528E-2"/>
          <c:y val="0.2090353070001657"/>
          <c:w val="0.8221284628628841"/>
          <c:h val="0.533527544981810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'Geração - 01_2024'!$H$86</c:f>
              <c:strCache>
                <c:ptCount val="1"/>
                <c:pt idx="0">
                  <c:v>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'Geração - 01_2024'!$I$85:$T$85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- 01_2024'!$I$86:$T$86</c:f>
              <c:numCache>
                <c:formatCode>#,##0</c:formatCode>
                <c:ptCount val="12"/>
                <c:pt idx="0">
                  <c:v>296546.02999999997</c:v>
                </c:pt>
                <c:pt idx="1">
                  <c:v>300189.60100000002</c:v>
                </c:pt>
                <c:pt idx="2">
                  <c:v>300739.94</c:v>
                </c:pt>
                <c:pt idx="3">
                  <c:v>277074.39290000004</c:v>
                </c:pt>
                <c:pt idx="4">
                  <c:v>260172.80100000004</c:v>
                </c:pt>
                <c:pt idx="5">
                  <c:v>244555.97219999999</c:v>
                </c:pt>
                <c:pt idx="6">
                  <c:v>257785.83710000003</c:v>
                </c:pt>
                <c:pt idx="7">
                  <c:v>308604.49540000001</c:v>
                </c:pt>
                <c:pt idx="8">
                  <c:v>286931.77169999998</c:v>
                </c:pt>
                <c:pt idx="9">
                  <c:v>290986.00229999999</c:v>
                </c:pt>
                <c:pt idx="10">
                  <c:v>268077.9362</c:v>
                </c:pt>
                <c:pt idx="11">
                  <c:v>317332.65789999999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7-449B-AA97-7A7A2C484F40}"/>
            </c:ext>
          </c:extLst>
        </c:ser>
        <c:ser>
          <c:idx val="1"/>
          <c:order val="1"/>
          <c:tx>
            <c:strRef>
              <c:f>'Geração - 01_2024'!$H$87</c:f>
              <c:strCache>
                <c:ptCount val="1"/>
                <c:pt idx="0">
                  <c:v>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'Geração - 01_2024'!$I$85:$T$85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- 01_2024'!$I$87:$T$87</c:f>
              <c:numCache>
                <c:formatCode>#,##0</c:formatCode>
                <c:ptCount val="12"/>
                <c:pt idx="0">
                  <c:v>275202.8</c:v>
                </c:pt>
                <c:pt idx="1">
                  <c:v>267119.48</c:v>
                </c:pt>
                <c:pt idx="2">
                  <c:v>265056.82999999996</c:v>
                </c:pt>
                <c:pt idx="3">
                  <c:v>276088.74</c:v>
                </c:pt>
                <c:pt idx="4">
                  <c:v>271939.8</c:v>
                </c:pt>
                <c:pt idx="5">
                  <c:v>278424.48</c:v>
                </c:pt>
                <c:pt idx="6">
                  <c:v>261357.16999999998</c:v>
                </c:pt>
                <c:pt idx="7">
                  <c:v>308885.90000000002</c:v>
                </c:pt>
                <c:pt idx="8">
                  <c:v>306987.06</c:v>
                </c:pt>
                <c:pt idx="9">
                  <c:v>269566.98000000004</c:v>
                </c:pt>
                <c:pt idx="10">
                  <c:v>265221.89999999997</c:v>
                </c:pt>
                <c:pt idx="11">
                  <c:v>264673.2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7-449B-AA97-7A7A2C484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7007456"/>
        <c:axId val="1747004576"/>
      </c:barChart>
      <c:lineChart>
        <c:grouping val="standard"/>
        <c:varyColors val="0"/>
        <c:ser>
          <c:idx val="2"/>
          <c:order val="2"/>
          <c:tx>
            <c:strRef>
              <c:f>'Geração - 01_2024'!$H$88</c:f>
              <c:strCache>
                <c:ptCount val="1"/>
                <c:pt idx="0">
                  <c:v>R/P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'Geração - 01_2024'!$I$85:$T$85</c:f>
              <c:numCache>
                <c:formatCode>mmm\-yy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- 01_2024'!$I$88:$T$88</c:f>
              <c:numCache>
                <c:formatCode>0%</c:formatCode>
                <c:ptCount val="12"/>
                <c:pt idx="0">
                  <c:v>0.92802726106297906</c:v>
                </c:pt>
                <c:pt idx="1">
                  <c:v>0.88983588741969766</c:v>
                </c:pt>
                <c:pt idx="2">
                  <c:v>0.88134894886259518</c:v>
                </c:pt>
                <c:pt idx="3">
                  <c:v>0.9964426416686013</c:v>
                </c:pt>
                <c:pt idx="4">
                  <c:v>1.0452276293093372</c:v>
                </c:pt>
                <c:pt idx="5">
                  <c:v>1.1384898004956592</c:v>
                </c:pt>
                <c:pt idx="6">
                  <c:v>1.0138538755277489</c:v>
                </c:pt>
                <c:pt idx="7">
                  <c:v>1.0009118616358303</c:v>
                </c:pt>
                <c:pt idx="8">
                  <c:v>1.0698956695564852</c:v>
                </c:pt>
                <c:pt idx="9">
                  <c:v>0.9263915716539608</c:v>
                </c:pt>
                <c:pt idx="10">
                  <c:v>0.98934624669047999</c:v>
                </c:pt>
                <c:pt idx="11">
                  <c:v>0.83405597694078371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5-4ABD-9FE7-FE996CFA4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072559"/>
        <c:axId val="973068719"/>
      </c:lineChart>
      <c:catAx>
        <c:axId val="174700745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747004576"/>
        <c:crosses val="autoZero"/>
        <c:auto val="0"/>
        <c:lblAlgn val="ctr"/>
        <c:lblOffset val="100"/>
        <c:noMultiLvlLbl val="0"/>
      </c:catAx>
      <c:valAx>
        <c:axId val="17470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Geração kWh</a:t>
                </a:r>
              </a:p>
            </c:rich>
          </c:tx>
          <c:layout>
            <c:manualLayout>
              <c:xMode val="edge"/>
              <c:yMode val="edge"/>
              <c:x val="3.9188159457400019E-3"/>
              <c:y val="0.378223714937839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47007456"/>
        <c:crosses val="autoZero"/>
        <c:crossBetween val="between"/>
      </c:valAx>
      <c:valAx>
        <c:axId val="973068719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73072559"/>
        <c:crosses val="max"/>
        <c:crossBetween val="between"/>
      </c:valAx>
      <c:dateAx>
        <c:axId val="97307255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973068719"/>
        <c:crosses val="autoZero"/>
        <c:auto val="1"/>
        <c:lblOffset val="100"/>
        <c:baseTimeUnit val="months"/>
      </c:date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474739011996808"/>
          <c:y val="0.94025631708310353"/>
          <c:w val="0.16485628376662159"/>
          <c:h val="5.34132660614389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2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'Geração - 01_2024'!$U$85</c:f>
              <c:strCache>
                <c:ptCount val="1"/>
                <c:pt idx="0">
                  <c:v>TOTAL (kWh)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A6C-418F-A505-3FE06CF0DF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A6C-418F-A505-3FE06CF0DF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'Geração - 01_2024'!$H$86:$H$87</c:f>
              <c:strCache>
                <c:ptCount val="2"/>
                <c:pt idx="0">
                  <c:v>P</c:v>
                </c:pt>
                <c:pt idx="1">
                  <c:v>R</c:v>
                </c:pt>
              </c:strCache>
            </c:strRef>
          </c:cat>
          <c:val>
            <c:numRef>
              <c:f>'Geração - 01_2024'!$U$86:$U$87</c:f>
              <c:numCache>
                <c:formatCode>#,##0</c:formatCode>
                <c:ptCount val="2"/>
                <c:pt idx="0">
                  <c:v>3408997.4377000001</c:v>
                </c:pt>
                <c:pt idx="1">
                  <c:v>3310524.3400000003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2-4E99-A34E-7857C90AE82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50000"/>
                  </a:schemeClr>
                </a:solidFill>
              </a:rPr>
              <a:t>GERAÇÃO ACUMULADA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04609316883518"/>
          <c:y val="0.1500001311024933"/>
          <c:w val="0.833996741786587"/>
          <c:h val="0.565412232982105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'Geração - 01_2024'!$H$126</c:f>
              <c:strCache>
                <c:ptCount val="1"/>
                <c:pt idx="0">
                  <c:v>PREVISTO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'Geração - 01_2024'!$I$125:$T$125</c:f>
              <c:numCache>
                <c:formatCode>[$-416]mmm\-yy;@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- 01_2024'!$I$126:$T$126</c:f>
              <c:numCache>
                <c:formatCode>_-* #,##0_-;\-* #,##0_-;_-* "-"??_-;_-@_-</c:formatCode>
                <c:ptCount val="12"/>
                <c:pt idx="0">
                  <c:v>309538.13</c:v>
                </c:pt>
                <c:pt idx="1">
                  <c:v>609727.73100000003</c:v>
                </c:pt>
                <c:pt idx="2">
                  <c:v>910467.67100000009</c:v>
                </c:pt>
                <c:pt idx="3">
                  <c:v>1187542.0639000002</c:v>
                </c:pt>
                <c:pt idx="4">
                  <c:v>1447714.8649000002</c:v>
                </c:pt>
                <c:pt idx="5">
                  <c:v>1692270.8371000001</c:v>
                </c:pt>
                <c:pt idx="6">
                  <c:v>1950056.6742000002</c:v>
                </c:pt>
                <c:pt idx="7">
                  <c:v>2258661.1696000001</c:v>
                </c:pt>
                <c:pt idx="8">
                  <c:v>2545592.9413000001</c:v>
                </c:pt>
                <c:pt idx="9">
                  <c:v>2836578.9435999999</c:v>
                </c:pt>
                <c:pt idx="10">
                  <c:v>3104656.8797999998</c:v>
                </c:pt>
                <c:pt idx="11">
                  <c:v>3421989.5376999998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5-4498-97A3-A68A27C55BCD}"/>
            </c:ext>
          </c:extLst>
        </c:ser>
        <c:ser>
          <c:idx val="1"/>
          <c:order val="1"/>
          <c:tx>
            <c:strRef>
              <c:f>'Geração - 01_2024'!$H$127</c:f>
              <c:strCache>
                <c:ptCount val="1"/>
                <c:pt idx="0">
                  <c:v>REAL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'Geração - 01_2024'!$I$125:$T$125</c:f>
              <c:numCache>
                <c:formatCode>[$-416]mmm\-yy;@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- 01_2024'!$I$127:$T$127</c:f>
              <c:numCache>
                <c:formatCode>_-* #,##0_-;\-* #,##0_-;_-* "-"??_-;_-@_-</c:formatCode>
                <c:ptCount val="12"/>
                <c:pt idx="0">
                  <c:v>275202.8</c:v>
                </c:pt>
                <c:pt idx="1">
                  <c:v>542322.28</c:v>
                </c:pt>
                <c:pt idx="2">
                  <c:v>807379.11</c:v>
                </c:pt>
                <c:pt idx="3">
                  <c:v>1083467.8500000001</c:v>
                </c:pt>
                <c:pt idx="4">
                  <c:v>1355407.6500000001</c:v>
                </c:pt>
                <c:pt idx="5">
                  <c:v>1633832.1300000001</c:v>
                </c:pt>
                <c:pt idx="6">
                  <c:v>1895189.3</c:v>
                </c:pt>
                <c:pt idx="7">
                  <c:v>2204075.2000000002</c:v>
                </c:pt>
                <c:pt idx="8">
                  <c:v>2511062.2600000002</c:v>
                </c:pt>
                <c:pt idx="9">
                  <c:v>2780629.24</c:v>
                </c:pt>
                <c:pt idx="10">
                  <c:v>3044886.14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5-4498-97A3-A68A27C55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521600"/>
        <c:axId val="359525920"/>
      </c:barChart>
      <c:lineChart>
        <c:grouping val="standard"/>
        <c:varyColors val="0"/>
        <c:ser>
          <c:idx val="2"/>
          <c:order val="2"/>
          <c:tx>
            <c:strRef>
              <c:f>'Geração - 01_2024'!$H$128</c:f>
              <c:strCache>
                <c:ptCount val="1"/>
                <c:pt idx="0">
                  <c:v>%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'Geração - 01_2024'!$I$125:$T$125</c:f>
              <c:numCache>
                <c:formatCode>[$-416]mmm\-yy;@</c:formatCode>
                <c:ptCount val="12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  <c:pt idx="9">
                  <c:v>45566</c:v>
                </c:pt>
                <c:pt idx="10">
                  <c:v>45597</c:v>
                </c:pt>
                <c:pt idx="11">
                  <c:v>45627</c:v>
                </c:pt>
              </c:numCache>
            </c:numRef>
          </c:cat>
          <c:val>
            <c:numRef>
              <c:f>'Geração - 01_2024'!$I$128:$T$128</c:f>
              <c:numCache>
                <c:formatCode>0.0%</c:formatCode>
                <c:ptCount val="12"/>
                <c:pt idx="0">
                  <c:v>0.8890756043528466</c:v>
                </c:pt>
                <c:pt idx="1">
                  <c:v>0.88944991744192126</c:v>
                </c:pt>
                <c:pt idx="2">
                  <c:v>0.88677405658261965</c:v>
                </c:pt>
                <c:pt idx="3">
                  <c:v>0.91236166106132655</c:v>
                </c:pt>
                <c:pt idx="4">
                  <c:v>0.93623936789073714</c:v>
                </c:pt>
                <c:pt idx="5">
                  <c:v>0.96546728465749321</c:v>
                </c:pt>
                <c:pt idx="6">
                  <c:v>0.9718637027703263</c:v>
                </c:pt>
                <c:pt idx="7">
                  <c:v>0.97583259926956334</c:v>
                </c:pt>
                <c:pt idx="8">
                  <c:v>0.9864351127237313</c:v>
                </c:pt>
                <c:pt idx="9">
                  <c:v>0.98027564022984959</c:v>
                </c:pt>
                <c:pt idx="10">
                  <c:v>0.98074803686394807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D5-4498-97A3-A68A27C55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439696"/>
        <c:axId val="477434416"/>
      </c:lineChart>
      <c:dateAx>
        <c:axId val="359521600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359525920"/>
        <c:crosses val="autoZero"/>
        <c:auto val="1"/>
        <c:lblOffset val="100"/>
        <c:baseTimeUnit val="months"/>
      </c:dateAx>
      <c:valAx>
        <c:axId val="3595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Geração</a:t>
                </a:r>
                <a:r>
                  <a:rPr lang="pt-BR" baseline="0"/>
                  <a:t> kWh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1.1922823671431316E-2"/>
              <c:y val="0.356361751077411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#" sourceLinked="0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9521600"/>
        <c:crosses val="autoZero"/>
        <c:crossBetween val="between"/>
      </c:valAx>
      <c:valAx>
        <c:axId val="47743441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7439696"/>
        <c:crosses val="max"/>
        <c:crossBetween val="between"/>
      </c:valAx>
      <c:dateAx>
        <c:axId val="477439696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477434416"/>
        <c:crosses val="autoZero"/>
        <c:auto val="1"/>
        <c:lblOffset val="100"/>
        <c:baseTimeUnit val="months"/>
      </c:date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17132359389046E-2"/>
          <c:y val="2.946428157138898E-2"/>
          <c:w val="0.8941696767640066"/>
          <c:h val="0.731438240798897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'Geração - 01_2025 CM'!$H$86</c:f>
              <c:strCache>
                <c:ptCount val="1"/>
                <c:pt idx="0">
                  <c:v>P</c:v>
                </c:pt>
              </c:strCache>
            </c:strRef>
          </c:tx>
          <c:spPr>
            <a:solidFill>
              <a:srgbClr val="3399FF">
                <a:alpha val="50196"/>
              </a:srgbClr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numRef>
              <c:f>'Geração - 01_2025 CM'!$I$85:$T$85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 CM'!$I$86:$T$86</c:f>
              <c:numCache>
                <c:formatCode>#,##0</c:formatCode>
                <c:ptCount val="12"/>
                <c:pt idx="0">
                  <c:v>306617.44944000005</c:v>
                </c:pt>
                <c:pt idx="1">
                  <c:v>306893.83588799997</c:v>
                </c:pt>
                <c:pt idx="2">
                  <c:v>303501.46272000001</c:v>
                </c:pt>
                <c:pt idx="3">
                  <c:v>279151.50567520002</c:v>
                </c:pt>
                <c:pt idx="4">
                  <c:v>260804.69348799996</c:v>
                </c:pt>
                <c:pt idx="5">
                  <c:v>233178.87335360004</c:v>
                </c:pt>
                <c:pt idx="6">
                  <c:v>245572.92456479996</c:v>
                </c:pt>
                <c:pt idx="7">
                  <c:v>300890.5081952</c:v>
                </c:pt>
                <c:pt idx="8">
                  <c:v>275834.52190559998</c:v>
                </c:pt>
                <c:pt idx="9">
                  <c:v>280295.4333264</c:v>
                </c:pt>
                <c:pt idx="10">
                  <c:v>257168.03764160004</c:v>
                </c:pt>
                <c:pt idx="11">
                  <c:v>304112.25314719998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9-4C9B-830C-ED0A2684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587599"/>
        <c:axId val="269145871"/>
      </c:barChart>
      <c:lineChart>
        <c:grouping val="standard"/>
        <c:varyColors val="0"/>
        <c:ser>
          <c:idx val="1"/>
          <c:order val="1"/>
          <c:tx>
            <c:strRef>
              <c:f>'Geração - 01_2025 CM'!$H$87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34"/>
            <c:spPr>
              <a:solidFill>
                <a:srgbClr val="00CC00"/>
              </a:solidFill>
              <a:ln w="25400">
                <a:noFill/>
              </a:ln>
              <a:effectLst/>
            </c:spPr>
          </c:marker>
          <c:cat>
            <c:numRef>
              <c:f>'Geração - 01_2025 CM'!$I$85:$T$85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 CM'!$I$87:$T$87</c:f>
              <c:numCache>
                <c:formatCode>#,##0</c:formatCode>
                <c:ptCount val="12"/>
                <c:pt idx="0">
                  <c:v>289458.30000000005</c:v>
                </c:pt>
                <c:pt idx="1">
                  <c:v>312070.11000000004</c:v>
                </c:pt>
                <c:pt idx="2">
                  <c:v>289630.92000000004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9-4C9B-830C-ED0A2684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87599"/>
        <c:axId val="269145871"/>
      </c:lineChart>
      <c:lineChart>
        <c:grouping val="standard"/>
        <c:varyColors val="0"/>
        <c:ser>
          <c:idx val="2"/>
          <c:order val="2"/>
          <c:tx>
            <c:strRef>
              <c:f>'Geração - 01_2025 CM'!$H$88</c:f>
              <c:strCache>
                <c:ptCount val="1"/>
                <c:pt idx="0">
                  <c:v>R/P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99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'Geração - 01_2025 CM'!$I$85:$T$85</c:f>
              <c:numCache>
                <c:formatCode>mmm\-yy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'Geração - 01_2025 CM'!$I$88:$T$88</c:f>
              <c:numCache>
                <c:formatCode>0%</c:formatCode>
                <c:ptCount val="12"/>
                <c:pt idx="0">
                  <c:v>0.94403727031407003</c:v>
                </c:pt>
                <c:pt idx="1">
                  <c:v>1.0168666604105048</c:v>
                </c:pt>
                <c:pt idx="2">
                  <c:v>0.95429826731083511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9-4C9B-830C-ED0A2684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970047"/>
        <c:axId val="430245743"/>
      </c:lineChart>
      <c:dateAx>
        <c:axId val="269587599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extTo"/>
        <c:crossAx val="269145871"/>
        <c:crosses val="autoZero"/>
        <c:auto val="1"/>
        <c:lblOffset val="100"/>
        <c:baseTimeUnit val="months"/>
      </c:dateAx>
      <c:valAx>
        <c:axId val="26914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4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9587599"/>
        <c:crosses val="autoZero"/>
        <c:crossBetween val="between"/>
      </c:valAx>
      <c:valAx>
        <c:axId val="4302457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6970047"/>
        <c:crosses val="max"/>
        <c:crossBetween val="between"/>
      </c:valAx>
      <c:dateAx>
        <c:axId val="446970047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30245743"/>
        <c:crossesAt val="10"/>
        <c:auto val="1"/>
        <c:lblOffset val="100"/>
        <c:baseTimeUnit val="months"/>
      </c:date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alpha val="99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sv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9.sv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sv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5" Type="http://schemas.openxmlformats.org/officeDocument/2006/relationships/image" Target="../media/image16.png"/><Relationship Id="rId4" Type="http://schemas.openxmlformats.org/officeDocument/2006/relationships/image" Target="../media/image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1007746</xdr:colOff>
      <xdr:row>1</xdr:row>
      <xdr:rowOff>177166</xdr:rowOff>
    </xdr:from>
    <xdr:to>
      <xdr:col>5</xdr:col>
      <xdr:colOff>1163452</xdr:colOff>
      <xdr:row>2</xdr:row>
      <xdr:rowOff>34637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9B0B940-EA93-4463-9C78-556B6D3A0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8271" y="367666"/>
          <a:ext cx="1346331" cy="4861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33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A089D929-D7E7-2E45-DEA2-C2983E85A2F0}"/>
            </a:ext>
          </a:extLst>
        </xdr:cNvPr>
        <xdr:cNvSpPr/>
      </xdr:nvSpPr>
      <xdr:spPr>
        <a:xfrm>
          <a:off x="3238500" y="66675"/>
          <a:ext cx="32832675" cy="48577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DCFDDFE2-777F-4810-B30C-3DC65AA85E30}"/>
            </a:ext>
          </a:extLst>
        </xdr:cNvPr>
        <xdr:cNvSpPr/>
      </xdr:nvSpPr>
      <xdr:spPr>
        <a:xfrm>
          <a:off x="3238500" y="66675"/>
          <a:ext cx="33280350" cy="48577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E6AD9B29-6CEE-40D5-9A5A-5906B4ECD3FF}"/>
            </a:ext>
          </a:extLst>
        </xdr:cNvPr>
        <xdr:cNvSpPr/>
      </xdr:nvSpPr>
      <xdr:spPr>
        <a:xfrm>
          <a:off x="3324225" y="66675"/>
          <a:ext cx="3582352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A307FBF0-1FBA-434C-A1F5-EE0D2AB8B0CA}"/>
            </a:ext>
          </a:extLst>
        </xdr:cNvPr>
        <xdr:cNvSpPr/>
      </xdr:nvSpPr>
      <xdr:spPr>
        <a:xfrm>
          <a:off x="3324225" y="66675"/>
          <a:ext cx="3599878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CA5771AB-6F64-4948-A5A7-AE1FE6A8C436}"/>
            </a:ext>
          </a:extLst>
        </xdr:cNvPr>
        <xdr:cNvSpPr/>
      </xdr:nvSpPr>
      <xdr:spPr>
        <a:xfrm>
          <a:off x="3324225" y="66675"/>
          <a:ext cx="3616642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12</xdr:row>
      <xdr:rowOff>28575</xdr:rowOff>
    </xdr:from>
    <xdr:to>
      <xdr:col>6</xdr:col>
      <xdr:colOff>838200</xdr:colOff>
      <xdr:row>30</xdr:row>
      <xdr:rowOff>133350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98044D10-D054-6222-2F1E-F95949B17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85E2B8D9-044D-4332-B8FC-B00CC322508C}"/>
            </a:ext>
          </a:extLst>
        </xdr:cNvPr>
        <xdr:cNvSpPr/>
      </xdr:nvSpPr>
      <xdr:spPr>
        <a:xfrm>
          <a:off x="3324225" y="66675"/>
          <a:ext cx="3616642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87AD5DAB-0478-4197-BBD8-B8C2E5B57224}"/>
            </a:ext>
          </a:extLst>
        </xdr:cNvPr>
        <xdr:cNvSpPr/>
      </xdr:nvSpPr>
      <xdr:spPr>
        <a:xfrm>
          <a:off x="3324225" y="66675"/>
          <a:ext cx="3616642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33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B2FF3B17-9EF5-4F22-8170-E576E3499D18}"/>
            </a:ext>
          </a:extLst>
        </xdr:cNvPr>
        <xdr:cNvSpPr/>
      </xdr:nvSpPr>
      <xdr:spPr>
        <a:xfrm>
          <a:off x="3324225" y="66675"/>
          <a:ext cx="3616642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3A0F0D3B-8342-41A3-8CF9-BBABDC7B0ED8}"/>
            </a:ext>
          </a:extLst>
        </xdr:cNvPr>
        <xdr:cNvSpPr/>
      </xdr:nvSpPr>
      <xdr:spPr>
        <a:xfrm>
          <a:off x="3324225" y="66675"/>
          <a:ext cx="3493960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33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7B70B4F6-C9E5-48EB-937D-A3E544B54F2B}"/>
            </a:ext>
          </a:extLst>
        </xdr:cNvPr>
        <xdr:cNvSpPr/>
      </xdr:nvSpPr>
      <xdr:spPr>
        <a:xfrm>
          <a:off x="3324225" y="66675"/>
          <a:ext cx="3616642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D5830EC9-C764-4237-8E48-7F3F462D016F}"/>
            </a:ext>
          </a:extLst>
        </xdr:cNvPr>
        <xdr:cNvSpPr/>
      </xdr:nvSpPr>
      <xdr:spPr>
        <a:xfrm>
          <a:off x="3324225" y="66675"/>
          <a:ext cx="3493960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66675</xdr:rowOff>
    </xdr:from>
    <xdr:to>
      <xdr:col>34</xdr:col>
      <xdr:colOff>19050</xdr:colOff>
      <xdr:row>2</xdr:row>
      <xdr:rowOff>171450</xdr:rowOff>
    </xdr:to>
    <xdr:sp macro="" textlink="">
      <xdr:nvSpPr>
        <xdr:cNvPr id="2" name="Seta: da Esquerda para a Direita 1">
          <a:extLst>
            <a:ext uri="{FF2B5EF4-FFF2-40B4-BE49-F238E27FC236}">
              <a16:creationId xmlns:a16="http://schemas.microsoft.com/office/drawing/2014/main" id="{0DD51C66-E228-4FEB-9EBB-7D523B4C83C5}"/>
            </a:ext>
          </a:extLst>
        </xdr:cNvPr>
        <xdr:cNvSpPr/>
      </xdr:nvSpPr>
      <xdr:spPr>
        <a:xfrm>
          <a:off x="3324225" y="66675"/>
          <a:ext cx="34962465" cy="470535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1007746</xdr:colOff>
      <xdr:row>1</xdr:row>
      <xdr:rowOff>177166</xdr:rowOff>
    </xdr:from>
    <xdr:to>
      <xdr:col>5</xdr:col>
      <xdr:colOff>1163452</xdr:colOff>
      <xdr:row>2</xdr:row>
      <xdr:rowOff>34637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06A9098-9253-487E-BF22-96A5EB332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6706" y="354331"/>
          <a:ext cx="1384951" cy="4933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74919</xdr:colOff>
      <xdr:row>79</xdr:row>
      <xdr:rowOff>18891</xdr:rowOff>
    </xdr:from>
    <xdr:to>
      <xdr:col>1</xdr:col>
      <xdr:colOff>338625</xdr:colOff>
      <xdr:row>80</xdr:row>
      <xdr:rowOff>73047</xdr:rowOff>
    </xdr:to>
    <xdr:pic>
      <xdr:nvPicPr>
        <xdr:cNvPr id="2" name="Gráfico 1" descr="Ferramentas com preenchimento sólido">
          <a:extLst>
            <a:ext uri="{FF2B5EF4-FFF2-40B4-BE49-F238E27FC236}">
              <a16:creationId xmlns:a16="http://schemas.microsoft.com/office/drawing/2014/main" id="{BA88E55A-93D0-4814-921F-107D1BEC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97648" y="19212326"/>
          <a:ext cx="238941" cy="227736"/>
        </a:xfrm>
        <a:prstGeom prst="rect">
          <a:avLst/>
        </a:prstGeom>
      </xdr:spPr>
    </xdr:pic>
    <xdr:clientData/>
  </xdr:twoCellAnchor>
  <xdr:twoCellAnchor editAs="oneCell">
    <xdr:from>
      <xdr:col>1</xdr:col>
      <xdr:colOff>340178</xdr:colOff>
      <xdr:row>72</xdr:row>
      <xdr:rowOff>108857</xdr:rowOff>
    </xdr:from>
    <xdr:to>
      <xdr:col>1</xdr:col>
      <xdr:colOff>605245</xdr:colOff>
      <xdr:row>74</xdr:row>
      <xdr:rowOff>125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E94DE5B-AC8E-4354-9340-99343451D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2" y="17553214"/>
          <a:ext cx="251732" cy="249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272144</xdr:colOff>
      <xdr:row>70</xdr:row>
      <xdr:rowOff>27298</xdr:rowOff>
    </xdr:from>
    <xdr:to>
      <xdr:col>1</xdr:col>
      <xdr:colOff>562916</xdr:colOff>
      <xdr:row>71</xdr:row>
      <xdr:rowOff>141516</xdr:rowOff>
    </xdr:to>
    <xdr:pic>
      <xdr:nvPicPr>
        <xdr:cNvPr id="61" name="Imagem 60" descr="cuw-alert-icon - Canadian Underwriter Canadian Underwriter">
          <a:extLst>
            <a:ext uri="{FF2B5EF4-FFF2-40B4-BE49-F238E27FC236}">
              <a16:creationId xmlns:a16="http://schemas.microsoft.com/office/drawing/2014/main" id="{60B310E1-489C-D648-7EDF-12D46BBB1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830" y="17879869"/>
          <a:ext cx="290772" cy="299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415835</xdr:colOff>
      <xdr:row>78</xdr:row>
      <xdr:rowOff>6854</xdr:rowOff>
    </xdr:to>
    <xdr:pic>
      <xdr:nvPicPr>
        <xdr:cNvPr id="7" name="Gráfico 6" descr="Chuva com preenchimento sólido">
          <a:extLst>
            <a:ext uri="{FF2B5EF4-FFF2-40B4-BE49-F238E27FC236}">
              <a16:creationId xmlns:a16="http://schemas.microsoft.com/office/drawing/2014/main" id="{3BCBF982-0A3B-4B68-B921-79A6D570C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2964" y="18206357"/>
          <a:ext cx="408215" cy="353786"/>
        </a:xfrm>
        <a:prstGeom prst="rect">
          <a:avLst/>
        </a:prstGeom>
      </xdr:spPr>
    </xdr:pic>
    <xdr:clientData/>
  </xdr:twoCellAnchor>
  <xdr:twoCellAnchor>
    <xdr:from>
      <xdr:col>2</xdr:col>
      <xdr:colOff>1392513</xdr:colOff>
      <xdr:row>79</xdr:row>
      <xdr:rowOff>76177</xdr:rowOff>
    </xdr:from>
    <xdr:to>
      <xdr:col>2</xdr:col>
      <xdr:colOff>1924195</xdr:colOff>
      <xdr:row>80</xdr:row>
      <xdr:rowOff>128892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2CC3430B-ADC0-318F-1FA0-A912EA5693B0}"/>
            </a:ext>
          </a:extLst>
        </xdr:cNvPr>
        <xdr:cNvGrpSpPr/>
      </xdr:nvGrpSpPr>
      <xdr:grpSpPr>
        <a:xfrm>
          <a:off x="2907548" y="19897142"/>
          <a:ext cx="531682" cy="232009"/>
          <a:chOff x="-684174" y="17050401"/>
          <a:chExt cx="582597" cy="238816"/>
        </a:xfrm>
      </xdr:grpSpPr>
      <xdr:pic>
        <xdr:nvPicPr>
          <xdr:cNvPr id="18" name="Gráfico 17" descr="Sol com preenchimento sólido">
            <a:extLst>
              <a:ext uri="{FF2B5EF4-FFF2-40B4-BE49-F238E27FC236}">
                <a16:creationId xmlns:a16="http://schemas.microsoft.com/office/drawing/2014/main" id="{A4712BB5-11F8-3F08-21FB-B115302736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-684174" y="17050401"/>
            <a:ext cx="238124" cy="238124"/>
          </a:xfrm>
          <a:prstGeom prst="rect">
            <a:avLst/>
          </a:prstGeom>
        </xdr:spPr>
      </xdr:pic>
      <xdr:sp macro="" textlink="">
        <xdr:nvSpPr>
          <xdr:cNvPr id="22" name="Gráfico 9" descr="Nuvem com preenchimento sólido">
            <a:extLst>
              <a:ext uri="{FF2B5EF4-FFF2-40B4-BE49-F238E27FC236}">
                <a16:creationId xmlns:a16="http://schemas.microsoft.com/office/drawing/2014/main" id="{9511031C-89FA-4D43-C97B-B8A61390177B}"/>
              </a:ext>
            </a:extLst>
          </xdr:cNvPr>
          <xdr:cNvSpPr/>
        </xdr:nvSpPr>
        <xdr:spPr>
          <a:xfrm>
            <a:off x="-523678" y="17132571"/>
            <a:ext cx="422101" cy="156646"/>
          </a:xfrm>
          <a:custGeom>
            <a:avLst/>
            <a:gdLst>
              <a:gd name="connsiteX0" fmla="*/ 689427 w 802774"/>
              <a:gd name="connsiteY0" fmla="*/ 227507 h 457059"/>
              <a:gd name="connsiteX1" fmla="*/ 679902 w 802774"/>
              <a:gd name="connsiteY1" fmla="*/ 227507 h 457059"/>
              <a:gd name="connsiteX2" fmla="*/ 679902 w 802774"/>
              <a:gd name="connsiteY2" fmla="*/ 227507 h 457059"/>
              <a:gd name="connsiteX3" fmla="*/ 619895 w 802774"/>
              <a:gd name="connsiteY3" fmla="*/ 111302 h 457059"/>
              <a:gd name="connsiteX4" fmla="*/ 489403 w 802774"/>
              <a:gd name="connsiteY4" fmla="*/ 93204 h 457059"/>
              <a:gd name="connsiteX5" fmla="*/ 296998 w 802774"/>
              <a:gd name="connsiteY5" fmla="*/ 4622 h 457059"/>
              <a:gd name="connsiteX6" fmla="*/ 165552 w 802774"/>
              <a:gd name="connsiteY6" fmla="*/ 170357 h 457059"/>
              <a:gd name="connsiteX7" fmla="*/ 165552 w 802774"/>
              <a:gd name="connsiteY7" fmla="*/ 172262 h 457059"/>
              <a:gd name="connsiteX8" fmla="*/ 28392 w 802774"/>
              <a:gd name="connsiteY8" fmla="*/ 227507 h 457059"/>
              <a:gd name="connsiteX9" fmla="*/ 13152 w 802774"/>
              <a:gd name="connsiteY9" fmla="*/ 374192 h 457059"/>
              <a:gd name="connsiteX10" fmla="*/ 136025 w 802774"/>
              <a:gd name="connsiteY10" fmla="*/ 456107 h 457059"/>
              <a:gd name="connsiteX11" fmla="*/ 136025 w 802774"/>
              <a:gd name="connsiteY11" fmla="*/ 457059 h 457059"/>
              <a:gd name="connsiteX12" fmla="*/ 688475 w 802774"/>
              <a:gd name="connsiteY12" fmla="*/ 457059 h 457059"/>
              <a:gd name="connsiteX13" fmla="*/ 802775 w 802774"/>
              <a:gd name="connsiteY13" fmla="*/ 342759 h 457059"/>
              <a:gd name="connsiteX14" fmla="*/ 689427 w 802774"/>
              <a:gd name="connsiteY14" fmla="*/ 227507 h 4570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802774" h="457059">
                <a:moveTo>
                  <a:pt x="689427" y="227507"/>
                </a:moveTo>
                <a:cubicBezTo>
                  <a:pt x="686570" y="227507"/>
                  <a:pt x="682760" y="227507"/>
                  <a:pt x="679902" y="227507"/>
                </a:cubicBezTo>
                <a:cubicBezTo>
                  <a:pt x="679902" y="227507"/>
                  <a:pt x="679902" y="227507"/>
                  <a:pt x="679902" y="227507"/>
                </a:cubicBezTo>
                <a:cubicBezTo>
                  <a:pt x="679902" y="180834"/>
                  <a:pt x="657043" y="137972"/>
                  <a:pt x="619895" y="111302"/>
                </a:cubicBezTo>
                <a:cubicBezTo>
                  <a:pt x="581795" y="84632"/>
                  <a:pt x="533218" y="77964"/>
                  <a:pt x="489403" y="93204"/>
                </a:cubicBezTo>
                <a:cubicBezTo>
                  <a:pt x="453208" y="22719"/>
                  <a:pt x="373198" y="-13476"/>
                  <a:pt x="296998" y="4622"/>
                </a:cubicBezTo>
                <a:cubicBezTo>
                  <a:pt x="220797" y="22719"/>
                  <a:pt x="165552" y="91299"/>
                  <a:pt x="165552" y="170357"/>
                </a:cubicBezTo>
                <a:cubicBezTo>
                  <a:pt x="165552" y="170357"/>
                  <a:pt x="165552" y="171309"/>
                  <a:pt x="165552" y="172262"/>
                </a:cubicBezTo>
                <a:cubicBezTo>
                  <a:pt x="113165" y="163689"/>
                  <a:pt x="60777" y="185597"/>
                  <a:pt x="28392" y="227507"/>
                </a:cubicBezTo>
                <a:cubicBezTo>
                  <a:pt x="-3040" y="270369"/>
                  <a:pt x="-8755" y="326567"/>
                  <a:pt x="13152" y="374192"/>
                </a:cubicBezTo>
                <a:cubicBezTo>
                  <a:pt x="36012" y="421817"/>
                  <a:pt x="83637" y="453249"/>
                  <a:pt x="136025" y="456107"/>
                </a:cubicBezTo>
                <a:lnTo>
                  <a:pt x="136025" y="457059"/>
                </a:lnTo>
                <a:lnTo>
                  <a:pt x="688475" y="457059"/>
                </a:lnTo>
                <a:cubicBezTo>
                  <a:pt x="751340" y="457059"/>
                  <a:pt x="802775" y="405624"/>
                  <a:pt x="802775" y="342759"/>
                </a:cubicBezTo>
                <a:cubicBezTo>
                  <a:pt x="802775" y="279894"/>
                  <a:pt x="752293" y="227507"/>
                  <a:pt x="689427" y="227507"/>
                </a:cubicBezTo>
                <a:close/>
              </a:path>
            </a:pathLst>
          </a:custGeom>
          <a:solidFill>
            <a:schemeClr val="bg1">
              <a:lumMod val="50000"/>
            </a:schemeClr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pt-BR"/>
          </a:p>
        </xdr:txBody>
      </xdr:sp>
    </xdr:grpSp>
    <xdr:clientData/>
  </xdr:twoCellAnchor>
  <xdr:twoCellAnchor>
    <xdr:from>
      <xdr:col>4</xdr:col>
      <xdr:colOff>71057</xdr:colOff>
      <xdr:row>73</xdr:row>
      <xdr:rowOff>58515</xdr:rowOff>
    </xdr:from>
    <xdr:to>
      <xdr:col>4</xdr:col>
      <xdr:colOff>272142</xdr:colOff>
      <xdr:row>74</xdr:row>
      <xdr:rowOff>62467</xdr:rowOff>
    </xdr:to>
    <xdr:pic>
      <xdr:nvPicPr>
        <xdr:cNvPr id="12" name="Gráfico 11" descr="Sol com preenchimento sólido">
          <a:extLst>
            <a:ext uri="{FF2B5EF4-FFF2-40B4-BE49-F238E27FC236}">
              <a16:creationId xmlns:a16="http://schemas.microsoft.com/office/drawing/2014/main" id="{9677A283-8B60-460C-8ABF-E456E85D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436228" y="18466258"/>
          <a:ext cx="201085" cy="189009"/>
        </a:xfrm>
        <a:prstGeom prst="rect">
          <a:avLst/>
        </a:prstGeom>
      </xdr:spPr>
    </xdr:pic>
    <xdr:clientData/>
  </xdr:twoCellAnchor>
  <xdr:twoCellAnchor>
    <xdr:from>
      <xdr:col>4</xdr:col>
      <xdr:colOff>538482</xdr:colOff>
      <xdr:row>70</xdr:row>
      <xdr:rowOff>38546</xdr:rowOff>
    </xdr:from>
    <xdr:to>
      <xdr:col>4</xdr:col>
      <xdr:colOff>932329</xdr:colOff>
      <xdr:row>71</xdr:row>
      <xdr:rowOff>89647</xdr:rowOff>
    </xdr:to>
    <xdr:sp macro="" textlink="">
      <xdr:nvSpPr>
        <xdr:cNvPr id="5" name="Gráfico 9" descr="Nuvem com preenchimento sólido">
          <a:extLst>
            <a:ext uri="{FF2B5EF4-FFF2-40B4-BE49-F238E27FC236}">
              <a16:creationId xmlns:a16="http://schemas.microsoft.com/office/drawing/2014/main" id="{19173B88-C687-45A5-A0E7-F0F771373BA5}"/>
            </a:ext>
          </a:extLst>
        </xdr:cNvPr>
        <xdr:cNvSpPr/>
      </xdr:nvSpPr>
      <xdr:spPr>
        <a:xfrm>
          <a:off x="4787753" y="17950028"/>
          <a:ext cx="393847" cy="239360"/>
        </a:xfrm>
        <a:custGeom>
          <a:avLst/>
          <a:gdLst>
            <a:gd name="connsiteX0" fmla="*/ 689427 w 802774"/>
            <a:gd name="connsiteY0" fmla="*/ 227507 h 457059"/>
            <a:gd name="connsiteX1" fmla="*/ 679902 w 802774"/>
            <a:gd name="connsiteY1" fmla="*/ 227507 h 457059"/>
            <a:gd name="connsiteX2" fmla="*/ 679902 w 802774"/>
            <a:gd name="connsiteY2" fmla="*/ 227507 h 457059"/>
            <a:gd name="connsiteX3" fmla="*/ 619895 w 802774"/>
            <a:gd name="connsiteY3" fmla="*/ 111302 h 457059"/>
            <a:gd name="connsiteX4" fmla="*/ 489403 w 802774"/>
            <a:gd name="connsiteY4" fmla="*/ 93204 h 457059"/>
            <a:gd name="connsiteX5" fmla="*/ 296998 w 802774"/>
            <a:gd name="connsiteY5" fmla="*/ 4622 h 457059"/>
            <a:gd name="connsiteX6" fmla="*/ 165552 w 802774"/>
            <a:gd name="connsiteY6" fmla="*/ 170357 h 457059"/>
            <a:gd name="connsiteX7" fmla="*/ 165552 w 802774"/>
            <a:gd name="connsiteY7" fmla="*/ 172262 h 457059"/>
            <a:gd name="connsiteX8" fmla="*/ 28392 w 802774"/>
            <a:gd name="connsiteY8" fmla="*/ 227507 h 457059"/>
            <a:gd name="connsiteX9" fmla="*/ 13152 w 802774"/>
            <a:gd name="connsiteY9" fmla="*/ 374192 h 457059"/>
            <a:gd name="connsiteX10" fmla="*/ 136025 w 802774"/>
            <a:gd name="connsiteY10" fmla="*/ 456107 h 457059"/>
            <a:gd name="connsiteX11" fmla="*/ 136025 w 802774"/>
            <a:gd name="connsiteY11" fmla="*/ 457059 h 457059"/>
            <a:gd name="connsiteX12" fmla="*/ 688475 w 802774"/>
            <a:gd name="connsiteY12" fmla="*/ 457059 h 457059"/>
            <a:gd name="connsiteX13" fmla="*/ 802775 w 802774"/>
            <a:gd name="connsiteY13" fmla="*/ 342759 h 457059"/>
            <a:gd name="connsiteX14" fmla="*/ 689427 w 802774"/>
            <a:gd name="connsiteY14" fmla="*/ 227507 h 4570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802774" h="457059">
              <a:moveTo>
                <a:pt x="689427" y="227507"/>
              </a:moveTo>
              <a:cubicBezTo>
                <a:pt x="686570" y="227507"/>
                <a:pt x="682760" y="227507"/>
                <a:pt x="679902" y="227507"/>
              </a:cubicBezTo>
              <a:cubicBezTo>
                <a:pt x="679902" y="227507"/>
                <a:pt x="679902" y="227507"/>
                <a:pt x="679902" y="227507"/>
              </a:cubicBezTo>
              <a:cubicBezTo>
                <a:pt x="679902" y="180834"/>
                <a:pt x="657043" y="137972"/>
                <a:pt x="619895" y="111302"/>
              </a:cubicBezTo>
              <a:cubicBezTo>
                <a:pt x="581795" y="84632"/>
                <a:pt x="533218" y="77964"/>
                <a:pt x="489403" y="93204"/>
              </a:cubicBezTo>
              <a:cubicBezTo>
                <a:pt x="453208" y="22719"/>
                <a:pt x="373198" y="-13476"/>
                <a:pt x="296998" y="4622"/>
              </a:cubicBezTo>
              <a:cubicBezTo>
                <a:pt x="220797" y="22719"/>
                <a:pt x="165552" y="91299"/>
                <a:pt x="165552" y="170357"/>
              </a:cubicBezTo>
              <a:cubicBezTo>
                <a:pt x="165552" y="170357"/>
                <a:pt x="165552" y="171309"/>
                <a:pt x="165552" y="172262"/>
              </a:cubicBezTo>
              <a:cubicBezTo>
                <a:pt x="113165" y="163689"/>
                <a:pt x="60777" y="185597"/>
                <a:pt x="28392" y="227507"/>
              </a:cubicBezTo>
              <a:cubicBezTo>
                <a:pt x="-3040" y="270369"/>
                <a:pt x="-8755" y="326567"/>
                <a:pt x="13152" y="374192"/>
              </a:cubicBezTo>
              <a:cubicBezTo>
                <a:pt x="36012" y="421817"/>
                <a:pt x="83637" y="453249"/>
                <a:pt x="136025" y="456107"/>
              </a:cubicBezTo>
              <a:lnTo>
                <a:pt x="136025" y="457059"/>
              </a:lnTo>
              <a:lnTo>
                <a:pt x="688475" y="457059"/>
              </a:lnTo>
              <a:cubicBezTo>
                <a:pt x="751340" y="457059"/>
                <a:pt x="802775" y="405624"/>
                <a:pt x="802775" y="342759"/>
              </a:cubicBezTo>
              <a:cubicBezTo>
                <a:pt x="802775" y="279894"/>
                <a:pt x="752293" y="227507"/>
                <a:pt x="689427" y="227507"/>
              </a:cubicBezTo>
              <a:close/>
            </a:path>
          </a:pathLst>
        </a:custGeom>
        <a:solidFill>
          <a:schemeClr val="bg1">
            <a:lumMod val="50000"/>
          </a:schemeClr>
        </a:solidFill>
        <a:ln w="9525" cap="flat">
          <a:noFill/>
          <a:prstDash val="solid"/>
          <a:miter/>
        </a:ln>
      </xdr:spPr>
      <xdr:txBody>
        <a:bodyPr rtlCol="0" anchor="ctr"/>
        <a:lstStyle/>
        <a:p>
          <a:endParaRPr lang="pt-BR"/>
        </a:p>
      </xdr:txBody>
    </xdr:sp>
    <xdr:clientData/>
  </xdr:twoCellAnchor>
  <xdr:twoCellAnchor>
    <xdr:from>
      <xdr:col>5</xdr:col>
      <xdr:colOff>1201430</xdr:colOff>
      <xdr:row>69</xdr:row>
      <xdr:rowOff>134472</xdr:rowOff>
    </xdr:from>
    <xdr:to>
      <xdr:col>6</xdr:col>
      <xdr:colOff>266241</xdr:colOff>
      <xdr:row>70</xdr:row>
      <xdr:rowOff>146892</xdr:rowOff>
    </xdr:to>
    <xdr:grpSp>
      <xdr:nvGrpSpPr>
        <xdr:cNvPr id="174" name="Agrupar 173">
          <a:extLst>
            <a:ext uri="{FF2B5EF4-FFF2-40B4-BE49-F238E27FC236}">
              <a16:creationId xmlns:a16="http://schemas.microsoft.com/office/drawing/2014/main" id="{5987F676-0298-A367-CAD6-08D59C017E6B}"/>
            </a:ext>
          </a:extLst>
        </xdr:cNvPr>
        <xdr:cNvGrpSpPr/>
      </xdr:nvGrpSpPr>
      <xdr:grpSpPr>
        <a:xfrm>
          <a:off x="6813336" y="18162496"/>
          <a:ext cx="310905" cy="191714"/>
          <a:chOff x="6703518" y="17010531"/>
          <a:chExt cx="436467" cy="248919"/>
        </a:xfrm>
      </xdr:grpSpPr>
      <xdr:pic>
        <xdr:nvPicPr>
          <xdr:cNvPr id="9" name="Gráfico 8" descr="Sol com preenchimento sólido">
            <a:extLst>
              <a:ext uri="{FF2B5EF4-FFF2-40B4-BE49-F238E27FC236}">
                <a16:creationId xmlns:a16="http://schemas.microsoft.com/office/drawing/2014/main" id="{B11C0512-F0A4-DEEB-E4E1-1EB13F9CF8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6703518" y="17010531"/>
            <a:ext cx="231100" cy="213470"/>
          </a:xfrm>
          <a:prstGeom prst="rect">
            <a:avLst/>
          </a:prstGeom>
        </xdr:spPr>
      </xdr:pic>
      <xdr:sp macro="" textlink="">
        <xdr:nvSpPr>
          <xdr:cNvPr id="6" name="Gráfico 9" descr="Nuvem com preenchimento sólido">
            <a:extLst>
              <a:ext uri="{FF2B5EF4-FFF2-40B4-BE49-F238E27FC236}">
                <a16:creationId xmlns:a16="http://schemas.microsoft.com/office/drawing/2014/main" id="{388DED0B-4413-4FEA-9012-09830745DCB5}"/>
              </a:ext>
            </a:extLst>
          </xdr:cNvPr>
          <xdr:cNvSpPr/>
        </xdr:nvSpPr>
        <xdr:spPr>
          <a:xfrm>
            <a:off x="6745941" y="17066559"/>
            <a:ext cx="394044" cy="192891"/>
          </a:xfrm>
          <a:custGeom>
            <a:avLst/>
            <a:gdLst>
              <a:gd name="connsiteX0" fmla="*/ 689427 w 802774"/>
              <a:gd name="connsiteY0" fmla="*/ 227507 h 457059"/>
              <a:gd name="connsiteX1" fmla="*/ 679902 w 802774"/>
              <a:gd name="connsiteY1" fmla="*/ 227507 h 457059"/>
              <a:gd name="connsiteX2" fmla="*/ 679902 w 802774"/>
              <a:gd name="connsiteY2" fmla="*/ 227507 h 457059"/>
              <a:gd name="connsiteX3" fmla="*/ 619895 w 802774"/>
              <a:gd name="connsiteY3" fmla="*/ 111302 h 457059"/>
              <a:gd name="connsiteX4" fmla="*/ 489403 w 802774"/>
              <a:gd name="connsiteY4" fmla="*/ 93204 h 457059"/>
              <a:gd name="connsiteX5" fmla="*/ 296998 w 802774"/>
              <a:gd name="connsiteY5" fmla="*/ 4622 h 457059"/>
              <a:gd name="connsiteX6" fmla="*/ 165552 w 802774"/>
              <a:gd name="connsiteY6" fmla="*/ 170357 h 457059"/>
              <a:gd name="connsiteX7" fmla="*/ 165552 w 802774"/>
              <a:gd name="connsiteY7" fmla="*/ 172262 h 457059"/>
              <a:gd name="connsiteX8" fmla="*/ 28392 w 802774"/>
              <a:gd name="connsiteY8" fmla="*/ 227507 h 457059"/>
              <a:gd name="connsiteX9" fmla="*/ 13152 w 802774"/>
              <a:gd name="connsiteY9" fmla="*/ 374192 h 457059"/>
              <a:gd name="connsiteX10" fmla="*/ 136025 w 802774"/>
              <a:gd name="connsiteY10" fmla="*/ 456107 h 457059"/>
              <a:gd name="connsiteX11" fmla="*/ 136025 w 802774"/>
              <a:gd name="connsiteY11" fmla="*/ 457059 h 457059"/>
              <a:gd name="connsiteX12" fmla="*/ 688475 w 802774"/>
              <a:gd name="connsiteY12" fmla="*/ 457059 h 457059"/>
              <a:gd name="connsiteX13" fmla="*/ 802775 w 802774"/>
              <a:gd name="connsiteY13" fmla="*/ 342759 h 457059"/>
              <a:gd name="connsiteX14" fmla="*/ 689427 w 802774"/>
              <a:gd name="connsiteY14" fmla="*/ 227507 h 4570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802774" h="457059">
                <a:moveTo>
                  <a:pt x="689427" y="227507"/>
                </a:moveTo>
                <a:cubicBezTo>
                  <a:pt x="686570" y="227507"/>
                  <a:pt x="682760" y="227507"/>
                  <a:pt x="679902" y="227507"/>
                </a:cubicBezTo>
                <a:cubicBezTo>
                  <a:pt x="679902" y="227507"/>
                  <a:pt x="679902" y="227507"/>
                  <a:pt x="679902" y="227507"/>
                </a:cubicBezTo>
                <a:cubicBezTo>
                  <a:pt x="679902" y="180834"/>
                  <a:pt x="657043" y="137972"/>
                  <a:pt x="619895" y="111302"/>
                </a:cubicBezTo>
                <a:cubicBezTo>
                  <a:pt x="581795" y="84632"/>
                  <a:pt x="533218" y="77964"/>
                  <a:pt x="489403" y="93204"/>
                </a:cubicBezTo>
                <a:cubicBezTo>
                  <a:pt x="453208" y="22719"/>
                  <a:pt x="373198" y="-13476"/>
                  <a:pt x="296998" y="4622"/>
                </a:cubicBezTo>
                <a:cubicBezTo>
                  <a:pt x="220797" y="22719"/>
                  <a:pt x="165552" y="91299"/>
                  <a:pt x="165552" y="170357"/>
                </a:cubicBezTo>
                <a:cubicBezTo>
                  <a:pt x="165552" y="170357"/>
                  <a:pt x="165552" y="171309"/>
                  <a:pt x="165552" y="172262"/>
                </a:cubicBezTo>
                <a:cubicBezTo>
                  <a:pt x="113165" y="163689"/>
                  <a:pt x="60777" y="185597"/>
                  <a:pt x="28392" y="227507"/>
                </a:cubicBezTo>
                <a:cubicBezTo>
                  <a:pt x="-3040" y="270369"/>
                  <a:pt x="-8755" y="326567"/>
                  <a:pt x="13152" y="374192"/>
                </a:cubicBezTo>
                <a:cubicBezTo>
                  <a:pt x="36012" y="421817"/>
                  <a:pt x="83637" y="453249"/>
                  <a:pt x="136025" y="456107"/>
                </a:cubicBezTo>
                <a:lnTo>
                  <a:pt x="136025" y="457059"/>
                </a:lnTo>
                <a:lnTo>
                  <a:pt x="688475" y="457059"/>
                </a:lnTo>
                <a:cubicBezTo>
                  <a:pt x="751340" y="457059"/>
                  <a:pt x="802775" y="405624"/>
                  <a:pt x="802775" y="342759"/>
                </a:cubicBezTo>
                <a:cubicBezTo>
                  <a:pt x="802775" y="279894"/>
                  <a:pt x="752293" y="227507"/>
                  <a:pt x="689427" y="227507"/>
                </a:cubicBezTo>
                <a:close/>
              </a:path>
            </a:pathLst>
          </a:custGeom>
          <a:solidFill>
            <a:schemeClr val="bg1">
              <a:lumMod val="50000"/>
            </a:schemeClr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pt-BR"/>
          </a:p>
        </xdr:txBody>
      </xdr:sp>
    </xdr:grpSp>
    <xdr:clientData/>
  </xdr:twoCellAnchor>
  <xdr:twoCellAnchor>
    <xdr:from>
      <xdr:col>4</xdr:col>
      <xdr:colOff>0</xdr:colOff>
      <xdr:row>78</xdr:row>
      <xdr:rowOff>32</xdr:rowOff>
    </xdr:from>
    <xdr:to>
      <xdr:col>4</xdr:col>
      <xdr:colOff>367553</xdr:colOff>
      <xdr:row>79</xdr:row>
      <xdr:rowOff>98612</xdr:rowOff>
    </xdr:to>
    <xdr:grpSp>
      <xdr:nvGrpSpPr>
        <xdr:cNvPr id="200" name="Agrupar 199">
          <a:extLst>
            <a:ext uri="{FF2B5EF4-FFF2-40B4-BE49-F238E27FC236}">
              <a16:creationId xmlns:a16="http://schemas.microsoft.com/office/drawing/2014/main" id="{F9F241EC-211A-4B6E-A506-811A76818C40}"/>
            </a:ext>
          </a:extLst>
        </xdr:cNvPr>
        <xdr:cNvGrpSpPr/>
      </xdr:nvGrpSpPr>
      <xdr:grpSpPr>
        <a:xfrm>
          <a:off x="4365812" y="19641703"/>
          <a:ext cx="367553" cy="277874"/>
          <a:chOff x="2336197" y="17364076"/>
          <a:chExt cx="553960" cy="279760"/>
        </a:xfrm>
      </xdr:grpSpPr>
      <xdr:grpSp>
        <xdr:nvGrpSpPr>
          <xdr:cNvPr id="201" name="Agrupar 200">
            <a:extLst>
              <a:ext uri="{FF2B5EF4-FFF2-40B4-BE49-F238E27FC236}">
                <a16:creationId xmlns:a16="http://schemas.microsoft.com/office/drawing/2014/main" id="{81971D16-9762-B3AD-8053-6BD948810CDC}"/>
              </a:ext>
            </a:extLst>
          </xdr:cNvPr>
          <xdr:cNvGrpSpPr/>
        </xdr:nvGrpSpPr>
        <xdr:grpSpPr>
          <a:xfrm>
            <a:off x="2336197" y="17364076"/>
            <a:ext cx="451387" cy="279760"/>
            <a:chOff x="-684174" y="17050401"/>
            <a:chExt cx="451387" cy="279760"/>
          </a:xfrm>
        </xdr:grpSpPr>
        <xdr:pic>
          <xdr:nvPicPr>
            <xdr:cNvPr id="203" name="Gráfico 202" descr="Sol com preenchimento sólido">
              <a:extLst>
                <a:ext uri="{FF2B5EF4-FFF2-40B4-BE49-F238E27FC236}">
                  <a16:creationId xmlns:a16="http://schemas.microsoft.com/office/drawing/2014/main" id="{F5663C2F-6539-9296-8A7B-7FA27C50497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8"/>
                </a:ext>
              </a:extLst>
            </a:blip>
            <a:stretch>
              <a:fillRect/>
            </a:stretch>
          </xdr:blipFill>
          <xdr:spPr>
            <a:xfrm>
              <a:off x="-684174" y="17050401"/>
              <a:ext cx="238124" cy="238124"/>
            </a:xfrm>
            <a:prstGeom prst="rect">
              <a:avLst/>
            </a:prstGeom>
          </xdr:spPr>
        </xdr:pic>
        <xdr:sp macro="" textlink="">
          <xdr:nvSpPr>
            <xdr:cNvPr id="204" name="Gráfico 9" descr="Nuvem com preenchimento sólido">
              <a:extLst>
                <a:ext uri="{FF2B5EF4-FFF2-40B4-BE49-F238E27FC236}">
                  <a16:creationId xmlns:a16="http://schemas.microsoft.com/office/drawing/2014/main" id="{9F19E15B-DF0F-D531-969C-9C477B4E62E0}"/>
                </a:ext>
              </a:extLst>
            </xdr:cNvPr>
            <xdr:cNvSpPr/>
          </xdr:nvSpPr>
          <xdr:spPr>
            <a:xfrm>
              <a:off x="-654888" y="17114992"/>
              <a:ext cx="422101" cy="215169"/>
            </a:xfrm>
            <a:custGeom>
              <a:avLst/>
              <a:gdLst>
                <a:gd name="connsiteX0" fmla="*/ 689427 w 802774"/>
                <a:gd name="connsiteY0" fmla="*/ 227507 h 457059"/>
                <a:gd name="connsiteX1" fmla="*/ 679902 w 802774"/>
                <a:gd name="connsiteY1" fmla="*/ 227507 h 457059"/>
                <a:gd name="connsiteX2" fmla="*/ 679902 w 802774"/>
                <a:gd name="connsiteY2" fmla="*/ 227507 h 457059"/>
                <a:gd name="connsiteX3" fmla="*/ 619895 w 802774"/>
                <a:gd name="connsiteY3" fmla="*/ 111302 h 457059"/>
                <a:gd name="connsiteX4" fmla="*/ 489403 w 802774"/>
                <a:gd name="connsiteY4" fmla="*/ 93204 h 457059"/>
                <a:gd name="connsiteX5" fmla="*/ 296998 w 802774"/>
                <a:gd name="connsiteY5" fmla="*/ 4622 h 457059"/>
                <a:gd name="connsiteX6" fmla="*/ 165552 w 802774"/>
                <a:gd name="connsiteY6" fmla="*/ 170357 h 457059"/>
                <a:gd name="connsiteX7" fmla="*/ 165552 w 802774"/>
                <a:gd name="connsiteY7" fmla="*/ 172262 h 457059"/>
                <a:gd name="connsiteX8" fmla="*/ 28392 w 802774"/>
                <a:gd name="connsiteY8" fmla="*/ 227507 h 457059"/>
                <a:gd name="connsiteX9" fmla="*/ 13152 w 802774"/>
                <a:gd name="connsiteY9" fmla="*/ 374192 h 457059"/>
                <a:gd name="connsiteX10" fmla="*/ 136025 w 802774"/>
                <a:gd name="connsiteY10" fmla="*/ 456107 h 457059"/>
                <a:gd name="connsiteX11" fmla="*/ 136025 w 802774"/>
                <a:gd name="connsiteY11" fmla="*/ 457059 h 457059"/>
                <a:gd name="connsiteX12" fmla="*/ 688475 w 802774"/>
                <a:gd name="connsiteY12" fmla="*/ 457059 h 457059"/>
                <a:gd name="connsiteX13" fmla="*/ 802775 w 802774"/>
                <a:gd name="connsiteY13" fmla="*/ 342759 h 457059"/>
                <a:gd name="connsiteX14" fmla="*/ 689427 w 802774"/>
                <a:gd name="connsiteY14" fmla="*/ 227507 h 4570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</a:cxnLst>
              <a:rect l="l" t="t" r="r" b="b"/>
              <a:pathLst>
                <a:path w="802774" h="457059">
                  <a:moveTo>
                    <a:pt x="689427" y="227507"/>
                  </a:moveTo>
                  <a:cubicBezTo>
                    <a:pt x="686570" y="227507"/>
                    <a:pt x="682760" y="227507"/>
                    <a:pt x="679902" y="227507"/>
                  </a:cubicBezTo>
                  <a:cubicBezTo>
                    <a:pt x="679902" y="227507"/>
                    <a:pt x="679902" y="227507"/>
                    <a:pt x="679902" y="227507"/>
                  </a:cubicBezTo>
                  <a:cubicBezTo>
                    <a:pt x="679902" y="180834"/>
                    <a:pt x="657043" y="137972"/>
                    <a:pt x="619895" y="111302"/>
                  </a:cubicBezTo>
                  <a:cubicBezTo>
                    <a:pt x="581795" y="84632"/>
                    <a:pt x="533218" y="77964"/>
                    <a:pt x="489403" y="93204"/>
                  </a:cubicBezTo>
                  <a:cubicBezTo>
                    <a:pt x="453208" y="22719"/>
                    <a:pt x="373198" y="-13476"/>
                    <a:pt x="296998" y="4622"/>
                  </a:cubicBezTo>
                  <a:cubicBezTo>
                    <a:pt x="220797" y="22719"/>
                    <a:pt x="165552" y="91299"/>
                    <a:pt x="165552" y="170357"/>
                  </a:cubicBezTo>
                  <a:cubicBezTo>
                    <a:pt x="165552" y="170357"/>
                    <a:pt x="165552" y="171309"/>
                    <a:pt x="165552" y="172262"/>
                  </a:cubicBezTo>
                  <a:cubicBezTo>
                    <a:pt x="113165" y="163689"/>
                    <a:pt x="60777" y="185597"/>
                    <a:pt x="28392" y="227507"/>
                  </a:cubicBezTo>
                  <a:cubicBezTo>
                    <a:pt x="-3040" y="270369"/>
                    <a:pt x="-8755" y="326567"/>
                    <a:pt x="13152" y="374192"/>
                  </a:cubicBezTo>
                  <a:cubicBezTo>
                    <a:pt x="36012" y="421817"/>
                    <a:pt x="83637" y="453249"/>
                    <a:pt x="136025" y="456107"/>
                  </a:cubicBezTo>
                  <a:lnTo>
                    <a:pt x="136025" y="457059"/>
                  </a:lnTo>
                  <a:lnTo>
                    <a:pt x="688475" y="457059"/>
                  </a:lnTo>
                  <a:cubicBezTo>
                    <a:pt x="751340" y="457059"/>
                    <a:pt x="802775" y="405624"/>
                    <a:pt x="802775" y="342759"/>
                  </a:cubicBezTo>
                  <a:cubicBezTo>
                    <a:pt x="802775" y="279894"/>
                    <a:pt x="752293" y="227507"/>
                    <a:pt x="689427" y="227507"/>
                  </a:cubicBezTo>
                  <a:close/>
                </a:path>
              </a:pathLst>
            </a:custGeom>
            <a:solidFill>
              <a:schemeClr val="bg1">
                <a:lumMod val="50000"/>
              </a:schemeClr>
            </a:solidFill>
            <a:ln w="9525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pt-BR"/>
            </a:p>
          </xdr:txBody>
        </xdr:sp>
      </xdr:grpSp>
      <xdr:sp macro="" textlink="">
        <xdr:nvSpPr>
          <xdr:cNvPr id="202" name="Gráfico 9" descr="Nuvem com preenchimento sólido">
            <a:extLst>
              <a:ext uri="{FF2B5EF4-FFF2-40B4-BE49-F238E27FC236}">
                <a16:creationId xmlns:a16="http://schemas.microsoft.com/office/drawing/2014/main" id="{ECBA4389-0CBD-25A1-3A7F-C4E4D683FC2F}"/>
              </a:ext>
            </a:extLst>
          </xdr:cNvPr>
          <xdr:cNvSpPr/>
        </xdr:nvSpPr>
        <xdr:spPr>
          <a:xfrm>
            <a:off x="2536372" y="17411912"/>
            <a:ext cx="353785" cy="231322"/>
          </a:xfrm>
          <a:custGeom>
            <a:avLst/>
            <a:gdLst>
              <a:gd name="connsiteX0" fmla="*/ 689427 w 802774"/>
              <a:gd name="connsiteY0" fmla="*/ 227507 h 457059"/>
              <a:gd name="connsiteX1" fmla="*/ 679902 w 802774"/>
              <a:gd name="connsiteY1" fmla="*/ 227507 h 457059"/>
              <a:gd name="connsiteX2" fmla="*/ 679902 w 802774"/>
              <a:gd name="connsiteY2" fmla="*/ 227507 h 457059"/>
              <a:gd name="connsiteX3" fmla="*/ 619895 w 802774"/>
              <a:gd name="connsiteY3" fmla="*/ 111302 h 457059"/>
              <a:gd name="connsiteX4" fmla="*/ 489403 w 802774"/>
              <a:gd name="connsiteY4" fmla="*/ 93204 h 457059"/>
              <a:gd name="connsiteX5" fmla="*/ 296998 w 802774"/>
              <a:gd name="connsiteY5" fmla="*/ 4622 h 457059"/>
              <a:gd name="connsiteX6" fmla="*/ 165552 w 802774"/>
              <a:gd name="connsiteY6" fmla="*/ 170357 h 457059"/>
              <a:gd name="connsiteX7" fmla="*/ 165552 w 802774"/>
              <a:gd name="connsiteY7" fmla="*/ 172262 h 457059"/>
              <a:gd name="connsiteX8" fmla="*/ 28392 w 802774"/>
              <a:gd name="connsiteY8" fmla="*/ 227507 h 457059"/>
              <a:gd name="connsiteX9" fmla="*/ 13152 w 802774"/>
              <a:gd name="connsiteY9" fmla="*/ 374192 h 457059"/>
              <a:gd name="connsiteX10" fmla="*/ 136025 w 802774"/>
              <a:gd name="connsiteY10" fmla="*/ 456107 h 457059"/>
              <a:gd name="connsiteX11" fmla="*/ 136025 w 802774"/>
              <a:gd name="connsiteY11" fmla="*/ 457059 h 457059"/>
              <a:gd name="connsiteX12" fmla="*/ 688475 w 802774"/>
              <a:gd name="connsiteY12" fmla="*/ 457059 h 457059"/>
              <a:gd name="connsiteX13" fmla="*/ 802775 w 802774"/>
              <a:gd name="connsiteY13" fmla="*/ 342759 h 457059"/>
              <a:gd name="connsiteX14" fmla="*/ 689427 w 802774"/>
              <a:gd name="connsiteY14" fmla="*/ 227507 h 4570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802774" h="457059">
                <a:moveTo>
                  <a:pt x="689427" y="227507"/>
                </a:moveTo>
                <a:cubicBezTo>
                  <a:pt x="686570" y="227507"/>
                  <a:pt x="682760" y="227507"/>
                  <a:pt x="679902" y="227507"/>
                </a:cubicBezTo>
                <a:cubicBezTo>
                  <a:pt x="679902" y="227507"/>
                  <a:pt x="679902" y="227507"/>
                  <a:pt x="679902" y="227507"/>
                </a:cubicBezTo>
                <a:cubicBezTo>
                  <a:pt x="679902" y="180834"/>
                  <a:pt x="657043" y="137972"/>
                  <a:pt x="619895" y="111302"/>
                </a:cubicBezTo>
                <a:cubicBezTo>
                  <a:pt x="581795" y="84632"/>
                  <a:pt x="533218" y="77964"/>
                  <a:pt x="489403" y="93204"/>
                </a:cubicBezTo>
                <a:cubicBezTo>
                  <a:pt x="453208" y="22719"/>
                  <a:pt x="373198" y="-13476"/>
                  <a:pt x="296998" y="4622"/>
                </a:cubicBezTo>
                <a:cubicBezTo>
                  <a:pt x="220797" y="22719"/>
                  <a:pt x="165552" y="91299"/>
                  <a:pt x="165552" y="170357"/>
                </a:cubicBezTo>
                <a:cubicBezTo>
                  <a:pt x="165552" y="170357"/>
                  <a:pt x="165552" y="171309"/>
                  <a:pt x="165552" y="172262"/>
                </a:cubicBezTo>
                <a:cubicBezTo>
                  <a:pt x="113165" y="163689"/>
                  <a:pt x="60777" y="185597"/>
                  <a:pt x="28392" y="227507"/>
                </a:cubicBezTo>
                <a:cubicBezTo>
                  <a:pt x="-3040" y="270369"/>
                  <a:pt x="-8755" y="326567"/>
                  <a:pt x="13152" y="374192"/>
                </a:cubicBezTo>
                <a:cubicBezTo>
                  <a:pt x="36012" y="421817"/>
                  <a:pt x="83637" y="453249"/>
                  <a:pt x="136025" y="456107"/>
                </a:cubicBezTo>
                <a:lnTo>
                  <a:pt x="136025" y="457059"/>
                </a:lnTo>
                <a:lnTo>
                  <a:pt x="688475" y="457059"/>
                </a:lnTo>
                <a:cubicBezTo>
                  <a:pt x="751340" y="457059"/>
                  <a:pt x="802775" y="405624"/>
                  <a:pt x="802775" y="342759"/>
                </a:cubicBezTo>
                <a:cubicBezTo>
                  <a:pt x="802775" y="279894"/>
                  <a:pt x="752293" y="227507"/>
                  <a:pt x="689427" y="227507"/>
                </a:cubicBezTo>
                <a:close/>
              </a:path>
            </a:pathLst>
          </a:custGeom>
          <a:solidFill>
            <a:schemeClr val="bg1">
              <a:lumMod val="50000"/>
            </a:schemeClr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pt-BR"/>
          </a:p>
        </xdr:txBody>
      </xdr:sp>
    </xdr:grpSp>
    <xdr:clientData/>
  </xdr:twoCellAnchor>
  <xdr:twoCellAnchor>
    <xdr:from>
      <xdr:col>3</xdr:col>
      <xdr:colOff>277906</xdr:colOff>
      <xdr:row>70</xdr:row>
      <xdr:rowOff>116542</xdr:rowOff>
    </xdr:from>
    <xdr:to>
      <xdr:col>3</xdr:col>
      <xdr:colOff>600625</xdr:colOff>
      <xdr:row>71</xdr:row>
      <xdr:rowOff>159626</xdr:rowOff>
    </xdr:to>
    <xdr:sp macro="" textlink="">
      <xdr:nvSpPr>
        <xdr:cNvPr id="208" name="Gráfico 9" descr="Nuvem com preenchimento sólido">
          <a:extLst>
            <a:ext uri="{FF2B5EF4-FFF2-40B4-BE49-F238E27FC236}">
              <a16:creationId xmlns:a16="http://schemas.microsoft.com/office/drawing/2014/main" id="{5F21E986-A282-4D4C-A8DA-4BEF003CD786}"/>
            </a:ext>
          </a:extLst>
        </xdr:cNvPr>
        <xdr:cNvSpPr/>
      </xdr:nvSpPr>
      <xdr:spPr>
        <a:xfrm>
          <a:off x="3827930" y="17696330"/>
          <a:ext cx="322719" cy="222378"/>
        </a:xfrm>
        <a:custGeom>
          <a:avLst/>
          <a:gdLst>
            <a:gd name="connsiteX0" fmla="*/ 689427 w 802774"/>
            <a:gd name="connsiteY0" fmla="*/ 227507 h 457059"/>
            <a:gd name="connsiteX1" fmla="*/ 679902 w 802774"/>
            <a:gd name="connsiteY1" fmla="*/ 227507 h 457059"/>
            <a:gd name="connsiteX2" fmla="*/ 679902 w 802774"/>
            <a:gd name="connsiteY2" fmla="*/ 227507 h 457059"/>
            <a:gd name="connsiteX3" fmla="*/ 619895 w 802774"/>
            <a:gd name="connsiteY3" fmla="*/ 111302 h 457059"/>
            <a:gd name="connsiteX4" fmla="*/ 489403 w 802774"/>
            <a:gd name="connsiteY4" fmla="*/ 93204 h 457059"/>
            <a:gd name="connsiteX5" fmla="*/ 296998 w 802774"/>
            <a:gd name="connsiteY5" fmla="*/ 4622 h 457059"/>
            <a:gd name="connsiteX6" fmla="*/ 165552 w 802774"/>
            <a:gd name="connsiteY6" fmla="*/ 170357 h 457059"/>
            <a:gd name="connsiteX7" fmla="*/ 165552 w 802774"/>
            <a:gd name="connsiteY7" fmla="*/ 172262 h 457059"/>
            <a:gd name="connsiteX8" fmla="*/ 28392 w 802774"/>
            <a:gd name="connsiteY8" fmla="*/ 227507 h 457059"/>
            <a:gd name="connsiteX9" fmla="*/ 13152 w 802774"/>
            <a:gd name="connsiteY9" fmla="*/ 374192 h 457059"/>
            <a:gd name="connsiteX10" fmla="*/ 136025 w 802774"/>
            <a:gd name="connsiteY10" fmla="*/ 456107 h 457059"/>
            <a:gd name="connsiteX11" fmla="*/ 136025 w 802774"/>
            <a:gd name="connsiteY11" fmla="*/ 457059 h 457059"/>
            <a:gd name="connsiteX12" fmla="*/ 688475 w 802774"/>
            <a:gd name="connsiteY12" fmla="*/ 457059 h 457059"/>
            <a:gd name="connsiteX13" fmla="*/ 802775 w 802774"/>
            <a:gd name="connsiteY13" fmla="*/ 342759 h 457059"/>
            <a:gd name="connsiteX14" fmla="*/ 689427 w 802774"/>
            <a:gd name="connsiteY14" fmla="*/ 227507 h 4570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802774" h="457059">
              <a:moveTo>
                <a:pt x="689427" y="227507"/>
              </a:moveTo>
              <a:cubicBezTo>
                <a:pt x="686570" y="227507"/>
                <a:pt x="682760" y="227507"/>
                <a:pt x="679902" y="227507"/>
              </a:cubicBezTo>
              <a:cubicBezTo>
                <a:pt x="679902" y="227507"/>
                <a:pt x="679902" y="227507"/>
                <a:pt x="679902" y="227507"/>
              </a:cubicBezTo>
              <a:cubicBezTo>
                <a:pt x="679902" y="180834"/>
                <a:pt x="657043" y="137972"/>
                <a:pt x="619895" y="111302"/>
              </a:cubicBezTo>
              <a:cubicBezTo>
                <a:pt x="581795" y="84632"/>
                <a:pt x="533218" y="77964"/>
                <a:pt x="489403" y="93204"/>
              </a:cubicBezTo>
              <a:cubicBezTo>
                <a:pt x="453208" y="22719"/>
                <a:pt x="373198" y="-13476"/>
                <a:pt x="296998" y="4622"/>
              </a:cubicBezTo>
              <a:cubicBezTo>
                <a:pt x="220797" y="22719"/>
                <a:pt x="165552" y="91299"/>
                <a:pt x="165552" y="170357"/>
              </a:cubicBezTo>
              <a:cubicBezTo>
                <a:pt x="165552" y="170357"/>
                <a:pt x="165552" y="171309"/>
                <a:pt x="165552" y="172262"/>
              </a:cubicBezTo>
              <a:cubicBezTo>
                <a:pt x="113165" y="163689"/>
                <a:pt x="60777" y="185597"/>
                <a:pt x="28392" y="227507"/>
              </a:cubicBezTo>
              <a:cubicBezTo>
                <a:pt x="-3040" y="270369"/>
                <a:pt x="-8755" y="326567"/>
                <a:pt x="13152" y="374192"/>
              </a:cubicBezTo>
              <a:cubicBezTo>
                <a:pt x="36012" y="421817"/>
                <a:pt x="83637" y="453249"/>
                <a:pt x="136025" y="456107"/>
              </a:cubicBezTo>
              <a:lnTo>
                <a:pt x="136025" y="457059"/>
              </a:lnTo>
              <a:lnTo>
                <a:pt x="688475" y="457059"/>
              </a:lnTo>
              <a:cubicBezTo>
                <a:pt x="751340" y="457059"/>
                <a:pt x="802775" y="405624"/>
                <a:pt x="802775" y="342759"/>
              </a:cubicBezTo>
              <a:cubicBezTo>
                <a:pt x="802775" y="279894"/>
                <a:pt x="752293" y="227507"/>
                <a:pt x="689427" y="227507"/>
              </a:cubicBezTo>
              <a:close/>
            </a:path>
          </a:pathLst>
        </a:custGeom>
        <a:solidFill>
          <a:schemeClr val="bg1">
            <a:lumMod val="50000"/>
          </a:schemeClr>
        </a:solidFill>
        <a:ln w="9525" cap="flat">
          <a:noFill/>
          <a:prstDash val="solid"/>
          <a:miter/>
        </a:ln>
      </xdr:spPr>
      <xdr:txBody>
        <a:bodyPr rtlCol="0" anchor="ctr"/>
        <a:lstStyle/>
        <a:p>
          <a:endParaRPr lang="pt-BR"/>
        </a:p>
      </xdr:txBody>
    </xdr:sp>
    <xdr:clientData/>
  </xdr:twoCellAnchor>
  <xdr:twoCellAnchor>
    <xdr:from>
      <xdr:col>2</xdr:col>
      <xdr:colOff>188259</xdr:colOff>
      <xdr:row>74</xdr:row>
      <xdr:rowOff>64908</xdr:rowOff>
    </xdr:from>
    <xdr:to>
      <xdr:col>2</xdr:col>
      <xdr:colOff>502024</xdr:colOff>
      <xdr:row>75</xdr:row>
      <xdr:rowOff>98612</xdr:rowOff>
    </xdr:to>
    <xdr:sp macro="" textlink="">
      <xdr:nvSpPr>
        <xdr:cNvPr id="246" name="Gráfico 9" descr="Nuvem com preenchimento sólido">
          <a:extLst>
            <a:ext uri="{FF2B5EF4-FFF2-40B4-BE49-F238E27FC236}">
              <a16:creationId xmlns:a16="http://schemas.microsoft.com/office/drawing/2014/main" id="{14C9EA3C-4542-4CEE-28DD-0A67F9358464}"/>
            </a:ext>
          </a:extLst>
        </xdr:cNvPr>
        <xdr:cNvSpPr/>
      </xdr:nvSpPr>
      <xdr:spPr>
        <a:xfrm>
          <a:off x="1667435" y="18729426"/>
          <a:ext cx="313765" cy="221962"/>
        </a:xfrm>
        <a:custGeom>
          <a:avLst/>
          <a:gdLst>
            <a:gd name="connsiteX0" fmla="*/ 689427 w 802774"/>
            <a:gd name="connsiteY0" fmla="*/ 227507 h 457059"/>
            <a:gd name="connsiteX1" fmla="*/ 679902 w 802774"/>
            <a:gd name="connsiteY1" fmla="*/ 227507 h 457059"/>
            <a:gd name="connsiteX2" fmla="*/ 679902 w 802774"/>
            <a:gd name="connsiteY2" fmla="*/ 227507 h 457059"/>
            <a:gd name="connsiteX3" fmla="*/ 619895 w 802774"/>
            <a:gd name="connsiteY3" fmla="*/ 111302 h 457059"/>
            <a:gd name="connsiteX4" fmla="*/ 489403 w 802774"/>
            <a:gd name="connsiteY4" fmla="*/ 93204 h 457059"/>
            <a:gd name="connsiteX5" fmla="*/ 296998 w 802774"/>
            <a:gd name="connsiteY5" fmla="*/ 4622 h 457059"/>
            <a:gd name="connsiteX6" fmla="*/ 165552 w 802774"/>
            <a:gd name="connsiteY6" fmla="*/ 170357 h 457059"/>
            <a:gd name="connsiteX7" fmla="*/ 165552 w 802774"/>
            <a:gd name="connsiteY7" fmla="*/ 172262 h 457059"/>
            <a:gd name="connsiteX8" fmla="*/ 28392 w 802774"/>
            <a:gd name="connsiteY8" fmla="*/ 227507 h 457059"/>
            <a:gd name="connsiteX9" fmla="*/ 13152 w 802774"/>
            <a:gd name="connsiteY9" fmla="*/ 374192 h 457059"/>
            <a:gd name="connsiteX10" fmla="*/ 136025 w 802774"/>
            <a:gd name="connsiteY10" fmla="*/ 456107 h 457059"/>
            <a:gd name="connsiteX11" fmla="*/ 136025 w 802774"/>
            <a:gd name="connsiteY11" fmla="*/ 457059 h 457059"/>
            <a:gd name="connsiteX12" fmla="*/ 688475 w 802774"/>
            <a:gd name="connsiteY12" fmla="*/ 457059 h 457059"/>
            <a:gd name="connsiteX13" fmla="*/ 802775 w 802774"/>
            <a:gd name="connsiteY13" fmla="*/ 342759 h 457059"/>
            <a:gd name="connsiteX14" fmla="*/ 689427 w 802774"/>
            <a:gd name="connsiteY14" fmla="*/ 227507 h 4570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802774" h="457059">
              <a:moveTo>
                <a:pt x="689427" y="227507"/>
              </a:moveTo>
              <a:cubicBezTo>
                <a:pt x="686570" y="227507"/>
                <a:pt x="682760" y="227507"/>
                <a:pt x="679902" y="227507"/>
              </a:cubicBezTo>
              <a:cubicBezTo>
                <a:pt x="679902" y="227507"/>
                <a:pt x="679902" y="227507"/>
                <a:pt x="679902" y="227507"/>
              </a:cubicBezTo>
              <a:cubicBezTo>
                <a:pt x="679902" y="180834"/>
                <a:pt x="657043" y="137972"/>
                <a:pt x="619895" y="111302"/>
              </a:cubicBezTo>
              <a:cubicBezTo>
                <a:pt x="581795" y="84632"/>
                <a:pt x="533218" y="77964"/>
                <a:pt x="489403" y="93204"/>
              </a:cubicBezTo>
              <a:cubicBezTo>
                <a:pt x="453208" y="22719"/>
                <a:pt x="373198" y="-13476"/>
                <a:pt x="296998" y="4622"/>
              </a:cubicBezTo>
              <a:cubicBezTo>
                <a:pt x="220797" y="22719"/>
                <a:pt x="165552" y="91299"/>
                <a:pt x="165552" y="170357"/>
              </a:cubicBezTo>
              <a:cubicBezTo>
                <a:pt x="165552" y="170357"/>
                <a:pt x="165552" y="171309"/>
                <a:pt x="165552" y="172262"/>
              </a:cubicBezTo>
              <a:cubicBezTo>
                <a:pt x="113165" y="163689"/>
                <a:pt x="60777" y="185597"/>
                <a:pt x="28392" y="227507"/>
              </a:cubicBezTo>
              <a:cubicBezTo>
                <a:pt x="-3040" y="270369"/>
                <a:pt x="-8755" y="326567"/>
                <a:pt x="13152" y="374192"/>
              </a:cubicBezTo>
              <a:cubicBezTo>
                <a:pt x="36012" y="421817"/>
                <a:pt x="83637" y="453249"/>
                <a:pt x="136025" y="456107"/>
              </a:cubicBezTo>
              <a:lnTo>
                <a:pt x="136025" y="457059"/>
              </a:lnTo>
              <a:lnTo>
                <a:pt x="688475" y="457059"/>
              </a:lnTo>
              <a:cubicBezTo>
                <a:pt x="751340" y="457059"/>
                <a:pt x="802775" y="405624"/>
                <a:pt x="802775" y="342759"/>
              </a:cubicBezTo>
              <a:cubicBezTo>
                <a:pt x="802775" y="279894"/>
                <a:pt x="752293" y="227507"/>
                <a:pt x="689427" y="227507"/>
              </a:cubicBezTo>
              <a:close/>
            </a:path>
          </a:pathLst>
        </a:custGeom>
        <a:solidFill>
          <a:schemeClr val="bg1">
            <a:lumMod val="50000"/>
          </a:schemeClr>
        </a:solidFill>
        <a:ln w="9525" cap="flat">
          <a:noFill/>
          <a:prstDash val="solid"/>
          <a:miter/>
        </a:ln>
      </xdr:spPr>
      <xdr:txBody>
        <a:bodyPr rtlCol="0" anchor="ctr"/>
        <a:lstStyle/>
        <a:p>
          <a:endParaRPr lang="pt-BR"/>
        </a:p>
      </xdr:txBody>
    </xdr:sp>
    <xdr:clientData/>
  </xdr:twoCellAnchor>
  <xdr:twoCellAnchor>
    <xdr:from>
      <xdr:col>1</xdr:col>
      <xdr:colOff>31031</xdr:colOff>
      <xdr:row>83</xdr:row>
      <xdr:rowOff>34993</xdr:rowOff>
    </xdr:from>
    <xdr:to>
      <xdr:col>1</xdr:col>
      <xdr:colOff>283391</xdr:colOff>
      <xdr:row>84</xdr:row>
      <xdr:rowOff>108858</xdr:rowOff>
    </xdr:to>
    <xdr:pic>
      <xdr:nvPicPr>
        <xdr:cNvPr id="220" name="Gráfico 219" descr="Sol com preenchimento sólido">
          <a:extLst>
            <a:ext uri="{FF2B5EF4-FFF2-40B4-BE49-F238E27FC236}">
              <a16:creationId xmlns:a16="http://schemas.microsoft.com/office/drawing/2014/main" id="{3EE7FE36-F79E-E62E-CAAD-0CE5E5F1F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46717" y="20293307"/>
          <a:ext cx="252360" cy="258922"/>
        </a:xfrm>
        <a:prstGeom prst="rect">
          <a:avLst/>
        </a:prstGeom>
      </xdr:spPr>
    </xdr:pic>
    <xdr:clientData/>
  </xdr:twoCellAnchor>
  <xdr:twoCellAnchor>
    <xdr:from>
      <xdr:col>2</xdr:col>
      <xdr:colOff>555170</xdr:colOff>
      <xdr:row>84</xdr:row>
      <xdr:rowOff>141515</xdr:rowOff>
    </xdr:from>
    <xdr:to>
      <xdr:col>2</xdr:col>
      <xdr:colOff>1111223</xdr:colOff>
      <xdr:row>87</xdr:row>
      <xdr:rowOff>108857</xdr:rowOff>
    </xdr:to>
    <xdr:pic>
      <xdr:nvPicPr>
        <xdr:cNvPr id="221" name="Gráfico 220" descr="Chuva com preenchimento sólido">
          <a:extLst>
            <a:ext uri="{FF2B5EF4-FFF2-40B4-BE49-F238E27FC236}">
              <a16:creationId xmlns:a16="http://schemas.microsoft.com/office/drawing/2014/main" id="{45E71B2C-E92C-15D7-D079-8936CC4E4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068284" y="20584886"/>
          <a:ext cx="556053" cy="522514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85</xdr:row>
      <xdr:rowOff>0</xdr:rowOff>
    </xdr:from>
    <xdr:to>
      <xdr:col>1</xdr:col>
      <xdr:colOff>293915</xdr:colOff>
      <xdr:row>86</xdr:row>
      <xdr:rowOff>0</xdr:rowOff>
    </xdr:to>
    <xdr:grpSp>
      <xdr:nvGrpSpPr>
        <xdr:cNvPr id="222" name="Agrupar 221">
          <a:extLst>
            <a:ext uri="{FF2B5EF4-FFF2-40B4-BE49-F238E27FC236}">
              <a16:creationId xmlns:a16="http://schemas.microsoft.com/office/drawing/2014/main" id="{EF04A1E2-27F0-400C-946D-B7FB335E39AC}"/>
            </a:ext>
          </a:extLst>
        </xdr:cNvPr>
        <xdr:cNvGrpSpPr/>
      </xdr:nvGrpSpPr>
      <xdr:grpSpPr>
        <a:xfrm>
          <a:off x="322730" y="20896729"/>
          <a:ext cx="293914" cy="179295"/>
          <a:chOff x="4623707" y="17053835"/>
          <a:chExt cx="382992" cy="255087"/>
        </a:xfrm>
      </xdr:grpSpPr>
      <xdr:pic>
        <xdr:nvPicPr>
          <xdr:cNvPr id="253" name="Gráfico 252" descr="Sol com preenchimento sólido">
            <a:extLst>
              <a:ext uri="{FF2B5EF4-FFF2-40B4-BE49-F238E27FC236}">
                <a16:creationId xmlns:a16="http://schemas.microsoft.com/office/drawing/2014/main" id="{E3615F61-19A0-5A8D-F849-1EF76E14B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4623707" y="17053835"/>
            <a:ext cx="222296" cy="213470"/>
          </a:xfrm>
          <a:prstGeom prst="rect">
            <a:avLst/>
          </a:prstGeom>
        </xdr:spPr>
      </xdr:pic>
      <xdr:sp macro="" textlink="">
        <xdr:nvSpPr>
          <xdr:cNvPr id="254" name="Gráfico 9" descr="Nuvem com preenchimento sólido">
            <a:extLst>
              <a:ext uri="{FF2B5EF4-FFF2-40B4-BE49-F238E27FC236}">
                <a16:creationId xmlns:a16="http://schemas.microsoft.com/office/drawing/2014/main" id="{5CED9B3A-C1A2-22C0-AE12-6524FA2D265B}"/>
              </a:ext>
            </a:extLst>
          </xdr:cNvPr>
          <xdr:cNvSpPr/>
        </xdr:nvSpPr>
        <xdr:spPr>
          <a:xfrm>
            <a:off x="4665942" y="17120270"/>
            <a:ext cx="340757" cy="188652"/>
          </a:xfrm>
          <a:custGeom>
            <a:avLst/>
            <a:gdLst>
              <a:gd name="connsiteX0" fmla="*/ 689427 w 802774"/>
              <a:gd name="connsiteY0" fmla="*/ 227507 h 457059"/>
              <a:gd name="connsiteX1" fmla="*/ 679902 w 802774"/>
              <a:gd name="connsiteY1" fmla="*/ 227507 h 457059"/>
              <a:gd name="connsiteX2" fmla="*/ 679902 w 802774"/>
              <a:gd name="connsiteY2" fmla="*/ 227507 h 457059"/>
              <a:gd name="connsiteX3" fmla="*/ 619895 w 802774"/>
              <a:gd name="connsiteY3" fmla="*/ 111302 h 457059"/>
              <a:gd name="connsiteX4" fmla="*/ 489403 w 802774"/>
              <a:gd name="connsiteY4" fmla="*/ 93204 h 457059"/>
              <a:gd name="connsiteX5" fmla="*/ 296998 w 802774"/>
              <a:gd name="connsiteY5" fmla="*/ 4622 h 457059"/>
              <a:gd name="connsiteX6" fmla="*/ 165552 w 802774"/>
              <a:gd name="connsiteY6" fmla="*/ 170357 h 457059"/>
              <a:gd name="connsiteX7" fmla="*/ 165552 w 802774"/>
              <a:gd name="connsiteY7" fmla="*/ 172262 h 457059"/>
              <a:gd name="connsiteX8" fmla="*/ 28392 w 802774"/>
              <a:gd name="connsiteY8" fmla="*/ 227507 h 457059"/>
              <a:gd name="connsiteX9" fmla="*/ 13152 w 802774"/>
              <a:gd name="connsiteY9" fmla="*/ 374192 h 457059"/>
              <a:gd name="connsiteX10" fmla="*/ 136025 w 802774"/>
              <a:gd name="connsiteY10" fmla="*/ 456107 h 457059"/>
              <a:gd name="connsiteX11" fmla="*/ 136025 w 802774"/>
              <a:gd name="connsiteY11" fmla="*/ 457059 h 457059"/>
              <a:gd name="connsiteX12" fmla="*/ 688475 w 802774"/>
              <a:gd name="connsiteY12" fmla="*/ 457059 h 457059"/>
              <a:gd name="connsiteX13" fmla="*/ 802775 w 802774"/>
              <a:gd name="connsiteY13" fmla="*/ 342759 h 457059"/>
              <a:gd name="connsiteX14" fmla="*/ 689427 w 802774"/>
              <a:gd name="connsiteY14" fmla="*/ 227507 h 4570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802774" h="457059">
                <a:moveTo>
                  <a:pt x="689427" y="227507"/>
                </a:moveTo>
                <a:cubicBezTo>
                  <a:pt x="686570" y="227507"/>
                  <a:pt x="682760" y="227507"/>
                  <a:pt x="679902" y="227507"/>
                </a:cubicBezTo>
                <a:cubicBezTo>
                  <a:pt x="679902" y="227507"/>
                  <a:pt x="679902" y="227507"/>
                  <a:pt x="679902" y="227507"/>
                </a:cubicBezTo>
                <a:cubicBezTo>
                  <a:pt x="679902" y="180834"/>
                  <a:pt x="657043" y="137972"/>
                  <a:pt x="619895" y="111302"/>
                </a:cubicBezTo>
                <a:cubicBezTo>
                  <a:pt x="581795" y="84632"/>
                  <a:pt x="533218" y="77964"/>
                  <a:pt x="489403" y="93204"/>
                </a:cubicBezTo>
                <a:cubicBezTo>
                  <a:pt x="453208" y="22719"/>
                  <a:pt x="373198" y="-13476"/>
                  <a:pt x="296998" y="4622"/>
                </a:cubicBezTo>
                <a:cubicBezTo>
                  <a:pt x="220797" y="22719"/>
                  <a:pt x="165552" y="91299"/>
                  <a:pt x="165552" y="170357"/>
                </a:cubicBezTo>
                <a:cubicBezTo>
                  <a:pt x="165552" y="170357"/>
                  <a:pt x="165552" y="171309"/>
                  <a:pt x="165552" y="172262"/>
                </a:cubicBezTo>
                <a:cubicBezTo>
                  <a:pt x="113165" y="163689"/>
                  <a:pt x="60777" y="185597"/>
                  <a:pt x="28392" y="227507"/>
                </a:cubicBezTo>
                <a:cubicBezTo>
                  <a:pt x="-3040" y="270369"/>
                  <a:pt x="-8755" y="326567"/>
                  <a:pt x="13152" y="374192"/>
                </a:cubicBezTo>
                <a:cubicBezTo>
                  <a:pt x="36012" y="421817"/>
                  <a:pt x="83637" y="453249"/>
                  <a:pt x="136025" y="456107"/>
                </a:cubicBezTo>
                <a:lnTo>
                  <a:pt x="136025" y="457059"/>
                </a:lnTo>
                <a:lnTo>
                  <a:pt x="688475" y="457059"/>
                </a:lnTo>
                <a:cubicBezTo>
                  <a:pt x="751340" y="457059"/>
                  <a:pt x="802775" y="405624"/>
                  <a:pt x="802775" y="342759"/>
                </a:cubicBezTo>
                <a:cubicBezTo>
                  <a:pt x="802775" y="279894"/>
                  <a:pt x="752293" y="227507"/>
                  <a:pt x="689427" y="227507"/>
                </a:cubicBezTo>
                <a:close/>
              </a:path>
            </a:pathLst>
          </a:custGeom>
          <a:solidFill>
            <a:schemeClr val="bg1">
              <a:lumMod val="50000"/>
            </a:schemeClr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pt-BR"/>
          </a:p>
        </xdr:txBody>
      </xdr:sp>
    </xdr:grpSp>
    <xdr:clientData/>
  </xdr:twoCellAnchor>
  <xdr:twoCellAnchor editAs="oneCell">
    <xdr:from>
      <xdr:col>5</xdr:col>
      <xdr:colOff>0</xdr:colOff>
      <xdr:row>82</xdr:row>
      <xdr:rowOff>1</xdr:rowOff>
    </xdr:from>
    <xdr:to>
      <xdr:col>5</xdr:col>
      <xdr:colOff>375251</xdr:colOff>
      <xdr:row>84</xdr:row>
      <xdr:rowOff>3086</xdr:rowOff>
    </xdr:to>
    <xdr:pic>
      <xdr:nvPicPr>
        <xdr:cNvPr id="386" name="Gráfico 385" descr="Nuvem com preenchimento sólido">
          <a:extLst>
            <a:ext uri="{FF2B5EF4-FFF2-40B4-BE49-F238E27FC236}">
              <a16:creationId xmlns:a16="http://schemas.microsoft.com/office/drawing/2014/main" id="{D1D6DC1D-89BE-343C-4F3A-AE802712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638800" y="19731319"/>
          <a:ext cx="375251" cy="358587"/>
        </a:xfrm>
        <a:prstGeom prst="rect">
          <a:avLst/>
        </a:prstGeom>
      </xdr:spPr>
    </xdr:pic>
    <xdr:clientData/>
  </xdr:twoCellAnchor>
  <xdr:twoCellAnchor>
    <xdr:from>
      <xdr:col>1</xdr:col>
      <xdr:colOff>1099457</xdr:colOff>
      <xdr:row>78</xdr:row>
      <xdr:rowOff>76200</xdr:rowOff>
    </xdr:from>
    <xdr:to>
      <xdr:col>2</xdr:col>
      <xdr:colOff>315686</xdr:colOff>
      <xdr:row>80</xdr:row>
      <xdr:rowOff>54429</xdr:rowOff>
    </xdr:to>
    <xdr:grpSp>
      <xdr:nvGrpSpPr>
        <xdr:cNvPr id="186" name="Agrupar 185">
          <a:extLst>
            <a:ext uri="{FF2B5EF4-FFF2-40B4-BE49-F238E27FC236}">
              <a16:creationId xmlns:a16="http://schemas.microsoft.com/office/drawing/2014/main" id="{47320CB9-D7A9-45AC-ADA2-1CD8496018A5}"/>
            </a:ext>
          </a:extLst>
        </xdr:cNvPr>
        <xdr:cNvGrpSpPr/>
      </xdr:nvGrpSpPr>
      <xdr:grpSpPr>
        <a:xfrm>
          <a:off x="1422186" y="19717871"/>
          <a:ext cx="408535" cy="336817"/>
          <a:chOff x="1434353" y="16808824"/>
          <a:chExt cx="699247" cy="582706"/>
        </a:xfrm>
      </xdr:grpSpPr>
      <xdr:pic>
        <xdr:nvPicPr>
          <xdr:cNvPr id="187" name="Gráfico 186" descr="Sol com preenchimento sólido">
            <a:extLst>
              <a:ext uri="{FF2B5EF4-FFF2-40B4-BE49-F238E27FC236}">
                <a16:creationId xmlns:a16="http://schemas.microsoft.com/office/drawing/2014/main" id="{A5F49548-2B89-2689-E602-9902869637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488141" y="16862612"/>
            <a:ext cx="222296" cy="202264"/>
          </a:xfrm>
          <a:prstGeom prst="rect">
            <a:avLst/>
          </a:prstGeom>
        </xdr:spPr>
      </xdr:pic>
      <xdr:pic>
        <xdr:nvPicPr>
          <xdr:cNvPr id="188" name="Gráfico 187" descr="Chuva com preenchimento sólido">
            <a:extLst>
              <a:ext uri="{FF2B5EF4-FFF2-40B4-BE49-F238E27FC236}">
                <a16:creationId xmlns:a16="http://schemas.microsoft.com/office/drawing/2014/main" id="{5502D31B-1161-57D9-8A2E-757A81ED4A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1434353" y="16808824"/>
            <a:ext cx="699247" cy="582706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1246094</xdr:colOff>
      <xdr:row>82</xdr:row>
      <xdr:rowOff>1</xdr:rowOff>
    </xdr:from>
    <xdr:to>
      <xdr:col>5</xdr:col>
      <xdr:colOff>375251</xdr:colOff>
      <xdr:row>84</xdr:row>
      <xdr:rowOff>3086</xdr:rowOff>
    </xdr:to>
    <xdr:pic>
      <xdr:nvPicPr>
        <xdr:cNvPr id="21" name="Gráfico 20" descr="Nuvem com preenchimento sólido">
          <a:extLst>
            <a:ext uri="{FF2B5EF4-FFF2-40B4-BE49-F238E27FC236}">
              <a16:creationId xmlns:a16="http://schemas.microsoft.com/office/drawing/2014/main" id="{270E3D91-2503-B450-AA37-C16B936A0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611906" y="19731319"/>
          <a:ext cx="375251" cy="35858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14</xdr:row>
      <xdr:rowOff>167640</xdr:rowOff>
    </xdr:from>
    <xdr:to>
      <xdr:col>2</xdr:col>
      <xdr:colOff>331924</xdr:colOff>
      <xdr:row>15</xdr:row>
      <xdr:rowOff>175260</xdr:rowOff>
    </xdr:to>
    <xdr:pic>
      <xdr:nvPicPr>
        <xdr:cNvPr id="3" name="Gráfico 2" descr="Ferramentas com preenchimento sólido">
          <a:extLst>
            <a:ext uri="{FF2B5EF4-FFF2-40B4-BE49-F238E27FC236}">
              <a16:creationId xmlns:a16="http://schemas.microsoft.com/office/drawing/2014/main" id="{C3F1C897-5AFD-4F55-BE4D-775DB1E41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67840" y="2918460"/>
          <a:ext cx="210004" cy="190500"/>
        </a:xfrm>
        <a:prstGeom prst="rect">
          <a:avLst/>
        </a:prstGeom>
      </xdr:spPr>
    </xdr:pic>
    <xdr:clientData/>
  </xdr:twoCellAnchor>
  <xdr:twoCellAnchor>
    <xdr:from>
      <xdr:col>17</xdr:col>
      <xdr:colOff>685800</xdr:colOff>
      <xdr:row>10</xdr:row>
      <xdr:rowOff>152400</xdr:rowOff>
    </xdr:from>
    <xdr:to>
      <xdr:col>33</xdr:col>
      <xdr:colOff>304800</xdr:colOff>
      <xdr:row>25</xdr:row>
      <xdr:rowOff>129540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6346D9-BE6B-1F04-83FD-D01E7A2DB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701040</xdr:colOff>
      <xdr:row>14</xdr:row>
      <xdr:rowOff>129541</xdr:rowOff>
    </xdr:from>
    <xdr:to>
      <xdr:col>1</xdr:col>
      <xdr:colOff>927507</xdr:colOff>
      <xdr:row>15</xdr:row>
      <xdr:rowOff>175261</xdr:rowOff>
    </xdr:to>
    <xdr:pic>
      <xdr:nvPicPr>
        <xdr:cNvPr id="4" name="Imagem 3" descr="cuw-alert-icon - Canadian Underwriter Canadian Underwriter">
          <a:extLst>
            <a:ext uri="{FF2B5EF4-FFF2-40B4-BE49-F238E27FC236}">
              <a16:creationId xmlns:a16="http://schemas.microsoft.com/office/drawing/2014/main" id="{A287ED2F-7AC1-4B45-B02B-BA98A7B39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2880361"/>
          <a:ext cx="226467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1068860</xdr:colOff>
      <xdr:row>14</xdr:row>
      <xdr:rowOff>129540</xdr:rowOff>
    </xdr:from>
    <xdr:to>
      <xdr:col>1</xdr:col>
      <xdr:colOff>1278527</xdr:colOff>
      <xdr:row>15</xdr:row>
      <xdr:rowOff>148529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E935ABA-2422-49DD-8F76-1782AFDEC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040" y="2880360"/>
          <a:ext cx="209667" cy="201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30480</xdr:colOff>
      <xdr:row>1</xdr:row>
      <xdr:rowOff>171923</xdr:rowOff>
    </xdr:from>
    <xdr:to>
      <xdr:col>45</xdr:col>
      <xdr:colOff>152748</xdr:colOff>
      <xdr:row>35</xdr:row>
      <xdr:rowOff>53340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2650B2-A793-4403-83F1-08D747FDF7F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99</xdr:row>
      <xdr:rowOff>179070</xdr:rowOff>
    </xdr:from>
    <xdr:to>
      <xdr:col>19</xdr:col>
      <xdr:colOff>403860</xdr:colOff>
      <xdr:row>121</xdr:row>
      <xdr:rowOff>168084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7BEC63-546E-4D68-8E08-207A4E9B1EB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472440</xdr:colOff>
      <xdr:row>102</xdr:row>
      <xdr:rowOff>148590</xdr:rowOff>
    </xdr:from>
    <xdr:to>
      <xdr:col>28</xdr:col>
      <xdr:colOff>76200</xdr:colOff>
      <xdr:row>117</xdr:row>
      <xdr:rowOff>93726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75BA45E-FF0B-4386-BD11-860A0B66EE6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30480</xdr:colOff>
      <xdr:row>132</xdr:row>
      <xdr:rowOff>179070</xdr:rowOff>
    </xdr:from>
    <xdr:to>
      <xdr:col>19</xdr:col>
      <xdr:colOff>716280</xdr:colOff>
      <xdr:row>158</xdr:row>
      <xdr:rowOff>53340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AA24DC4-EEB7-4B27-9F38-13E11BE10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30480</xdr:colOff>
      <xdr:row>1</xdr:row>
      <xdr:rowOff>171923</xdr:rowOff>
    </xdr:from>
    <xdr:to>
      <xdr:col>47</xdr:col>
      <xdr:colOff>152748</xdr:colOff>
      <xdr:row>35</xdr:row>
      <xdr:rowOff>53340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BC52A9F-EAF4-5DA4-E78B-884EF96D5B0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114300</xdr:colOff>
      <xdr:row>96</xdr:row>
      <xdr:rowOff>179070</xdr:rowOff>
    </xdr:from>
    <xdr:to>
      <xdr:col>21</xdr:col>
      <xdr:colOff>403860</xdr:colOff>
      <xdr:row>118</xdr:row>
      <xdr:rowOff>168084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241D0B4-AE5E-CA6E-3E8B-8A3A686E7A0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472440</xdr:colOff>
      <xdr:row>99</xdr:row>
      <xdr:rowOff>148590</xdr:rowOff>
    </xdr:from>
    <xdr:to>
      <xdr:col>30</xdr:col>
      <xdr:colOff>76200</xdr:colOff>
      <xdr:row>114</xdr:row>
      <xdr:rowOff>93726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E375CC0-A2C5-8BB8-F560-1D8497A83A7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251460</xdr:colOff>
      <xdr:row>128</xdr:row>
      <xdr:rowOff>133350</xdr:rowOff>
    </xdr:from>
    <xdr:to>
      <xdr:col>23</xdr:col>
      <xdr:colOff>152400</xdr:colOff>
      <xdr:row>154</xdr:row>
      <xdr:rowOff>7620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15A7C1F-2C48-2306-4DD5-B8F5E878D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30480</xdr:colOff>
      <xdr:row>1</xdr:row>
      <xdr:rowOff>171923</xdr:rowOff>
    </xdr:from>
    <xdr:to>
      <xdr:col>44</xdr:col>
      <xdr:colOff>152748</xdr:colOff>
      <xdr:row>35</xdr:row>
      <xdr:rowOff>53340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F2F424-A75D-4CA7-B7E0-30723F34DA8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iguel Barbosa Junior - Energia Arion" id="{2AC763FF-F486-4DE3-BC6C-D06594B346CB}" userId="S::miguel.junior@energiaarion.com.br::ab08751a-7465-4d30-b8fd-87a4c98ae62b" providerId="AD"/>
  <person displayName="Bruno Santiago - Energia Arion" id="{30FF9B1F-E450-4016-9CD1-3F901239ACDE}" userId="S::bruno.santiago@energiaarion.com.br::ef6b6c9f-e6d8-4ab4-a1e3-39d45bb028d2" providerId="AD"/>
  <person displayName="Cleoberto Wagner - Criativa Energia" id="{5CFAF38B-838D-402A-A8CC-AA5C0E4CF8F4}" userId="S::cleoberto.wagner@criativaenergia.com.br::ccba65ec-1de4-455a-ac15-9d386266de85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oberto Wagner - Criativa Energia" refreshedDate="45356.417889004631" createdVersion="8" refreshedVersion="8" minRefreshableVersion="3" recordCount="52" xr:uid="{A5C99294-898C-4350-B5B8-415B31E4699D}">
  <cacheSource type="worksheet">
    <worksheetSource ref="A1:E53" sheet="BD_USINAS_2024"/>
  </cacheSource>
  <cacheFields count="5">
    <cacheField name="USINA" numFmtId="0">
      <sharedItems containsDate="1" containsMixedTypes="1" minDate="2024-02-01T00:00:00" maxDate="2024-02-02T00:00:00" count="27">
        <s v="PEQUERI I"/>
        <s v="CORONEL ABÍLIO"/>
        <d v="2024-02-01T00:00:00"/>
        <s v="OLARIA CX2"/>
        <s v="TRIUNFO CX1"/>
        <s v="TRIUNFO CX2"/>
        <s v="LOTE 14"/>
        <s v="CAMPO BELO I"/>
        <s v="CAMPO BELO II"/>
        <s v="LOTE 12"/>
        <s v="LOTE 14 A"/>
        <s v="BELMIRO BRAGA I"/>
        <s v="CAMPO ALEGRE II"/>
        <s v="CAMPO ALEGRE III"/>
        <s v="VARGEM LINDA I"/>
        <s v="VARGEM LINDA II"/>
        <s v="VARGEM LINDA III"/>
        <s v="SÃO JOSÉ I"/>
        <s v="SÃO JOSÉ II"/>
        <s v="SÃO JOSÉ III"/>
        <s v="SÃO FRANCISCO I"/>
        <s v="SANTA LUIZA I"/>
        <s v="SANTA CECILIA I"/>
        <s v="SANTA CECILIA II"/>
        <s v="SANTA CECILIA III"/>
        <s v="SÃO FRANCISCO II"/>
        <s v="OLARIA CX1"/>
      </sharedItems>
    </cacheField>
    <cacheField name="GERAÇÃO" numFmtId="0">
      <sharedItems containsSemiMixedTypes="0" containsString="0" containsNumber="1" minValue="0" maxValue="1340"/>
    </cacheField>
    <cacheField name="DATA" numFmtId="14">
      <sharedItems containsSemiMixedTypes="0" containsNonDate="0" containsDate="1" containsString="0" minDate="2024-01-01T00:00:00" maxDate="2024-02-02T00:00:00" count="2">
        <d v="2024-01-01T00:00:00"/>
        <d v="2024-02-01T00:00:00"/>
      </sharedItems>
    </cacheField>
    <cacheField name="OCORRENCIA" numFmtId="0">
      <sharedItems containsBlank="1"/>
    </cacheField>
    <cacheField name="INDISPONIBILIDADE" numFmtId="0">
      <sharedItems containsString="0" containsBlank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oberto Wagner - Criativa Energia" refreshedDate="45539.551089699075" createdVersion="8" refreshedVersion="8" minRefreshableVersion="3" recordCount="21" xr:uid="{9DCEF539-B8D3-4073-9CC8-301400674BDE}">
  <cacheSource type="worksheet">
    <worksheetSource name="Tabela1"/>
  </cacheSource>
  <cacheFields count="10">
    <cacheField name="UTB" numFmtId="0">
      <sharedItems count="2">
        <s v="DIRCE"/>
        <s v="SIRLEIA"/>
      </sharedItems>
    </cacheField>
    <cacheField name="EMPRESA" numFmtId="0">
      <sharedItems/>
    </cacheField>
    <cacheField name="NATUREZA DE DESPESA" numFmtId="0">
      <sharedItems count="3">
        <s v="SERVIÇO"/>
        <s v="MATERIAL"/>
        <s v="SERVIÇO C/ MAT."/>
      </sharedItems>
    </cacheField>
    <cacheField name="FORNECEDOR" numFmtId="0">
      <sharedItems/>
    </cacheField>
    <cacheField name="DATA" numFmtId="14">
      <sharedItems containsSemiMixedTypes="0" containsNonDate="0" containsDate="1" containsString="0" minDate="2023-10-11T00:00:00" maxDate="2024-10-12T00:00:00" count="10">
        <d v="2024-03-13T00:00:00"/>
        <d v="2023-10-11T00:00:00"/>
        <d v="2023-10-16T00:00:00"/>
        <d v="2024-05-06T00:00:00"/>
        <d v="2024-05-02T00:00:00"/>
        <d v="2024-02-14T00:00:00"/>
        <d v="2023-11-27T00:00:00"/>
        <d v="2024-09-01T00:00:00"/>
        <d v="2024-07-19T00:00:00"/>
        <d v="2024-10-11T00:00:00" u="1"/>
      </sharedItems>
      <fieldGroup par="9"/>
    </cacheField>
    <cacheField name="SERVIÇO " numFmtId="0">
      <sharedItems count="20">
        <s v="Mão de obra."/>
        <s v="2 BATERIAS "/>
        <s v=" Deslocamento-ToledoxUsinaCascavel - 280.00 _x000a_Serviço de Identificação e Troca de Baterias 180.00"/>
        <s v="CARREGADOR BATERIA PAINEL"/>
        <s v="TBI"/>
        <s v="Manutenção de sistema de Geração"/>
        <s v="TROCA E INSTALAÇÃO DE TBI"/>
        <s v="ISD( SISTEMA DE CENTELHA BOBINAS)"/>
        <s v=" 01 deslocamento valor de 828"/>
        <s v="Uma bateria valor 570 "/>
        <s v="01 kit vela 240,00 "/>
        <s v="01 reparo motor de partida valor de 1350,00"/>
        <s v="01 filtro de óleo  valor 60,00"/>
        <s v="01 Kit junta tampa de valvula  valor 115,00"/>
        <s v="01 kit cabo. De vela valor de 480,00"/>
        <s v="01 kit vela valor de 240,00"/>
        <s v="01 deslocamento  valor de 168,00"/>
        <s v="GLA MANUT EXAT I NFS 3 E 6"/>
        <s v="GLA MANUT EXAT I NFS 4 E 5"/>
        <s v="TROCA E INSTALÇÃO DE TBI" u="1"/>
      </sharedItems>
    </cacheField>
    <cacheField name="VALOR" numFmtId="44">
      <sharedItems containsSemiMixedTypes="0" containsString="0" containsNumber="1" minValue="60" maxValue="7565.5"/>
    </cacheField>
    <cacheField name="Meses (DATA)" numFmtId="0" databaseField="0">
      <fieldGroup base="4">
        <rangePr groupBy="months" startDate="2023-10-11T00:00:00" endDate="2024-09-02T00:00:00"/>
        <groupItems count="14">
          <s v="&lt;11/10/2023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9/2024"/>
        </groupItems>
      </fieldGroup>
    </cacheField>
    <cacheField name="Trimestres (DATA)" numFmtId="0" databaseField="0">
      <fieldGroup base="4">
        <rangePr groupBy="quarters" startDate="2023-10-11T00:00:00" endDate="2024-09-02T00:00:00"/>
        <groupItems count="6">
          <s v="&lt;11/10/2023"/>
          <s v="Trim1"/>
          <s v="Trim2"/>
          <s v="Trim3"/>
          <s v="Trim4"/>
          <s v="&gt;02/09/2024"/>
        </groupItems>
      </fieldGroup>
    </cacheField>
    <cacheField name="Anos (DATA)" numFmtId="0" databaseField="0">
      <fieldGroup base="4">
        <rangePr groupBy="years" startDate="2023-10-11T00:00:00" endDate="2024-09-02T00:00:00"/>
        <groupItems count="4">
          <s v="&lt;11/10/2023"/>
          <s v="2023"/>
          <s v="2024"/>
          <s v="&gt;02/09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">
  <r>
    <x v="0"/>
    <n v="38.5"/>
    <x v="0"/>
    <s v="FALTA DE ENERGIA"/>
    <n v="5"/>
  </r>
  <r>
    <x v="1"/>
    <n v="219.39999999999998"/>
    <x v="0"/>
    <m/>
    <m/>
  </r>
  <r>
    <x v="2"/>
    <n v="170.5"/>
    <x v="0"/>
    <m/>
    <m/>
  </r>
  <r>
    <x v="3"/>
    <n v="95.1"/>
    <x v="0"/>
    <m/>
    <m/>
  </r>
  <r>
    <x v="4"/>
    <n v="12.8"/>
    <x v="0"/>
    <m/>
    <m/>
  </r>
  <r>
    <x v="5"/>
    <n v="15.4"/>
    <x v="0"/>
    <m/>
    <m/>
  </r>
  <r>
    <x v="6"/>
    <n v="258.3"/>
    <x v="0"/>
    <m/>
    <m/>
  </r>
  <r>
    <x v="7"/>
    <n v="208.3"/>
    <x v="0"/>
    <m/>
    <m/>
  </r>
  <r>
    <x v="8"/>
    <n v="342.7"/>
    <x v="0"/>
    <m/>
    <m/>
  </r>
  <r>
    <x v="9"/>
    <n v="357.3"/>
    <x v="0"/>
    <m/>
    <m/>
  </r>
  <r>
    <x v="10"/>
    <n v="99"/>
    <x v="0"/>
    <m/>
    <m/>
  </r>
  <r>
    <x v="11"/>
    <n v="445.9"/>
    <x v="0"/>
    <m/>
    <m/>
  </r>
  <r>
    <x v="12"/>
    <n v="346.5"/>
    <x v="0"/>
    <m/>
    <m/>
  </r>
  <r>
    <x v="13"/>
    <n v="391.2"/>
    <x v="0"/>
    <m/>
    <m/>
  </r>
  <r>
    <x v="14"/>
    <n v="304.3"/>
    <x v="0"/>
    <m/>
    <m/>
  </r>
  <r>
    <x v="15"/>
    <n v="387.9"/>
    <x v="0"/>
    <m/>
    <m/>
  </r>
  <r>
    <x v="16"/>
    <n v="151.80000000000001"/>
    <x v="0"/>
    <m/>
    <m/>
  </r>
  <r>
    <x v="17"/>
    <n v="418.7"/>
    <x v="0"/>
    <m/>
    <m/>
  </r>
  <r>
    <x v="18"/>
    <n v="352.5"/>
    <x v="0"/>
    <m/>
    <m/>
  </r>
  <r>
    <x v="19"/>
    <n v="1340"/>
    <x v="0"/>
    <m/>
    <m/>
  </r>
  <r>
    <x v="20"/>
    <n v="521.20000000000005"/>
    <x v="0"/>
    <m/>
    <m/>
  </r>
  <r>
    <x v="21"/>
    <n v="438.9"/>
    <x v="0"/>
    <m/>
    <m/>
  </r>
  <r>
    <x v="22"/>
    <n v="0"/>
    <x v="0"/>
    <m/>
    <m/>
  </r>
  <r>
    <x v="23"/>
    <n v="0"/>
    <x v="0"/>
    <m/>
    <m/>
  </r>
  <r>
    <x v="24"/>
    <n v="0"/>
    <x v="0"/>
    <m/>
    <m/>
  </r>
  <r>
    <x v="25"/>
    <n v="386.2"/>
    <x v="0"/>
    <m/>
    <m/>
  </r>
  <r>
    <x v="0"/>
    <n v="29.5"/>
    <x v="1"/>
    <m/>
    <m/>
  </r>
  <r>
    <x v="1"/>
    <n v="152.4"/>
    <x v="1"/>
    <m/>
    <m/>
  </r>
  <r>
    <x v="26"/>
    <n v="123.8"/>
    <x v="1"/>
    <m/>
    <m/>
  </r>
  <r>
    <x v="3"/>
    <n v="85.7"/>
    <x v="1"/>
    <m/>
    <m/>
  </r>
  <r>
    <x v="4"/>
    <n v="27.3"/>
    <x v="1"/>
    <m/>
    <m/>
  </r>
  <r>
    <x v="5"/>
    <n v="50.9"/>
    <x v="1"/>
    <m/>
    <m/>
  </r>
  <r>
    <x v="6"/>
    <n v="208.9"/>
    <x v="1"/>
    <m/>
    <m/>
  </r>
  <r>
    <x v="7"/>
    <n v="147.4"/>
    <x v="1"/>
    <m/>
    <m/>
  </r>
  <r>
    <x v="8"/>
    <n v="245.8"/>
    <x v="1"/>
    <m/>
    <m/>
  </r>
  <r>
    <x v="9"/>
    <n v="279.89999999999998"/>
    <x v="1"/>
    <m/>
    <m/>
  </r>
  <r>
    <x v="10"/>
    <n v="75.5"/>
    <x v="1"/>
    <m/>
    <m/>
  </r>
  <r>
    <x v="11"/>
    <n v="289"/>
    <x v="1"/>
    <m/>
    <m/>
  </r>
  <r>
    <x v="12"/>
    <n v="325"/>
    <x v="1"/>
    <m/>
    <m/>
  </r>
  <r>
    <x v="13"/>
    <n v="351.6"/>
    <x v="1"/>
    <m/>
    <m/>
  </r>
  <r>
    <x v="14"/>
    <n v="295.39999999999998"/>
    <x v="1"/>
    <m/>
    <m/>
  </r>
  <r>
    <x v="15"/>
    <n v="376.8"/>
    <x v="1"/>
    <m/>
    <m/>
  </r>
  <r>
    <x v="16"/>
    <n v="281"/>
    <x v="1"/>
    <m/>
    <m/>
  </r>
  <r>
    <x v="17"/>
    <n v="334.9"/>
    <x v="1"/>
    <m/>
    <m/>
  </r>
  <r>
    <x v="18"/>
    <n v="262.3"/>
    <x v="1"/>
    <m/>
    <m/>
  </r>
  <r>
    <x v="19"/>
    <n v="1010"/>
    <x v="1"/>
    <m/>
    <m/>
  </r>
  <r>
    <x v="20"/>
    <n v="390.6"/>
    <x v="1"/>
    <m/>
    <m/>
  </r>
  <r>
    <x v="21"/>
    <n v="365.8"/>
    <x v="1"/>
    <m/>
    <m/>
  </r>
  <r>
    <x v="22"/>
    <n v="365.1"/>
    <x v="1"/>
    <m/>
    <m/>
  </r>
  <r>
    <x v="23"/>
    <n v="348.2"/>
    <x v="1"/>
    <m/>
    <m/>
  </r>
  <r>
    <x v="24"/>
    <n v="362.5"/>
    <x v="1"/>
    <m/>
    <m/>
  </r>
  <r>
    <x v="25"/>
    <n v="320"/>
    <x v="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s v="EXATA I"/>
    <x v="0"/>
    <s v="GUSTAVO WILIAN RODAKIEWICZ"/>
    <x v="0"/>
    <x v="0"/>
    <n v="310"/>
  </r>
  <r>
    <x v="0"/>
    <s v="EXATA I"/>
    <x v="1"/>
    <s v=" BATERIAS RONDON LTDA"/>
    <x v="1"/>
    <x v="1"/>
    <n v="1240"/>
  </r>
  <r>
    <x v="0"/>
    <s v="EXATA I"/>
    <x v="0"/>
    <s v=" JAIME LUIS ALBRING JUNIOR"/>
    <x v="2"/>
    <x v="2"/>
    <n v="460"/>
  </r>
  <r>
    <x v="0"/>
    <s v="EXATA I"/>
    <x v="1"/>
    <s v="J L G ALBRING"/>
    <x v="3"/>
    <x v="3"/>
    <n v="992"/>
  </r>
  <r>
    <x v="0"/>
    <s v="EXATA I"/>
    <x v="1"/>
    <s v="J L G ALBRING"/>
    <x v="4"/>
    <x v="4"/>
    <n v="560"/>
  </r>
  <r>
    <x v="0"/>
    <s v="EXATA I"/>
    <x v="0"/>
    <s v="JEAN LUIZ GOMES ALBRING"/>
    <x v="4"/>
    <x v="0"/>
    <n v="350"/>
  </r>
  <r>
    <x v="0"/>
    <s v="EXATA I"/>
    <x v="0"/>
    <s v="CARLA PATRICIA FURTADO ALBRING"/>
    <x v="3"/>
    <x v="5"/>
    <n v="540"/>
  </r>
  <r>
    <x v="1"/>
    <s v="EXATA III"/>
    <x v="2"/>
    <s v="GUSTAVO WILIAN RODAKIEWICZ"/>
    <x v="5"/>
    <x v="6"/>
    <n v="1782"/>
  </r>
  <r>
    <x v="1"/>
    <s v="EXATA III"/>
    <x v="1"/>
    <s v=" J L G ALBRING"/>
    <x v="6"/>
    <x v="7"/>
    <n v="840"/>
  </r>
  <r>
    <x v="1"/>
    <s v="EXATA III"/>
    <x v="0"/>
    <s v="CARLA PATRICIA FURTADO ALBRING"/>
    <x v="6"/>
    <x v="0"/>
    <n v="1148"/>
  </r>
  <r>
    <x v="1"/>
    <s v="EXATA III"/>
    <x v="0"/>
    <s v="GUSTAVO WILIAN RODAKIEWICZ"/>
    <x v="7"/>
    <x v="8"/>
    <n v="828"/>
  </r>
  <r>
    <x v="1"/>
    <s v="EXATA III"/>
    <x v="1"/>
    <s v="GUSTAVO WILIAN RODAKIEWICZ"/>
    <x v="7"/>
    <x v="9"/>
    <n v="570"/>
  </r>
  <r>
    <x v="1"/>
    <s v="EXATA III"/>
    <x v="1"/>
    <s v="GUSTAVO WILIAN RODAKIEWICZ"/>
    <x v="7"/>
    <x v="10"/>
    <n v="240"/>
  </r>
  <r>
    <x v="1"/>
    <s v="EXATA III"/>
    <x v="0"/>
    <s v="GUSTAVO WILIAN RODAKIEWICZ"/>
    <x v="7"/>
    <x v="11"/>
    <n v="1350"/>
  </r>
  <r>
    <x v="0"/>
    <s v="EXATA I"/>
    <x v="1"/>
    <s v="GUSTAVO WILIAN RODAKIEWICZ"/>
    <x v="7"/>
    <x v="12"/>
    <n v="60"/>
  </r>
  <r>
    <x v="0"/>
    <s v="EXATA I"/>
    <x v="1"/>
    <s v="GUSTAVO WILIAN RODAKIEWICZ"/>
    <x v="7"/>
    <x v="13"/>
    <n v="115"/>
  </r>
  <r>
    <x v="0"/>
    <s v="EXATA I"/>
    <x v="1"/>
    <s v="GUSTAVO WILIAN RODAKIEWICZ"/>
    <x v="7"/>
    <x v="14"/>
    <n v="480"/>
  </r>
  <r>
    <x v="0"/>
    <s v="EXATA I"/>
    <x v="1"/>
    <s v="GUSTAVO WILIAN RODAKIEWICZ"/>
    <x v="7"/>
    <x v="15"/>
    <n v="240"/>
  </r>
  <r>
    <x v="0"/>
    <s v="EXATA I"/>
    <x v="0"/>
    <s v="GUSTAVO WILIAN RODAKIEWICZ"/>
    <x v="7"/>
    <x v="16"/>
    <n v="168"/>
  </r>
  <r>
    <x v="1"/>
    <s v="EXATA III"/>
    <x v="0"/>
    <s v="GUSTAVO WILIAN RODAKIEWICZ"/>
    <x v="8"/>
    <x v="17"/>
    <n v="7565.5"/>
  </r>
  <r>
    <x v="0"/>
    <s v="EXATA I"/>
    <x v="0"/>
    <s v="GUSTAVO WILIAN RODAKIEWICZ"/>
    <x v="8"/>
    <x v="18"/>
    <n v="7565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09C77-19F1-419B-B258-E351E99B1968}" name="Tabela dinâmica1" cacheId="1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compact="0" outline="1" outlineData="1" compactData="0" multipleFieldFilters="0">
  <location ref="A26:E58" firstHeaderRow="1" firstDataRow="2" firstDataCol="3"/>
  <pivotFields count="10">
    <pivotField axis="axisCol" compact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4">
        <item x="1"/>
        <item sd="0"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items count="11">
        <item x="2"/>
        <item x="6"/>
        <item x="5"/>
        <item x="0"/>
        <item x="4"/>
        <item x="3"/>
        <item m="1" x="9"/>
        <item x="1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1">
        <item sd="0" x="2"/>
        <item sd="0" x="1"/>
        <item sd="0" x="3"/>
        <item sd="0" x="7"/>
        <item sd="0" x="5"/>
        <item sd="0" x="0"/>
        <item sd="0" x="4"/>
        <item sd="0" m="1" x="19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5">
        <item sd="0" x="0"/>
        <item sd="0" x="1"/>
        <item x="2"/>
        <item x="3"/>
        <item sd="0" x="4"/>
        <item x="5"/>
        <item sd="0" x="6"/>
        <item x="7"/>
        <item sd="0" x="8"/>
        <item x="9"/>
        <item x="10"/>
        <item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7">
        <item sd="0" x="1"/>
        <item sd="0" x="2"/>
        <item sd="0" x="3"/>
        <item sd="0" x="4"/>
        <item sd="0" x="0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5">
        <item x="1"/>
        <item x="2"/>
        <item sd="0"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9"/>
    <field x="7"/>
    <field x="5"/>
  </rowFields>
  <rowItems count="31">
    <i>
      <x/>
    </i>
    <i r="1">
      <x v="10"/>
    </i>
    <i r="2">
      <x/>
    </i>
    <i r="2">
      <x v="1"/>
    </i>
    <i r="1">
      <x v="11"/>
    </i>
    <i r="2">
      <x v="3"/>
    </i>
    <i r="2">
      <x v="5"/>
    </i>
    <i>
      <x v="1"/>
    </i>
    <i r="1">
      <x v="2"/>
    </i>
    <i r="2">
      <x v="8"/>
    </i>
    <i r="1">
      <x v="3"/>
    </i>
    <i r="2">
      <x v="5"/>
    </i>
    <i r="1">
      <x v="5"/>
    </i>
    <i r="2">
      <x v="2"/>
    </i>
    <i r="2">
      <x v="4"/>
    </i>
    <i r="2">
      <x v="5"/>
    </i>
    <i r="2">
      <x v="6"/>
    </i>
    <i r="1">
      <x v="7"/>
    </i>
    <i r="2">
      <x v="18"/>
    </i>
    <i r="2">
      <x v="19"/>
    </i>
    <i r="1">
      <x v="9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t="grand">
      <x/>
    </i>
  </rowItems>
  <colFields count="1">
    <field x="0"/>
  </colFields>
  <colItems count="2">
    <i>
      <x/>
    </i>
    <i>
      <x v="1"/>
    </i>
  </colItems>
  <dataFields count="1">
    <dataField name="Soma de VALOR" fld="6" baseField="0" baseItem="0" numFmtId="44"/>
  </dataFields>
  <formats count="1">
    <format dxfId="188">
      <pivotArea outline="0" collapsedLevelsAreSubtotals="1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1C022-EBE8-48B1-9494-1D5AC6AA7F04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AC7" firstHeaderRow="1" firstDataRow="2" firstDataCol="1"/>
  <pivotFields count="5">
    <pivotField axis="axisCol" showAll="0">
      <items count="28">
        <item x="11"/>
        <item x="12"/>
        <item x="13"/>
        <item x="7"/>
        <item x="8"/>
        <item x="1"/>
        <item x="9"/>
        <item x="6"/>
        <item x="10"/>
        <item x="26"/>
        <item x="3"/>
        <item x="0"/>
        <item x="22"/>
        <item x="23"/>
        <item x="24"/>
        <item x="21"/>
        <item x="20"/>
        <item x="25"/>
        <item x="17"/>
        <item x="18"/>
        <item x="19"/>
        <item x="4"/>
        <item x="5"/>
        <item x="14"/>
        <item x="15"/>
        <item x="16"/>
        <item x="2"/>
        <item t="default"/>
      </items>
    </pivotField>
    <pivotField dataField="1" showAll="0"/>
    <pivotField axis="axisRow" numFmtId="14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0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oma de GERAÇÃO" fld="1" baseField="0" baseItem="0"/>
  </dataFields>
  <chartFormats count="27"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7FB07C-9FD2-49E8-A318-8FFD35C673F9}" name="Tabela13" displayName="Tabela13" ref="A1:G22" totalsRowShown="0" headerRowDxfId="187">
  <autoFilter ref="A1:G22" xr:uid="{8328C6A8-A445-49C6-9F33-33FF12BCB6C5}"/>
  <tableColumns count="7">
    <tableColumn id="1" xr3:uid="{80930D0E-334B-477B-93DB-8D2ABEA5A56B}" name="UTB"/>
    <tableColumn id="2" xr3:uid="{C94C4B43-475B-46F8-A3B9-85E5B71F97F4}" name="EMPRESA"/>
    <tableColumn id="8" xr3:uid="{F4C305AF-AA5B-460E-B0D2-23B1E8669F7F}" name="NATUREZA DE DESPESA"/>
    <tableColumn id="3" xr3:uid="{D1FE38C9-DED9-456A-9F2A-A7C20899E4DD}" name="FORNECEDOR"/>
    <tableColumn id="4" xr3:uid="{053C820B-3785-40C1-BE06-8A05EAB40480}" name="DATA"/>
    <tableColumn id="5" xr3:uid="{3E9D5976-5983-4326-B5AB-1CCF8B61FD2D}" name="SERVIÇO "/>
    <tableColumn id="6" xr3:uid="{35583087-516C-4480-A4ED-ACE95A2BD55D}" name="VALOR"/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757806F-7CD5-4FFD-9F2E-5305149AA5D3}" name="Tabela3" displayName="Tabela3" ref="B14:E18" totalsRowShown="0" headerRowDxfId="186" headerRowBorderDxfId="185" tableBorderDxfId="184" totalsRowBorderDxfId="183">
  <tableColumns count="4">
    <tableColumn id="1" xr3:uid="{3918E534-F8B4-40D4-BD12-F9FEBBF95F7B}" name="Usinas" dataDxfId="182"/>
    <tableColumn id="2" xr3:uid="{C67093AE-1B2A-4781-A974-6770E177E31C}" name="Qtd" dataDxfId="181"/>
    <tableColumn id="3" xr3:uid="{45F06500-0DDE-4A62-A4D9-CF2BD3553D24}" name="Potência (MW)" dataDxfId="180"/>
    <tableColumn id="4" xr3:uid="{C6A16C6B-A09F-4F28-88EA-64A3350C3CDD}" name="Geração Acumulada até Nov/2024 (MWh)" dataDxfId="179" dataCellStyle="Vírgula"/>
  </tableColumns>
  <tableStyleInfo name="TableStyleDark9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O10" dT="2023-08-09T12:33:04.55" personId="{30FF9B1F-E450-4016-9CD1-3F901239ACDE}" id="{2D59E38B-B2D8-4969-A8F5-13F4343DA6FA}">
    <text>Operação interrompida às 13:10hrs</text>
  </threadedComment>
  <threadedComment ref="AP10" dT="2023-08-09T12:38:27.11" personId="{30FF9B1F-E450-4016-9CD1-3F901239ACDE}" id="{484B5D60-6D1D-4A3F-9050-039C58552CA6}">
    <text>Usina fora de operação devido abertura do disjuntor do circuito CA.</text>
  </threadedComment>
  <threadedComment ref="AQ10" dT="2023-08-09T12:38:35.79" personId="{30FF9B1F-E450-4016-9CD1-3F901239ACDE}" id="{3AFE65FD-A661-4C85-A934-A90733F07389}">
    <text>Usina fora de operação devido abertura do disjuntor do circuito CA.</text>
  </threadedComment>
  <threadedComment ref="AR10" dT="2023-08-09T12:30:38.48" personId="{30FF9B1F-E450-4016-9CD1-3F901239ACDE}" id="{51BE264F-59F3-467B-816F-0AC750D11117}">
    <text>Usina retomou sua operação às 12:20hrs.</text>
  </threadedComment>
  <threadedComment ref="V11" dT="2023-08-21T15:02:16.79" personId="{2AC763FF-F486-4DE3-BC6C-D06594B346CB}" id="{35C233DE-A579-4EE1-AFF6-6EF6B65031A3}">
    <text>Subtensão da rede</text>
  </threadedComment>
  <threadedComment ref="R14" dT="2023-08-16T14:46:17.75" personId="{2AC763FF-F486-4DE3-BC6C-D06594B346CB}" id="{109CC49D-BE50-481C-89D0-773486A16A72}">
    <text>Sem comunicação até as 11:30</text>
  </threadedComment>
  <threadedComment ref="K15" dT="2023-08-09T21:17:43.10" personId="{30FF9B1F-E450-4016-9CD1-3F901239ACDE}" id="{E5F46206-34E1-42A3-9032-41178E4E32B6}">
    <text xml:space="preserve">Usina em manutenção preventiva
</text>
  </threadedComment>
  <threadedComment ref="L15" dT="2023-08-09T21:17:36.04" personId="{30FF9B1F-E450-4016-9CD1-3F901239ACDE}" id="{E5044799-A498-446A-8A45-C24317E4D29C}">
    <text>Usina em manutenção preventiva</text>
  </threadedComment>
  <threadedComment ref="V15" dT="2023-08-21T14:48:13.81" personId="{2AC763FF-F486-4DE3-BC6C-D06594B346CB}" id="{C86BE452-1F82-48EA-A919-414F7A825235}">
    <text xml:space="preserve">Subtensão da rede
</text>
  </threadedComment>
  <threadedComment ref="V17" dT="2023-08-21T14:36:57.28" personId="{2AC763FF-F486-4DE3-BC6C-D06594B346CB}" id="{DD356E3A-9F69-426E-8030-F3BC3688E33D}">
    <text>Usina fora de operação devido a falha de isolamento de proteção</text>
  </threadedComment>
  <threadedComment ref="V22" dT="2023-08-21T15:03:09.00" personId="{2AC763FF-F486-4DE3-BC6C-D06594B346CB}" id="{5E5DF093-07F5-43A6-B48B-E29CA1E4CF4B}">
    <text>Sem rede 16:35</text>
  </threadedComment>
  <threadedComment ref="R23" dT="2023-08-16T14:52:28.51" personId="{2AC763FF-F486-4DE3-BC6C-D06594B346CB}" id="{7C313C7E-78FA-4F33-8326-54C41970C89E}">
    <text>Usina desativada para comissionamento de São José III</text>
  </threadedComment>
  <threadedComment ref="S23" dT="2023-08-17T16:59:43.91" personId="{2AC763FF-F486-4DE3-BC6C-D06594B346CB}" id="{C617D07C-E022-4EA1-AA4A-B0FC694626E4}">
    <text>Usina desativada para comissionamento de São José III</text>
  </threadedComment>
  <threadedComment ref="R25" dT="2023-08-17T17:09:56.36" personId="{2AC763FF-F486-4DE3-BC6C-D06594B346CB}" id="{DB5C8F0E-40B9-4224-B88D-3FD50BC7D17F}">
    <text>Monitoramento com 2 de 3 inversores</text>
  </threadedComment>
  <threadedComment ref="S25" dT="2023-08-17T17:10:04.52" personId="{2AC763FF-F486-4DE3-BC6C-D06594B346CB}" id="{8CE603C5-A25A-428B-93CA-DEFBC5621B86}">
    <text>Monitoramento com 2 de 3 inversores</text>
  </threadedComment>
  <threadedComment ref="L27" dT="2023-08-09T20:52:56.49" personId="{30FF9B1F-E450-4016-9CD1-3F901239ACDE}" id="{410A8AC9-AA9A-44AE-998B-3A5FA5B98187}">
    <text>Monitoramento instável</text>
  </threadedComment>
  <threadedComment ref="K28" dT="2023-08-09T21:16:21.74" personId="{30FF9B1F-E450-4016-9CD1-3F901239ACDE}" id="{83955EBC-EB13-42F9-9CFF-FD4B3FECC29F}">
    <text>Geração de Santa Cecília I</text>
  </threadedComment>
  <threadedComment ref="L28" dT="2023-08-09T21:16:08.10" personId="{30FF9B1F-E450-4016-9CD1-3F901239ACDE}" id="{08602258-7531-43ED-BE86-4280FEB73CAF}">
    <text>Geração de Santa Cecília I</text>
  </threadedComment>
  <threadedComment ref="V28" dT="2023-08-21T15:03:19.47" personId="{2AC763FF-F486-4DE3-BC6C-D06594B346CB}" id="{30406598-BBDA-4C07-B911-C4A7BEDCCB8A}">
    <text>Sem rede 16:35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11" dT="2023-09-06T14:49:08.82" personId="{2AC763FF-F486-4DE3-BC6C-D06594B346CB}" id="{07493A7A-30AC-405A-8AF8-0309EE942A33}">
    <text>Interrupção programada da concessionária entre 11:20 e 18:00</text>
  </threadedComment>
  <threadedComment ref="AO11" dT="2023-09-06T14:49:23.67" personId="{2AC763FF-F486-4DE3-BC6C-D06594B346CB}" id="{1C732D93-9624-433A-B714-381517C479DA}">
    <text>Interrupção programada da concessionária entre 11:20 e 18:00</text>
  </threadedComment>
  <threadedComment ref="H14" dT="2023-09-06T14:48:49.17" personId="{2AC763FF-F486-4DE3-BC6C-D06594B346CB}" id="{168AEA5F-E610-49EB-B721-9D44D0A7F9A8}">
    <text>Interrupção programada da concessionária entre 11:20 e 18:00</text>
  </threadedComment>
  <threadedComment ref="AO14" dT="2023-09-06T14:49:29.15" personId="{2AC763FF-F486-4DE3-BC6C-D06594B346CB}" id="{324B7E99-51E9-445F-89D7-275E09B32635}">
    <text>Interrupção programada da concessionária entre 11:20 e 18:00</text>
  </threadedComment>
  <threadedComment ref="H15" dT="2023-09-06T14:49:00.38" personId="{2AC763FF-F486-4DE3-BC6C-D06594B346CB}" id="{40258C9E-767B-463C-8EA9-283340A4333C}">
    <text>Interrupção programada da concessionária entre 11:20 e 18:00</text>
  </threadedComment>
  <threadedComment ref="AO15" dT="2023-09-06T14:49:35.00" personId="{2AC763FF-F486-4DE3-BC6C-D06594B346CB}" id="{888B39E0-683B-457D-9D73-E33FD58171F5}">
    <text>Interrupção programada da concessionária entre 11:20 e 18:00</text>
  </threadedComment>
  <threadedComment ref="R17" dT="2023-09-18T12:10:06.04" personId="{2AC763FF-F486-4DE3-BC6C-D06594B346CB}" id="{2AE9B965-F816-40F8-85D1-F3269417361C}">
    <text xml:space="preserve">Sem monitoramento
</text>
  </threadedComment>
  <threadedComment ref="S17" dT="2023-09-18T12:10:15.61" personId="{2AC763FF-F486-4DE3-BC6C-D06594B346CB}" id="{F217AD1D-D4DC-45EC-B037-0A78F001A7C0}">
    <text>Sem monitoramento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FD480453-764B-4EAA-BEC1-7E3709BB6D48}">
    <text>Interrupção programada da concessionária entre 11:20 e 18:00</text>
  </threadedComment>
  <threadedComment ref="AP14" dT="2023-09-06T14:49:29.15" personId="{2AC763FF-F486-4DE3-BC6C-D06594B346CB}" id="{A5BD9F3F-B84F-4751-AFE9-DF7A0F834613}">
    <text>Interrupção programada da concessionária entre 11:20 e 18:00</text>
  </threadedComment>
  <threadedComment ref="AP15" dT="2023-09-06T14:49:35.00" personId="{2AC763FF-F486-4DE3-BC6C-D06594B346CB}" id="{18D70B89-21C4-4A62-A5AD-0665DFEE1708}">
    <text>Interrupção programada da concessionária entre 11:20 e 18:00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797A84C6-9B02-4FA0-B4D0-118C64CCAF10}">
    <text>Interrupção programada da concessionária entre 11:20 e 18:00</text>
  </threadedComment>
  <threadedComment ref="AP14" dT="2023-09-06T14:49:29.15" personId="{2AC763FF-F486-4DE3-BC6C-D06594B346CB}" id="{8225F9C8-AEAA-403E-84E8-2F4FAB1014D9}">
    <text>Interrupção programada da concessionária entre 11:20 e 18:00</text>
  </threadedComment>
  <threadedComment ref="AP15" dT="2023-09-06T14:49:35.00" personId="{2AC763FF-F486-4DE3-BC6C-D06594B346CB}" id="{591D4ED6-4088-4BE7-AABA-91F3B212B490}">
    <text>Interrupção programada da concessionária entre 11:20 e 18:00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F72AA698-9417-4E6A-896B-F6425E8C2CC9}">
    <text>Interrupção programada da concessionária entre 11:20 e 18:00</text>
  </threadedComment>
  <threadedComment ref="AP14" dT="2023-09-06T14:49:29.15" personId="{2AC763FF-F486-4DE3-BC6C-D06594B346CB}" id="{2257295C-7016-4C73-B031-8C4954C7D4D0}">
    <text>Interrupção programada da concessionária entre 11:20 e 18:00</text>
  </threadedComment>
  <threadedComment ref="AP15" dT="2023-09-06T14:49:35.00" personId="{2AC763FF-F486-4DE3-BC6C-D06594B346CB}" id="{4107C8AE-4ECF-4448-A93B-D07221CF51F4}">
    <text>Interrupção programada da concessionária entre 11:20 e 18:00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48100D79-DA8A-40AB-91D9-F8D0082783D7}">
    <text>Interrupção programada da concessionária entre 11:20 e 18:00</text>
  </threadedComment>
  <threadedComment ref="AP14" dT="2023-09-06T14:49:29.15" personId="{2AC763FF-F486-4DE3-BC6C-D06594B346CB}" id="{0B2DC673-A6F3-4AC6-AC64-AD9BD8C3437A}">
    <text>Interrupção programada da concessionária entre 11:20 e 18:00</text>
  </threadedComment>
  <threadedComment ref="AP15" dT="2023-09-06T14:49:35.00" personId="{2AC763FF-F486-4DE3-BC6C-D06594B346CB}" id="{B9CAEA24-7FC0-46CA-94F6-77F0A9052467}">
    <text>Interrupção programada da concessionária entre 11:20 e 18:00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FFA66D40-F7D2-4C1C-9640-39621525867F}">
    <text>Interrupção programada da concessionária entre 11:20 e 18:00</text>
  </threadedComment>
  <threadedComment ref="AP14" dT="2023-09-06T14:49:29.15" personId="{2AC763FF-F486-4DE3-BC6C-D06594B346CB}" id="{08920073-6617-4AD2-A235-B0EB7213926B}">
    <text>Interrupção programada da concessionária entre 11:20 e 18:00</text>
  </threadedComment>
  <threadedComment ref="AP15" dT="2023-09-06T14:49:35.00" personId="{2AC763FF-F486-4DE3-BC6C-D06594B346CB}" id="{678B1F69-1CFB-4C66-9902-EA946963BFE1}">
    <text>Interrupção programada da concessionária entre 11:20 e 18:00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4C4A067F-624B-43EC-8D09-123EFCACEB44}">
    <text>Interrupção programada da concessionária entre 11:20 e 18:00</text>
  </threadedComment>
  <threadedComment ref="AP14" dT="2023-09-06T14:49:29.15" personId="{2AC763FF-F486-4DE3-BC6C-D06594B346CB}" id="{76772D9C-C759-4DDC-AADF-9111458FCF60}">
    <text>Interrupção programada da concessionária entre 11:20 e 18:00</text>
  </threadedComment>
  <threadedComment ref="AP15" dT="2023-09-06T14:49:35.00" personId="{2AC763FF-F486-4DE3-BC6C-D06594B346CB}" id="{1CA1F8D5-7117-4AAE-A3FE-CCD368BB2FB9}">
    <text>Interrupção programada da concessionária entre 11:20 e 18:00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O11" dT="2023-09-06T14:49:23.67" personId="{2AC763FF-F486-4DE3-BC6C-D06594B346CB}" id="{A741CF39-8888-4513-805A-D7FD3D17613D}">
    <text>Interrupção programada da concessionária entre 11:20 e 18:00</text>
  </threadedComment>
  <threadedComment ref="AO14" dT="2023-09-06T14:49:29.15" personId="{2AC763FF-F486-4DE3-BC6C-D06594B346CB}" id="{DA219367-2D57-48E5-9331-500775442A83}">
    <text>Interrupção programada da concessionária entre 11:20 e 18:00</text>
  </threadedComment>
  <threadedComment ref="AO15" dT="2023-09-06T14:49:35.00" personId="{2AC763FF-F486-4DE3-BC6C-D06594B346CB}" id="{854C7A07-EBB9-4EC8-8293-DDA7BE30DFF9}">
    <text>Interrupção programada da concessionária entre 11:20 e 18:00</text>
  </threadedComment>
  <threadedComment ref="S17" dT="2024-04-17T02:38:39.49" personId="{5CFAF38B-838D-402A-A8CC-AA5C0E4CF8F4}" id="{1AC1D86E-360F-4D0A-A6F6-D5C86D80957E}">
    <text xml:space="preserve">Falta de energia até as 12:30
</text>
  </threadedComment>
  <threadedComment ref="W17" dT="2024-04-21T13:46:11.19" personId="{5CFAF38B-838D-402A-A8CC-AA5C0E4CF8F4}" id="{F1CC6076-1A26-489C-987E-C3FFFA3AF104}">
    <text xml:space="preserve">Falta de energia da 10hs as 12:05hs
</text>
  </threadedComment>
  <threadedComment ref="S18" dT="2024-04-17T02:38:24.95" personId="{5CFAF38B-838D-402A-A8CC-AA5C0E4CF8F4}" id="{A58B20F7-CB22-4BB6-AA3C-EAD36128A3C9}">
    <text xml:space="preserve">Falta de energia até as 12:30
</text>
  </threadedComment>
  <threadedComment ref="W18" dT="2024-04-21T13:46:11.19" personId="{5CFAF38B-838D-402A-A8CC-AA5C0E4CF8F4}" id="{09C3255A-B8A4-4D1D-9CCD-E180B54FC5D6}">
    <text xml:space="preserve">Falta de energia da 10hs as 12:05hs
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2988C9DE-5BB7-4858-A480-F21621F9BD63}">
    <text>Interrupção programada da concessionária entre 11:20 e 18:00</text>
  </threadedComment>
  <threadedComment ref="AP14" dT="2023-09-06T14:49:29.15" personId="{2AC763FF-F486-4DE3-BC6C-D06594B346CB}" id="{A6AECF29-1AC6-4368-B669-2E6F453CC29C}">
    <text>Interrupção programada da concessionária entre 11:20 e 18:00</text>
  </threadedComment>
  <threadedComment ref="AP15" dT="2023-09-06T14:49:35.00" personId="{2AC763FF-F486-4DE3-BC6C-D06594B346CB}" id="{AE85A6BA-484B-470D-870C-43ACCFF435D6}">
    <text>Interrupção programada da concessionária entre 11:20 e 18:00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O11" dT="2023-09-06T14:49:23.67" personId="{2AC763FF-F486-4DE3-BC6C-D06594B346CB}" id="{7FB09518-8842-4F90-A04A-A079AB69BCA1}">
    <text>Interrupção programada da concessionária entre 11:20 e 18:00</text>
  </threadedComment>
  <threadedComment ref="AO14" dT="2023-09-06T14:49:29.15" personId="{2AC763FF-F486-4DE3-BC6C-D06594B346CB}" id="{A4BA61CC-DC27-4815-B491-BBE8642A5C55}">
    <text>Interrupção programada da concessionária entre 11:20 e 18:00</text>
  </threadedComment>
  <threadedComment ref="AO15" dT="2023-09-06T14:49:35.00" personId="{2AC763FF-F486-4DE3-BC6C-D06594B346CB}" id="{5740146F-F0DF-43B0-99BC-65616C1D8F9E}">
    <text>Interrupção programada da concessionária entre 11:20 e 18:00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73914565-28CE-4ABA-B667-E579D06CBADA}">
    <text>Interrupção programada da concessionária entre 11:20 e 18:00</text>
  </threadedComment>
  <threadedComment ref="AP14" dT="2023-09-06T14:49:29.15" personId="{2AC763FF-F486-4DE3-BC6C-D06594B346CB}" id="{87AD308B-6D44-4058-8A84-A97941DE0AE1}">
    <text>Interrupção programada da concessionária entre 11:20 e 18:00</text>
  </threadedComment>
  <threadedComment ref="AP15" dT="2023-09-06T14:49:35.00" personId="{2AC763FF-F486-4DE3-BC6C-D06594B346CB}" id="{1D939404-DC95-4B57-99D6-4C37311B2BDA}">
    <text>Interrupção programada da concessionária entre 11:20 e 18:00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0A1680F5-A64D-4A33-934B-BD568D5D71A4}">
    <text>Interrupção programada da concessionária entre 11:20 e 18:00</text>
  </threadedComment>
  <threadedComment ref="AP14" dT="2023-09-06T14:49:29.15" personId="{2AC763FF-F486-4DE3-BC6C-D06594B346CB}" id="{CD1E9A51-E1AC-43A3-B4F2-1712F8BE152E}">
    <text>Interrupção programada da concessionária entre 11:20 e 18:00</text>
  </threadedComment>
  <threadedComment ref="AP15" dT="2023-09-06T14:49:35.00" personId="{2AC763FF-F486-4DE3-BC6C-D06594B346CB}" id="{F69644A7-796E-4AF3-A93C-973E68B64737}">
    <text>Interrupção programada da concessionária entre 11:20 e 18:00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O11" dT="2023-09-06T14:49:23.67" personId="{2AC763FF-F486-4DE3-BC6C-D06594B346CB}" id="{ECBAD19D-A8CF-4C8A-AE40-0CBCCDA6FC02}">
    <text>Interrupção programada da concessionária entre 11:20 e 18:00</text>
  </threadedComment>
  <threadedComment ref="AO14" dT="2023-09-06T14:49:29.15" personId="{2AC763FF-F486-4DE3-BC6C-D06594B346CB}" id="{938EF8BA-B7E8-4C57-A080-69B0CFB8CA6E}">
    <text>Interrupção programada da concessionária entre 11:20 e 18:00</text>
  </threadedComment>
  <threadedComment ref="AO15" dT="2023-09-06T14:49:35.00" personId="{2AC763FF-F486-4DE3-BC6C-D06594B346CB}" id="{222D6D75-7976-4639-A38B-1634C9697CFF}">
    <text>Interrupção programada da concessionária entre 11:20 e 18:00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C0569ED0-A3B9-4D24-A5AD-77524BA94C64}">
    <text>Interrupção programada da concessionária entre 11:20 e 18:00</text>
  </threadedComment>
  <threadedComment ref="AP14" dT="2023-09-06T14:49:29.15" personId="{2AC763FF-F486-4DE3-BC6C-D06594B346CB}" id="{C0761CB1-C220-48CF-BE20-5C133BCD0A20}">
    <text>Interrupção programada da concessionária entre 11:20 e 18:00</text>
  </threadedComment>
  <threadedComment ref="AP15" dT="2023-09-06T14:49:35.00" personId="{2AC763FF-F486-4DE3-BC6C-D06594B346CB}" id="{FAE7D49E-C0D0-4DA5-8B53-093438938CD7}">
    <text>Interrupção programada da concessionária entre 11:20 e 18:00</text>
  </threadedComment>
  <threadedComment ref="L27" dT="2024-10-10T02:34:47.79" personId="{5CFAF38B-838D-402A-A8CC-AA5C0E4CF8F4}" id="{A666B483-9623-40D1-821C-70417AB6C36E}">
    <text>Falta de energia 6 as 9:30hs</text>
  </threadedComment>
  <threadedComment ref="L28" dT="2024-10-10T02:34:47.79" personId="{5CFAF38B-838D-402A-A8CC-AA5C0E4CF8F4}" id="{18DD9A36-D60A-4C47-9D3C-98CFA18EDF1E}">
    <text>Falta de energia 6 as 9:30hs</text>
  </threadedComment>
  <threadedComment ref="L29" dT="2024-10-10T02:34:47.79" personId="{5CFAF38B-838D-402A-A8CC-AA5C0E4CF8F4}" id="{F933DB66-0A20-4120-BBCA-20F0D2F6F99E}">
    <text>Falta de energia 6 as 9:30hs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AO11" dT="2023-09-06T14:49:23.67" personId="{2AC763FF-F486-4DE3-BC6C-D06594B346CB}" id="{6D4D1E79-2DDC-4B7F-8072-F64F0E97F095}">
    <text>Interrupção programada da concessionária entre 11:20 e 18:00</text>
  </threadedComment>
  <threadedComment ref="AO14" dT="2023-09-06T14:49:29.15" personId="{2AC763FF-F486-4DE3-BC6C-D06594B346CB}" id="{111FBC58-788B-48FE-B05A-981CF46EC3F9}">
    <text>Interrupção programada da concessionária entre 11:20 e 18:00</text>
  </threadedComment>
  <threadedComment ref="AO15" dT="2023-09-06T14:49:35.00" personId="{2AC763FF-F486-4DE3-BC6C-D06594B346CB}" id="{4F48AA3C-704F-4400-A9C1-A4BC2E196BB5}">
    <text>Interrupção programada da concessionária entre 11:20 e 18:00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8C5EA515-0FBD-43FB-A11C-E43077D9294E}">
    <text>Interrupção programada da concessionária entre 11:20 e 18:00</text>
  </threadedComment>
  <threadedComment ref="AP14" dT="2023-09-06T14:49:29.15" personId="{2AC763FF-F486-4DE3-BC6C-D06594B346CB}" id="{511C5D2C-5F29-4A71-9FD2-BF2FAE2C8FF1}">
    <text>Interrupção programada da concessionária entre 11:20 e 18:00</text>
  </threadedComment>
  <threadedComment ref="AP15" dT="2023-09-06T14:49:35.00" personId="{2AC763FF-F486-4DE3-BC6C-D06594B346CB}" id="{397EBACE-7C98-4092-90A9-6044FE12AC40}">
    <text>Interrupção programada da concessionária entre 11:20 e 18:00</text>
  </threadedComment>
  <threadedComment ref="M19" dT="2024-12-11T01:15:37.54" personId="{5CFAF38B-838D-402A-A8CC-AA5C0E4CF8F4}" id="{D1D37292-83F2-472C-B4BE-D1D82751E3AA}">
    <text xml:space="preserve">Usina desligada para manutenção.
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6F7F5A7F-9CDE-426C-BD88-7B064B06E32C}">
    <text>Interrupção programada da concessionária entre 11:20 e 18:00</text>
  </threadedComment>
  <threadedComment ref="AP14" dT="2023-09-06T14:49:29.15" personId="{2AC763FF-F486-4DE3-BC6C-D06594B346CB}" id="{2251156E-D733-4D8B-AFD7-6203759529E7}">
    <text>Interrupção programada da concessionária entre 11:20 e 18:00</text>
  </threadedComment>
  <threadedComment ref="AP15" dT="2023-09-06T14:49:35.00" personId="{2AC763FF-F486-4DE3-BC6C-D06594B346CB}" id="{8C6E46D6-8F46-4F63-88E2-AAB52ACB0C55}">
    <text>Interrupção programada da concessionária entre 11:20 e 18:00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AM11" dT="2023-09-06T14:49:23.67" personId="{2AC763FF-F486-4DE3-BC6C-D06594B346CB}" id="{42F0C8DE-5581-4C05-9A15-CE104008C27E}">
    <text>Interrupção programada da concessionária entre 11:20 e 18:00</text>
  </threadedComment>
  <threadedComment ref="AM14" dT="2023-09-06T14:49:29.15" personId="{2AC763FF-F486-4DE3-BC6C-D06594B346CB}" id="{96EEC05E-D56D-4F91-AAEE-7FED09142E3F}">
    <text>Interrupção programada da concessionária entre 11:20 e 18:00</text>
  </threadedComment>
  <threadedComment ref="AM15" dT="2023-09-06T14:49:35.00" personId="{2AC763FF-F486-4DE3-BC6C-D06594B346CB}" id="{51350F5A-B1B9-4061-9A32-F51EED456EE7}">
    <text>Interrupção programada da concessionária entre 11:20 e 18:00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561EE03E-F3D0-491E-A966-D90A91A01506}">
    <text>Interrupção programada da concessionária entre 11:20 e 18:00</text>
  </threadedComment>
  <threadedComment ref="AP14" dT="2023-09-06T14:49:29.15" personId="{2AC763FF-F486-4DE3-BC6C-D06594B346CB}" id="{CC06363E-EFF9-4A6C-AB3F-4777439A85F9}">
    <text>Interrupção programada da concessionária entre 11:20 e 18:00</text>
  </threadedComment>
  <threadedComment ref="AP15" dT="2023-09-06T14:49:35.00" personId="{2AC763FF-F486-4DE3-BC6C-D06594B346CB}" id="{A87F8F45-D5E7-49BD-BA72-43B8DE8239D0}">
    <text>Interrupção programada da concessionária entre 11:20 e 18:00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O11" dT="2023-09-06T14:49:23.67" personId="{2AC763FF-F486-4DE3-BC6C-D06594B346CB}" id="{36055D92-1D45-4F79-9DE6-D5AA0D2EE03A}">
    <text>Interrupção programada da concessionária entre 11:20 e 18:00</text>
  </threadedComment>
  <threadedComment ref="AO14" dT="2023-09-06T14:49:29.15" personId="{2AC763FF-F486-4DE3-BC6C-D06594B346CB}" id="{22CD3C16-D85B-472E-8DA9-F72989AA983F}">
    <text>Interrupção programada da concessionária entre 11:20 e 18:00</text>
  </threadedComment>
  <threadedComment ref="AO15" dT="2023-09-06T14:49:35.00" personId="{2AC763FF-F486-4DE3-BC6C-D06594B346CB}" id="{4FF2F039-B47C-4C81-9ED3-16A66C0194A7}">
    <text>Interrupção programada da concessionária entre 11:20 e 18:00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44BA630D-35E0-43E2-ABDA-A40EC9137A73}">
    <text>Interrupção programada da concessionária entre 11:20 e 18:00</text>
  </threadedComment>
  <threadedComment ref="AP14" dT="2023-09-06T14:49:29.15" personId="{2AC763FF-F486-4DE3-BC6C-D06594B346CB}" id="{6BC61341-4D0D-4ACB-8ACC-B33C698D068C}">
    <text>Interrupção programada da concessionária entre 11:20 e 18:00</text>
  </threadedComment>
  <threadedComment ref="AP15" dT="2023-09-06T14:49:35.00" personId="{2AC763FF-F486-4DE3-BC6C-D06594B346CB}" id="{D5110906-A925-4066-AE48-4AFF228E50AE}">
    <text>Interrupção programada da concessionária entre 11:20 e 18:00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O11" dT="2023-09-06T14:49:23.67" personId="{2AC763FF-F486-4DE3-BC6C-D06594B346CB}" id="{C6C117D4-671A-49A6-A82B-A2D38F8FC7AD}">
    <text>Interrupção programada da concessionária entre 11:20 e 18:00</text>
  </threadedComment>
  <threadedComment ref="AO14" dT="2023-09-06T14:49:29.15" personId="{2AC763FF-F486-4DE3-BC6C-D06594B346CB}" id="{5FE6E206-EC2C-4A74-9AC9-67E501DCAB0D}">
    <text>Interrupção programada da concessionária entre 11:20 e 18:00</text>
  </threadedComment>
  <threadedComment ref="AO15" dT="2023-09-06T14:49:35.00" personId="{2AC763FF-F486-4DE3-BC6C-D06594B346CB}" id="{EEABDDD1-CC4B-442B-A4E2-23C348D7BBF1}">
    <text>Interrupção programada da concessionária entre 11:20 e 18:00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AP11" dT="2023-09-06T14:49:23.67" personId="{2AC763FF-F486-4DE3-BC6C-D06594B346CB}" id="{F2564674-E1BE-4DD0-9339-A29C68D34940}">
    <text>Interrupção programada da concessionária entre 11:20 e 18:00</text>
  </threadedComment>
  <threadedComment ref="AP14" dT="2023-09-06T14:49:29.15" personId="{2AC763FF-F486-4DE3-BC6C-D06594B346CB}" id="{D141E437-0073-4542-B2D3-00414F2C8627}">
    <text>Interrupção programada da concessionária entre 11:20 e 18:00</text>
  </threadedComment>
  <threadedComment ref="AP15" dT="2023-09-06T14:49:35.00" personId="{2AC763FF-F486-4DE3-BC6C-D06594B346CB}" id="{DB00828C-21B4-4423-A9A4-2EC0413D6E46}">
    <text>Interrupção programada da concessionária entre 11:20 e 18:00</text>
  </threadedComment>
  <threadedComment ref="R28" dT="2025-07-16T02:59:20.65" personId="{5CFAF38B-838D-402A-A8CC-AA5C0E4CF8F4}" id="{DD13543F-2265-4E99-A736-CDE96DCC96E5}">
    <text>Falta de energia das 8:40 às 14:35</text>
  </threadedComment>
  <threadedComment ref="R29" dT="2025-07-16T02:59:20.65" personId="{5CFAF38B-838D-402A-A8CC-AA5C0E4CF8F4}" id="{A9763060-ED7D-4989-9D5B-59111E6E717F}">
    <text>Falta de energia das 8:40 às 14:35</text>
  </threadedComment>
  <threadedComment ref="R30" dT="2025-07-16T02:59:20.65" personId="{5CFAF38B-838D-402A-A8CC-AA5C0E4CF8F4}" id="{41B3FA3D-ED8E-4295-87CC-0C86828CC549}">
    <text>Falta de energia das 8:40 às 14:35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1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1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15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Relationship Id="rId4" Type="http://schemas.microsoft.com/office/2017/10/relationships/threadedComment" Target="../threadedComments/threadedComment18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Relationship Id="rId4" Type="http://schemas.microsoft.com/office/2017/10/relationships/threadedComment" Target="../threadedComments/threadedComment20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Relationship Id="rId4" Type="http://schemas.microsoft.com/office/2017/10/relationships/threadedComment" Target="../threadedComments/threadedComment2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Relationship Id="rId4" Type="http://schemas.microsoft.com/office/2017/10/relationships/threadedComment" Target="../threadedComments/threadedComment2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Relationship Id="rId4" Type="http://schemas.microsoft.com/office/2017/10/relationships/threadedComment" Target="../threadedComments/threadedComment23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Relationship Id="rId4" Type="http://schemas.microsoft.com/office/2017/10/relationships/threadedComment" Target="../threadedComments/threadedComment24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EE173-529A-4E9B-A748-F965C8545F4D}">
  <dimension ref="A1:H58"/>
  <sheetViews>
    <sheetView showGridLines="0" topLeftCell="A42" workbookViewId="0">
      <selection activeCell="E51" sqref="E51"/>
    </sheetView>
  </sheetViews>
  <sheetFormatPr defaultRowHeight="14.4" x14ac:dyDescent="0.3"/>
  <cols>
    <col min="1" max="1" width="23.77734375" customWidth="1"/>
    <col min="2" max="2" width="23.88671875" customWidth="1"/>
    <col min="3" max="3" width="82.77734375" bestFit="1" customWidth="1"/>
    <col min="4" max="4" width="31.109375" bestFit="1" customWidth="1"/>
    <col min="5" max="6" width="13.109375" bestFit="1" customWidth="1"/>
    <col min="7" max="11" width="12" bestFit="1" customWidth="1"/>
  </cols>
  <sheetData>
    <row r="1" spans="1:8" x14ac:dyDescent="0.3">
      <c r="A1" s="438" t="s">
        <v>671</v>
      </c>
      <c r="B1" s="438" t="s">
        <v>756</v>
      </c>
      <c r="C1" s="438" t="s">
        <v>767</v>
      </c>
      <c r="D1" s="438" t="s">
        <v>757</v>
      </c>
      <c r="E1" s="438" t="s">
        <v>360</v>
      </c>
      <c r="F1" s="438" t="s">
        <v>759</v>
      </c>
      <c r="G1" s="438" t="s">
        <v>758</v>
      </c>
      <c r="H1" s="438"/>
    </row>
    <row r="2" spans="1:8" x14ac:dyDescent="0.3">
      <c r="A2" t="s">
        <v>675</v>
      </c>
      <c r="B2" t="s">
        <v>761</v>
      </c>
      <c r="C2" t="s">
        <v>768</v>
      </c>
      <c r="D2" t="s">
        <v>762</v>
      </c>
      <c r="E2" s="116">
        <v>45364</v>
      </c>
      <c r="F2" t="s">
        <v>760</v>
      </c>
      <c r="G2" s="612">
        <v>310</v>
      </c>
    </row>
    <row r="3" spans="1:8" x14ac:dyDescent="0.3">
      <c r="A3" t="s">
        <v>675</v>
      </c>
      <c r="B3" t="s">
        <v>761</v>
      </c>
      <c r="C3" t="s">
        <v>769</v>
      </c>
      <c r="D3" t="s">
        <v>763</v>
      </c>
      <c r="E3" s="116">
        <v>45210</v>
      </c>
      <c r="F3" t="s">
        <v>764</v>
      </c>
      <c r="G3" s="612">
        <v>1240</v>
      </c>
    </row>
    <row r="4" spans="1:8" ht="84.6" x14ac:dyDescent="0.3">
      <c r="A4" t="s">
        <v>675</v>
      </c>
      <c r="B4" t="s">
        <v>761</v>
      </c>
      <c r="C4" t="s">
        <v>768</v>
      </c>
      <c r="D4" t="s">
        <v>765</v>
      </c>
      <c r="E4" s="116">
        <v>45215</v>
      </c>
      <c r="F4" s="613" t="s">
        <v>766</v>
      </c>
      <c r="G4" s="612">
        <v>460</v>
      </c>
    </row>
    <row r="5" spans="1:8" x14ac:dyDescent="0.3">
      <c r="A5" t="s">
        <v>675</v>
      </c>
      <c r="B5" t="s">
        <v>761</v>
      </c>
      <c r="C5" t="s">
        <v>769</v>
      </c>
      <c r="D5" t="s">
        <v>770</v>
      </c>
      <c r="E5" s="116">
        <v>45418</v>
      </c>
      <c r="F5" t="s">
        <v>771</v>
      </c>
      <c r="G5" s="612">
        <v>992</v>
      </c>
    </row>
    <row r="6" spans="1:8" x14ac:dyDescent="0.3">
      <c r="A6" t="s">
        <v>675</v>
      </c>
      <c r="B6" t="s">
        <v>761</v>
      </c>
      <c r="C6" t="s">
        <v>769</v>
      </c>
      <c r="D6" t="s">
        <v>770</v>
      </c>
      <c r="E6" s="116">
        <v>45414</v>
      </c>
      <c r="F6" t="s">
        <v>773</v>
      </c>
      <c r="G6" s="612">
        <v>560</v>
      </c>
    </row>
    <row r="7" spans="1:8" x14ac:dyDescent="0.3">
      <c r="A7" t="s">
        <v>675</v>
      </c>
      <c r="B7" t="s">
        <v>761</v>
      </c>
      <c r="C7" t="s">
        <v>768</v>
      </c>
      <c r="D7" t="s">
        <v>774</v>
      </c>
      <c r="E7" s="116">
        <v>45414</v>
      </c>
      <c r="F7" t="s">
        <v>760</v>
      </c>
      <c r="G7" s="612">
        <v>350</v>
      </c>
    </row>
    <row r="8" spans="1:8" x14ac:dyDescent="0.3">
      <c r="A8" t="s">
        <v>675</v>
      </c>
      <c r="B8" t="s">
        <v>761</v>
      </c>
      <c r="C8" t="s">
        <v>768</v>
      </c>
      <c r="D8" t="s">
        <v>775</v>
      </c>
      <c r="E8" s="116">
        <v>45418</v>
      </c>
      <c r="F8" t="s">
        <v>776</v>
      </c>
      <c r="G8" s="612">
        <v>540</v>
      </c>
    </row>
    <row r="9" spans="1:8" x14ac:dyDescent="0.3">
      <c r="A9" t="s">
        <v>678</v>
      </c>
      <c r="B9" t="s">
        <v>777</v>
      </c>
      <c r="C9" t="s">
        <v>778</v>
      </c>
      <c r="D9" t="s">
        <v>762</v>
      </c>
      <c r="E9" s="116">
        <v>45336</v>
      </c>
      <c r="F9" t="s">
        <v>784</v>
      </c>
      <c r="G9" s="612">
        <v>1782</v>
      </c>
    </row>
    <row r="10" spans="1:8" x14ac:dyDescent="0.3">
      <c r="A10" t="s">
        <v>678</v>
      </c>
      <c r="B10" t="s">
        <v>777</v>
      </c>
      <c r="C10" t="s">
        <v>769</v>
      </c>
      <c r="D10" t="s">
        <v>772</v>
      </c>
      <c r="E10" s="116">
        <v>45257</v>
      </c>
      <c r="F10" t="s">
        <v>779</v>
      </c>
      <c r="G10" s="612">
        <v>840</v>
      </c>
    </row>
    <row r="11" spans="1:8" x14ac:dyDescent="0.3">
      <c r="A11" t="s">
        <v>678</v>
      </c>
      <c r="B11" t="s">
        <v>777</v>
      </c>
      <c r="C11" t="s">
        <v>768</v>
      </c>
      <c r="D11" t="s">
        <v>775</v>
      </c>
      <c r="E11" s="116">
        <v>45257</v>
      </c>
      <c r="F11" t="s">
        <v>760</v>
      </c>
      <c r="G11" s="612">
        <v>1148</v>
      </c>
    </row>
    <row r="12" spans="1:8" x14ac:dyDescent="0.3">
      <c r="A12" t="s">
        <v>678</v>
      </c>
      <c r="B12" t="s">
        <v>777</v>
      </c>
      <c r="C12" t="s">
        <v>768</v>
      </c>
      <c r="D12" t="s">
        <v>762</v>
      </c>
      <c r="E12" s="116">
        <v>45536</v>
      </c>
      <c r="F12" t="s">
        <v>785</v>
      </c>
      <c r="G12" s="612">
        <v>828</v>
      </c>
    </row>
    <row r="13" spans="1:8" x14ac:dyDescent="0.3">
      <c r="A13" t="s">
        <v>678</v>
      </c>
      <c r="B13" t="s">
        <v>777</v>
      </c>
      <c r="C13" t="s">
        <v>769</v>
      </c>
      <c r="D13" t="s">
        <v>762</v>
      </c>
      <c r="E13" s="116">
        <v>45536</v>
      </c>
      <c r="F13" t="s">
        <v>786</v>
      </c>
      <c r="G13" s="612">
        <v>570</v>
      </c>
    </row>
    <row r="14" spans="1:8" x14ac:dyDescent="0.3">
      <c r="A14" t="s">
        <v>678</v>
      </c>
      <c r="B14" t="s">
        <v>777</v>
      </c>
      <c r="C14" t="s">
        <v>769</v>
      </c>
      <c r="D14" t="s">
        <v>762</v>
      </c>
      <c r="E14" s="116">
        <v>45536</v>
      </c>
      <c r="F14" t="s">
        <v>787</v>
      </c>
      <c r="G14" s="612">
        <v>240</v>
      </c>
    </row>
    <row r="15" spans="1:8" x14ac:dyDescent="0.3">
      <c r="A15" t="s">
        <v>678</v>
      </c>
      <c r="B15" t="s">
        <v>777</v>
      </c>
      <c r="C15" t="s">
        <v>768</v>
      </c>
      <c r="D15" t="s">
        <v>762</v>
      </c>
      <c r="E15" s="116">
        <v>45536</v>
      </c>
      <c r="F15" t="s">
        <v>788</v>
      </c>
      <c r="G15" s="612">
        <v>1350</v>
      </c>
    </row>
    <row r="16" spans="1:8" x14ac:dyDescent="0.3">
      <c r="A16" t="s">
        <v>675</v>
      </c>
      <c r="B16" t="s">
        <v>761</v>
      </c>
      <c r="C16" t="s">
        <v>769</v>
      </c>
      <c r="D16" t="s">
        <v>762</v>
      </c>
      <c r="E16" s="116">
        <v>45536</v>
      </c>
      <c r="F16" t="s">
        <v>789</v>
      </c>
      <c r="G16" s="612">
        <v>60</v>
      </c>
    </row>
    <row r="17" spans="1:7" x14ac:dyDescent="0.3">
      <c r="A17" t="s">
        <v>675</v>
      </c>
      <c r="B17" t="s">
        <v>761</v>
      </c>
      <c r="C17" t="s">
        <v>769</v>
      </c>
      <c r="D17" t="s">
        <v>762</v>
      </c>
      <c r="E17" s="116">
        <v>45536</v>
      </c>
      <c r="F17" t="s">
        <v>790</v>
      </c>
      <c r="G17" s="612">
        <v>115</v>
      </c>
    </row>
    <row r="18" spans="1:7" x14ac:dyDescent="0.3">
      <c r="A18" t="s">
        <v>675</v>
      </c>
      <c r="B18" t="s">
        <v>761</v>
      </c>
      <c r="C18" t="s">
        <v>769</v>
      </c>
      <c r="D18" t="s">
        <v>762</v>
      </c>
      <c r="E18" s="116">
        <v>45536</v>
      </c>
      <c r="F18" t="s">
        <v>791</v>
      </c>
      <c r="G18" s="612">
        <v>480</v>
      </c>
    </row>
    <row r="19" spans="1:7" x14ac:dyDescent="0.3">
      <c r="A19" t="s">
        <v>675</v>
      </c>
      <c r="B19" t="s">
        <v>761</v>
      </c>
      <c r="C19" t="s">
        <v>769</v>
      </c>
      <c r="D19" t="s">
        <v>762</v>
      </c>
      <c r="E19" s="116">
        <v>45536</v>
      </c>
      <c r="F19" t="s">
        <v>792</v>
      </c>
      <c r="G19" s="612">
        <v>240</v>
      </c>
    </row>
    <row r="20" spans="1:7" x14ac:dyDescent="0.3">
      <c r="A20" t="s">
        <v>675</v>
      </c>
      <c r="B20" t="s">
        <v>761</v>
      </c>
      <c r="C20" t="s">
        <v>768</v>
      </c>
      <c r="D20" t="s">
        <v>762</v>
      </c>
      <c r="E20" s="116">
        <v>45536</v>
      </c>
      <c r="F20" t="s">
        <v>793</v>
      </c>
      <c r="G20" s="612">
        <v>168</v>
      </c>
    </row>
    <row r="21" spans="1:7" x14ac:dyDescent="0.3">
      <c r="A21" t="s">
        <v>678</v>
      </c>
      <c r="B21" t="s">
        <v>777</v>
      </c>
      <c r="C21" t="s">
        <v>768</v>
      </c>
      <c r="D21" t="s">
        <v>762</v>
      </c>
      <c r="E21" s="116">
        <v>45492</v>
      </c>
      <c r="F21" t="s">
        <v>794</v>
      </c>
      <c r="G21" s="612">
        <v>7565.5</v>
      </c>
    </row>
    <row r="22" spans="1:7" x14ac:dyDescent="0.3">
      <c r="A22" t="s">
        <v>675</v>
      </c>
      <c r="B22" t="s">
        <v>761</v>
      </c>
      <c r="C22" t="s">
        <v>768</v>
      </c>
      <c r="D22" t="s">
        <v>762</v>
      </c>
      <c r="E22" s="116">
        <v>45492</v>
      </c>
      <c r="F22" t="s">
        <v>795</v>
      </c>
      <c r="G22" s="612">
        <v>7565.5</v>
      </c>
    </row>
    <row r="26" spans="1:7" x14ac:dyDescent="0.3">
      <c r="A26" t="s">
        <v>780</v>
      </c>
      <c r="D26" t="s">
        <v>671</v>
      </c>
    </row>
    <row r="27" spans="1:7" x14ac:dyDescent="0.3">
      <c r="A27" t="s">
        <v>783</v>
      </c>
      <c r="B27" t="s">
        <v>796</v>
      </c>
      <c r="C27" t="s">
        <v>759</v>
      </c>
      <c r="D27" t="s">
        <v>675</v>
      </c>
      <c r="E27" t="s">
        <v>678</v>
      </c>
    </row>
    <row r="28" spans="1:7" x14ac:dyDescent="0.3">
      <c r="A28" t="s">
        <v>781</v>
      </c>
      <c r="D28" s="614">
        <v>1700</v>
      </c>
      <c r="E28" s="614">
        <v>1988</v>
      </c>
    </row>
    <row r="29" spans="1:7" x14ac:dyDescent="0.3">
      <c r="A29" t="s">
        <v>781</v>
      </c>
      <c r="B29" t="s">
        <v>797</v>
      </c>
      <c r="D29" s="614">
        <v>1700</v>
      </c>
      <c r="E29" s="614"/>
    </row>
    <row r="30" spans="1:7" x14ac:dyDescent="0.3">
      <c r="A30" t="s">
        <v>781</v>
      </c>
      <c r="B30" t="s">
        <v>797</v>
      </c>
      <c r="C30" t="s">
        <v>766</v>
      </c>
      <c r="D30" s="614">
        <v>460</v>
      </c>
      <c r="E30" s="614"/>
    </row>
    <row r="31" spans="1:7" x14ac:dyDescent="0.3">
      <c r="A31" t="s">
        <v>781</v>
      </c>
      <c r="B31" t="s">
        <v>797</v>
      </c>
      <c r="C31" t="s">
        <v>764</v>
      </c>
      <c r="D31" s="614">
        <v>1240</v>
      </c>
      <c r="E31" s="614"/>
    </row>
    <row r="32" spans="1:7" x14ac:dyDescent="0.3">
      <c r="A32" t="s">
        <v>781</v>
      </c>
      <c r="B32" t="s">
        <v>798</v>
      </c>
      <c r="D32" s="614"/>
      <c r="E32" s="614">
        <v>1988</v>
      </c>
    </row>
    <row r="33" spans="1:5" x14ac:dyDescent="0.3">
      <c r="A33" t="s">
        <v>781</v>
      </c>
      <c r="B33" t="s">
        <v>798</v>
      </c>
      <c r="C33" t="s">
        <v>779</v>
      </c>
      <c r="D33" s="614"/>
      <c r="E33" s="614">
        <v>840</v>
      </c>
    </row>
    <row r="34" spans="1:5" x14ac:dyDescent="0.3">
      <c r="A34" t="s">
        <v>781</v>
      </c>
      <c r="B34" t="s">
        <v>798</v>
      </c>
      <c r="C34" t="s">
        <v>760</v>
      </c>
      <c r="D34" s="614"/>
      <c r="E34" s="614">
        <v>1148</v>
      </c>
    </row>
    <row r="35" spans="1:5" x14ac:dyDescent="0.3">
      <c r="A35" t="s">
        <v>782</v>
      </c>
      <c r="D35" s="614">
        <v>11380.5</v>
      </c>
      <c r="E35" s="614">
        <v>12335.5</v>
      </c>
    </row>
    <row r="36" spans="1:5" x14ac:dyDescent="0.3">
      <c r="A36" t="s">
        <v>782</v>
      </c>
      <c r="B36" t="s">
        <v>799</v>
      </c>
      <c r="D36" s="614"/>
      <c r="E36" s="614">
        <v>1782</v>
      </c>
    </row>
    <row r="37" spans="1:5" x14ac:dyDescent="0.3">
      <c r="A37" t="s">
        <v>782</v>
      </c>
      <c r="B37" t="s">
        <v>799</v>
      </c>
      <c r="C37" t="s">
        <v>784</v>
      </c>
      <c r="D37" s="614"/>
      <c r="E37" s="614">
        <v>1782</v>
      </c>
    </row>
    <row r="38" spans="1:5" x14ac:dyDescent="0.3">
      <c r="A38" t="s">
        <v>782</v>
      </c>
      <c r="B38" t="s">
        <v>800</v>
      </c>
      <c r="D38" s="614">
        <v>310</v>
      </c>
      <c r="E38" s="614"/>
    </row>
    <row r="39" spans="1:5" x14ac:dyDescent="0.3">
      <c r="A39" t="s">
        <v>782</v>
      </c>
      <c r="B39" t="s">
        <v>800</v>
      </c>
      <c r="C39" t="s">
        <v>760</v>
      </c>
      <c r="D39" s="614">
        <v>310</v>
      </c>
      <c r="E39" s="614"/>
    </row>
    <row r="40" spans="1:5" x14ac:dyDescent="0.3">
      <c r="A40" t="s">
        <v>782</v>
      </c>
      <c r="B40" t="s">
        <v>801</v>
      </c>
      <c r="D40" s="614">
        <v>2442</v>
      </c>
      <c r="E40" s="614"/>
    </row>
    <row r="41" spans="1:5" x14ac:dyDescent="0.3">
      <c r="A41" t="s">
        <v>782</v>
      </c>
      <c r="B41" t="s">
        <v>801</v>
      </c>
      <c r="C41" t="s">
        <v>771</v>
      </c>
      <c r="D41" s="614">
        <v>992</v>
      </c>
      <c r="E41" s="614"/>
    </row>
    <row r="42" spans="1:5" x14ac:dyDescent="0.3">
      <c r="A42" t="s">
        <v>782</v>
      </c>
      <c r="B42" t="s">
        <v>801</v>
      </c>
      <c r="C42" t="s">
        <v>776</v>
      </c>
      <c r="D42" s="614">
        <v>540</v>
      </c>
      <c r="E42" s="614"/>
    </row>
    <row r="43" spans="1:5" x14ac:dyDescent="0.3">
      <c r="A43" t="s">
        <v>782</v>
      </c>
      <c r="B43" t="s">
        <v>801</v>
      </c>
      <c r="C43" t="s">
        <v>760</v>
      </c>
      <c r="D43" s="614">
        <v>350</v>
      </c>
      <c r="E43" s="614"/>
    </row>
    <row r="44" spans="1:5" x14ac:dyDescent="0.3">
      <c r="A44" t="s">
        <v>782</v>
      </c>
      <c r="B44" t="s">
        <v>801</v>
      </c>
      <c r="C44" t="s">
        <v>773</v>
      </c>
      <c r="D44" s="614">
        <v>560</v>
      </c>
      <c r="E44" s="614"/>
    </row>
    <row r="45" spans="1:5" x14ac:dyDescent="0.3">
      <c r="A45" t="s">
        <v>782</v>
      </c>
      <c r="B45" t="s">
        <v>802</v>
      </c>
      <c r="D45" s="614">
        <v>7565.5</v>
      </c>
      <c r="E45" s="614">
        <v>7565.5</v>
      </c>
    </row>
    <row r="46" spans="1:5" x14ac:dyDescent="0.3">
      <c r="A46" t="s">
        <v>782</v>
      </c>
      <c r="B46" t="s">
        <v>802</v>
      </c>
      <c r="C46" t="s">
        <v>794</v>
      </c>
      <c r="D46" s="614"/>
      <c r="E46" s="614">
        <v>7565.5</v>
      </c>
    </row>
    <row r="47" spans="1:5" x14ac:dyDescent="0.3">
      <c r="A47" t="s">
        <v>782</v>
      </c>
      <c r="B47" t="s">
        <v>802</v>
      </c>
      <c r="C47" t="s">
        <v>795</v>
      </c>
      <c r="D47" s="614">
        <v>7565.5</v>
      </c>
      <c r="E47" s="614"/>
    </row>
    <row r="48" spans="1:5" x14ac:dyDescent="0.3">
      <c r="A48" t="s">
        <v>782</v>
      </c>
      <c r="B48" t="s">
        <v>803</v>
      </c>
      <c r="D48" s="614">
        <v>1063</v>
      </c>
      <c r="E48" s="614">
        <v>2988</v>
      </c>
    </row>
    <row r="49" spans="1:5" x14ac:dyDescent="0.3">
      <c r="A49" t="s">
        <v>782</v>
      </c>
      <c r="B49" t="s">
        <v>803</v>
      </c>
      <c r="C49" t="s">
        <v>785</v>
      </c>
      <c r="D49" s="614"/>
      <c r="E49" s="614">
        <v>828</v>
      </c>
    </row>
    <row r="50" spans="1:5" x14ac:dyDescent="0.3">
      <c r="A50" t="s">
        <v>782</v>
      </c>
      <c r="B50" t="s">
        <v>803</v>
      </c>
      <c r="C50" t="s">
        <v>786</v>
      </c>
      <c r="D50" s="614"/>
      <c r="E50" s="614">
        <v>570</v>
      </c>
    </row>
    <row r="51" spans="1:5" x14ac:dyDescent="0.3">
      <c r="A51" t="s">
        <v>782</v>
      </c>
      <c r="B51" t="s">
        <v>803</v>
      </c>
      <c r="C51" t="s">
        <v>787</v>
      </c>
      <c r="D51" s="614"/>
      <c r="E51" s="614">
        <v>240</v>
      </c>
    </row>
    <row r="52" spans="1:5" x14ac:dyDescent="0.3">
      <c r="A52" t="s">
        <v>782</v>
      </c>
      <c r="B52" t="s">
        <v>803</v>
      </c>
      <c r="C52" t="s">
        <v>788</v>
      </c>
      <c r="D52" s="614"/>
      <c r="E52" s="614">
        <v>1350</v>
      </c>
    </row>
    <row r="53" spans="1:5" x14ac:dyDescent="0.3">
      <c r="A53" t="s">
        <v>782</v>
      </c>
      <c r="B53" t="s">
        <v>803</v>
      </c>
      <c r="C53" t="s">
        <v>789</v>
      </c>
      <c r="D53" s="614">
        <v>60</v>
      </c>
      <c r="E53" s="614"/>
    </row>
    <row r="54" spans="1:5" x14ac:dyDescent="0.3">
      <c r="A54" t="s">
        <v>782</v>
      </c>
      <c r="B54" t="s">
        <v>803</v>
      </c>
      <c r="C54" t="s">
        <v>790</v>
      </c>
      <c r="D54" s="614">
        <v>115</v>
      </c>
      <c r="E54" s="614"/>
    </row>
    <row r="55" spans="1:5" x14ac:dyDescent="0.3">
      <c r="A55" t="s">
        <v>782</v>
      </c>
      <c r="B55" t="s">
        <v>803</v>
      </c>
      <c r="C55" t="s">
        <v>791</v>
      </c>
      <c r="D55" s="614">
        <v>480</v>
      </c>
      <c r="E55" s="614"/>
    </row>
    <row r="56" spans="1:5" x14ac:dyDescent="0.3">
      <c r="A56" t="s">
        <v>782</v>
      </c>
      <c r="B56" t="s">
        <v>803</v>
      </c>
      <c r="C56" t="s">
        <v>792</v>
      </c>
      <c r="D56" s="614">
        <v>240</v>
      </c>
      <c r="E56" s="614"/>
    </row>
    <row r="57" spans="1:5" x14ac:dyDescent="0.3">
      <c r="A57" t="s">
        <v>782</v>
      </c>
      <c r="B57" t="s">
        <v>803</v>
      </c>
      <c r="C57" t="s">
        <v>793</v>
      </c>
      <c r="D57" s="614">
        <v>168</v>
      </c>
      <c r="E57" s="614"/>
    </row>
    <row r="58" spans="1:5" x14ac:dyDescent="0.3">
      <c r="A58" t="s">
        <v>357</v>
      </c>
      <c r="D58" s="614">
        <v>13080.5</v>
      </c>
      <c r="E58" s="614">
        <v>14323.5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14599-7F47-4422-85AF-70E372F38AD7}">
  <dimension ref="B2:K34"/>
  <sheetViews>
    <sheetView showGridLines="0" topLeftCell="A35" zoomScale="110" zoomScaleNormal="110" workbookViewId="0">
      <selection activeCell="E10" sqref="E10"/>
    </sheetView>
  </sheetViews>
  <sheetFormatPr defaultRowHeight="14.4" x14ac:dyDescent="0.3"/>
  <cols>
    <col min="1" max="1" width="4.109375" customWidth="1"/>
    <col min="2" max="2" width="22.33203125" customWidth="1"/>
    <col min="3" max="3" width="18.88671875" customWidth="1"/>
    <col min="4" max="4" width="17.6640625" customWidth="1"/>
    <col min="5" max="5" width="17.88671875" customWidth="1"/>
    <col min="6" max="7" width="17.6640625" customWidth="1"/>
    <col min="10" max="10" width="18.6640625" customWidth="1"/>
  </cols>
  <sheetData>
    <row r="2" spans="2:10" ht="49.5" customHeight="1" x14ac:dyDescent="0.3">
      <c r="D2" s="1"/>
      <c r="E2" s="1" t="s">
        <v>0</v>
      </c>
      <c r="I2" t="s">
        <v>1</v>
      </c>
    </row>
    <row r="3" spans="2:10" x14ac:dyDescent="0.3">
      <c r="E3" s="39">
        <v>31</v>
      </c>
    </row>
    <row r="4" spans="2:10" ht="32.4" customHeight="1" x14ac:dyDescent="0.3">
      <c r="B4" s="6"/>
      <c r="C4" s="2"/>
      <c r="D4" s="16" t="s">
        <v>2</v>
      </c>
      <c r="E4" s="32">
        <v>45108</v>
      </c>
      <c r="F4" s="16" t="s">
        <v>3</v>
      </c>
      <c r="G4" s="33" t="s">
        <v>4</v>
      </c>
      <c r="H4" s="15" t="s">
        <v>5</v>
      </c>
      <c r="I4" s="2"/>
    </row>
    <row r="5" spans="2:10" x14ac:dyDescent="0.3">
      <c r="B5" s="751" t="s">
        <v>6</v>
      </c>
      <c r="C5" s="15" t="s">
        <v>7</v>
      </c>
      <c r="D5" s="15">
        <v>12</v>
      </c>
      <c r="E5" s="15">
        <v>1100</v>
      </c>
      <c r="F5" s="8">
        <v>0.16400000000000001</v>
      </c>
      <c r="G5" s="8">
        <f t="shared" ref="G5:G26" si="0">IFERROR(E5/($D5*E$3*24),0)</f>
        <v>0.1232078853046595</v>
      </c>
      <c r="H5" s="34">
        <f>G5-F5</f>
        <v>-4.0792114695340512E-2</v>
      </c>
      <c r="I5" s="35"/>
      <c r="J5" s="162"/>
    </row>
    <row r="6" spans="2:10" x14ac:dyDescent="0.3">
      <c r="B6" s="752"/>
      <c r="C6" s="15" t="s">
        <v>8</v>
      </c>
      <c r="D6" s="15">
        <v>67</v>
      </c>
      <c r="E6" s="15">
        <f>5305.7+1300</f>
        <v>6605.7</v>
      </c>
      <c r="F6" s="8">
        <v>0.161</v>
      </c>
      <c r="G6" s="8">
        <f t="shared" si="0"/>
        <v>0.1325168512277323</v>
      </c>
      <c r="H6" s="34">
        <f t="shared" ref="H6:H24" si="1">G6-F6</f>
        <v>-2.8483148772267708E-2</v>
      </c>
      <c r="I6" s="35"/>
      <c r="J6" s="162"/>
    </row>
    <row r="7" spans="2:10" x14ac:dyDescent="0.3">
      <c r="B7" s="752"/>
      <c r="C7" s="15" t="s">
        <v>9</v>
      </c>
      <c r="D7" s="15">
        <v>49</v>
      </c>
      <c r="E7" s="15">
        <v>4750</v>
      </c>
      <c r="F7" s="8">
        <v>0.16900000000000001</v>
      </c>
      <c r="G7" s="8">
        <f t="shared" si="0"/>
        <v>0.13029405310511302</v>
      </c>
      <c r="H7" s="34">
        <f t="shared" si="1"/>
        <v>-3.8705946894886989E-2</v>
      </c>
      <c r="I7" s="35"/>
      <c r="J7" s="162"/>
    </row>
    <row r="8" spans="2:10" x14ac:dyDescent="0.3">
      <c r="B8" s="752"/>
      <c r="C8" s="15" t="s">
        <v>10</v>
      </c>
      <c r="D8" s="15">
        <v>33</v>
      </c>
      <c r="E8" s="15">
        <v>3180</v>
      </c>
      <c r="F8" s="8">
        <v>0.17199999999999999</v>
      </c>
      <c r="G8" s="8">
        <f t="shared" si="0"/>
        <v>0.12952101661779081</v>
      </c>
      <c r="H8" s="34">
        <f t="shared" si="1"/>
        <v>-4.2478983382209179E-2</v>
      </c>
      <c r="I8" s="35"/>
      <c r="J8" s="162"/>
    </row>
    <row r="9" spans="2:10" x14ac:dyDescent="0.3">
      <c r="B9" s="752"/>
      <c r="C9" s="15" t="s">
        <v>11</v>
      </c>
      <c r="D9" s="15">
        <v>12</v>
      </c>
      <c r="E9" s="15">
        <v>1265</v>
      </c>
      <c r="F9" s="8">
        <v>0.17660000000000001</v>
      </c>
      <c r="G9" s="8">
        <f t="shared" si="0"/>
        <v>0.14168906810035842</v>
      </c>
      <c r="H9" s="34">
        <f t="shared" si="1"/>
        <v>-3.491093189964159E-2</v>
      </c>
      <c r="I9" s="35"/>
      <c r="J9" s="162"/>
    </row>
    <row r="10" spans="2:10" x14ac:dyDescent="0.3">
      <c r="B10" s="752"/>
      <c r="C10" s="15" t="s">
        <v>12</v>
      </c>
      <c r="D10" s="15">
        <v>25</v>
      </c>
      <c r="E10" s="15">
        <v>2440</v>
      </c>
      <c r="F10" s="8">
        <v>0.16900000000000001</v>
      </c>
      <c r="G10" s="8">
        <f t="shared" si="0"/>
        <v>0.13118279569892474</v>
      </c>
      <c r="H10" s="34">
        <f t="shared" si="1"/>
        <v>-3.7817204301075269E-2</v>
      </c>
      <c r="I10" s="35"/>
      <c r="J10" s="162"/>
    </row>
    <row r="11" spans="2:10" x14ac:dyDescent="0.3">
      <c r="B11" s="752"/>
      <c r="C11" s="15" t="s">
        <v>13</v>
      </c>
      <c r="D11" s="15">
        <v>78</v>
      </c>
      <c r="E11" s="15">
        <v>7760.2</v>
      </c>
      <c r="F11" s="8">
        <v>0.151</v>
      </c>
      <c r="G11" s="8">
        <f t="shared" si="0"/>
        <v>0.13372277364212848</v>
      </c>
      <c r="H11" s="34">
        <f t="shared" si="1"/>
        <v>-1.7277226357871517E-2</v>
      </c>
      <c r="I11" s="35"/>
      <c r="J11" s="162"/>
    </row>
    <row r="12" spans="2:10" ht="30" customHeight="1" x14ac:dyDescent="0.3">
      <c r="B12" s="753"/>
      <c r="C12" s="15" t="s">
        <v>14</v>
      </c>
      <c r="D12" s="15">
        <v>61</v>
      </c>
      <c r="E12" s="16" t="s">
        <v>15</v>
      </c>
      <c r="F12" s="8">
        <v>0.157</v>
      </c>
      <c r="G12" s="8">
        <f t="shared" si="0"/>
        <v>0</v>
      </c>
      <c r="H12" s="34" t="str">
        <f>IF(G12=0,"-",G12-F12)</f>
        <v>-</v>
      </c>
      <c r="I12" s="36"/>
      <c r="J12" s="162"/>
    </row>
    <row r="13" spans="2:10" x14ac:dyDescent="0.3">
      <c r="B13" s="751" t="s">
        <v>16</v>
      </c>
      <c r="C13" s="15" t="s">
        <v>17</v>
      </c>
      <c r="D13" s="15">
        <v>100</v>
      </c>
      <c r="E13" s="15">
        <v>10263</v>
      </c>
      <c r="F13" s="8">
        <v>0.13600000000000001</v>
      </c>
      <c r="G13" s="8">
        <f t="shared" si="0"/>
        <v>0.13794354838709677</v>
      </c>
      <c r="H13" s="34">
        <f t="shared" si="1"/>
        <v>1.9435483870967607E-3</v>
      </c>
      <c r="I13" s="37"/>
      <c r="J13" s="162"/>
    </row>
    <row r="14" spans="2:10" x14ac:dyDescent="0.3">
      <c r="B14" s="752"/>
      <c r="C14" s="15" t="s">
        <v>18</v>
      </c>
      <c r="D14" s="15">
        <v>100</v>
      </c>
      <c r="E14" s="15">
        <v>10670</v>
      </c>
      <c r="F14" s="8">
        <v>0.13600000000000001</v>
      </c>
      <c r="G14" s="8">
        <f t="shared" si="0"/>
        <v>0.14341397849462365</v>
      </c>
      <c r="H14" s="34">
        <f t="shared" si="1"/>
        <v>7.4139784946236353E-3</v>
      </c>
      <c r="I14" s="37"/>
      <c r="J14" s="162"/>
    </row>
    <row r="15" spans="2:10" x14ac:dyDescent="0.3">
      <c r="B15" s="752"/>
      <c r="C15" s="15" t="s">
        <v>19</v>
      </c>
      <c r="D15" s="15">
        <v>29</v>
      </c>
      <c r="E15" s="15">
        <v>2989</v>
      </c>
      <c r="F15" s="8">
        <v>0.17810000000000001</v>
      </c>
      <c r="G15" s="8">
        <f t="shared" si="0"/>
        <v>0.13853355580274379</v>
      </c>
      <c r="H15" s="34">
        <f t="shared" si="1"/>
        <v>-3.9566444197256218E-2</v>
      </c>
      <c r="I15" s="35"/>
      <c r="J15" s="162"/>
    </row>
    <row r="16" spans="2:10" x14ac:dyDescent="0.3">
      <c r="B16" s="753"/>
      <c r="C16" s="15" t="s">
        <v>20</v>
      </c>
      <c r="D16" s="15">
        <v>100</v>
      </c>
      <c r="E16" s="15">
        <v>10900</v>
      </c>
      <c r="F16" s="8">
        <v>0.13600000000000001</v>
      </c>
      <c r="G16" s="8">
        <f t="shared" si="0"/>
        <v>0.14650537634408603</v>
      </c>
      <c r="H16" s="34">
        <f t="shared" si="1"/>
        <v>1.050537634408602E-2</v>
      </c>
      <c r="I16" s="37"/>
      <c r="J16" s="162"/>
    </row>
    <row r="17" spans="2:11" x14ac:dyDescent="0.3">
      <c r="B17" s="754" t="s">
        <v>21</v>
      </c>
      <c r="C17" s="15" t="s">
        <v>22</v>
      </c>
      <c r="D17" s="15">
        <v>100</v>
      </c>
      <c r="E17" s="15">
        <v>5050</v>
      </c>
      <c r="F17" s="8">
        <v>0.13600000000000001</v>
      </c>
      <c r="G17" s="8">
        <f t="shared" si="0"/>
        <v>6.7876344086021501E-2</v>
      </c>
      <c r="H17" s="34">
        <f t="shared" si="1"/>
        <v>-6.8123655913978509E-2</v>
      </c>
      <c r="I17" s="35"/>
      <c r="J17" s="162"/>
    </row>
    <row r="18" spans="2:11" x14ac:dyDescent="0.3">
      <c r="B18" s="755"/>
      <c r="C18" s="15" t="s">
        <v>23</v>
      </c>
      <c r="D18" s="15">
        <v>100</v>
      </c>
      <c r="E18" s="15">
        <v>4830</v>
      </c>
      <c r="F18" s="8">
        <v>0.13600000000000001</v>
      </c>
      <c r="G18" s="8">
        <f t="shared" si="0"/>
        <v>6.4919354838709684E-2</v>
      </c>
      <c r="H18" s="34">
        <f t="shared" si="1"/>
        <v>-7.1080645161290326E-2</v>
      </c>
      <c r="I18" s="35"/>
      <c r="J18" s="162"/>
    </row>
    <row r="19" spans="2:11" x14ac:dyDescent="0.3">
      <c r="B19" s="755"/>
      <c r="C19" s="15" t="s">
        <v>24</v>
      </c>
      <c r="D19" s="15">
        <v>80</v>
      </c>
      <c r="E19" s="15">
        <v>8470</v>
      </c>
      <c r="F19" s="8">
        <v>0.17399999999999999</v>
      </c>
      <c r="G19" s="8">
        <f t="shared" si="0"/>
        <v>0.14230510752688172</v>
      </c>
      <c r="H19" s="34">
        <f t="shared" si="1"/>
        <v>-3.1694892473118269E-2</v>
      </c>
      <c r="I19" s="35"/>
      <c r="J19" s="162"/>
    </row>
    <row r="20" spans="2:11" x14ac:dyDescent="0.3">
      <c r="B20" s="755"/>
      <c r="C20" s="15" t="s">
        <v>25</v>
      </c>
      <c r="D20" s="15">
        <v>100</v>
      </c>
      <c r="E20" s="15">
        <v>11070</v>
      </c>
      <c r="F20" s="8">
        <v>0.13600000000000001</v>
      </c>
      <c r="G20" s="8">
        <f t="shared" si="0"/>
        <v>0.14879032258064517</v>
      </c>
      <c r="H20" s="34">
        <f t="shared" si="1"/>
        <v>1.2790322580645164E-2</v>
      </c>
      <c r="I20" s="37"/>
      <c r="J20" s="162"/>
      <c r="K20" s="10"/>
    </row>
    <row r="21" spans="2:11" x14ac:dyDescent="0.3">
      <c r="B21" s="755"/>
      <c r="C21" s="15" t="s">
        <v>26</v>
      </c>
      <c r="D21" s="15">
        <v>100</v>
      </c>
      <c r="E21" s="15">
        <v>8620</v>
      </c>
      <c r="F21" s="8">
        <v>0.13600000000000001</v>
      </c>
      <c r="G21" s="8">
        <f t="shared" si="0"/>
        <v>0.11586021505376344</v>
      </c>
      <c r="H21" s="34">
        <f t="shared" si="1"/>
        <v>-2.0139784946236569E-2</v>
      </c>
      <c r="I21" s="35"/>
      <c r="J21" s="162"/>
    </row>
    <row r="22" spans="2:11" x14ac:dyDescent="0.3">
      <c r="B22" s="755"/>
      <c r="C22" s="15" t="s">
        <v>27</v>
      </c>
      <c r="D22" s="15">
        <v>100</v>
      </c>
      <c r="E22" s="15">
        <v>5891</v>
      </c>
      <c r="F22" s="8">
        <v>0.13600000000000001</v>
      </c>
      <c r="G22" s="8">
        <f t="shared" si="0"/>
        <v>7.9180107526881718E-2</v>
      </c>
      <c r="H22" s="34">
        <f t="shared" si="1"/>
        <v>-5.6819892473118291E-2</v>
      </c>
      <c r="I22" s="35"/>
      <c r="J22" s="162"/>
    </row>
    <row r="23" spans="2:11" x14ac:dyDescent="0.3">
      <c r="B23" s="755"/>
      <c r="C23" s="15" t="s">
        <v>28</v>
      </c>
      <c r="D23" s="15">
        <v>100</v>
      </c>
      <c r="E23" s="15">
        <v>8886.2000000000007</v>
      </c>
      <c r="F23" s="8">
        <v>0.13600000000000001</v>
      </c>
      <c r="G23" s="8">
        <f t="shared" si="0"/>
        <v>0.11943817204301076</v>
      </c>
      <c r="H23" s="34">
        <f t="shared" si="1"/>
        <v>-1.6561827956989253E-2</v>
      </c>
      <c r="I23" s="35"/>
      <c r="J23" s="162"/>
    </row>
    <row r="24" spans="2:11" x14ac:dyDescent="0.3">
      <c r="B24" s="755"/>
      <c r="C24" s="15" t="s">
        <v>29</v>
      </c>
      <c r="D24" s="15">
        <v>100</v>
      </c>
      <c r="E24" s="15">
        <v>11228</v>
      </c>
      <c r="F24" s="8">
        <v>0.13600000000000001</v>
      </c>
      <c r="G24" s="8">
        <f t="shared" si="0"/>
        <v>0.15091397849462365</v>
      </c>
      <c r="H24" s="34">
        <f t="shared" si="1"/>
        <v>1.4913978494623642E-2</v>
      </c>
      <c r="I24" s="37"/>
      <c r="J24" s="162"/>
    </row>
    <row r="25" spans="2:11" x14ac:dyDescent="0.3">
      <c r="B25" s="755"/>
      <c r="C25" s="15" t="s">
        <v>30</v>
      </c>
      <c r="D25" s="15">
        <v>360</v>
      </c>
      <c r="E25" s="15" t="s">
        <v>31</v>
      </c>
      <c r="F25" s="8" t="s">
        <v>31</v>
      </c>
      <c r="G25" s="8">
        <f t="shared" si="0"/>
        <v>0</v>
      </c>
      <c r="H25" s="34" t="s">
        <v>31</v>
      </c>
      <c r="I25" s="38"/>
      <c r="J25" s="162"/>
    </row>
    <row r="26" spans="2:11" x14ac:dyDescent="0.3">
      <c r="B26" s="755"/>
      <c r="C26" s="15" t="s">
        <v>32</v>
      </c>
      <c r="D26" s="15">
        <v>100</v>
      </c>
      <c r="E26" s="15" t="s">
        <v>31</v>
      </c>
      <c r="F26" s="8" t="s">
        <v>31</v>
      </c>
      <c r="G26" s="8">
        <f t="shared" si="0"/>
        <v>0</v>
      </c>
      <c r="H26" s="34" t="s">
        <v>31</v>
      </c>
      <c r="I26" s="38"/>
      <c r="J26" s="162"/>
    </row>
    <row r="27" spans="2:11" x14ac:dyDescent="0.3">
      <c r="B27" s="2"/>
      <c r="D27" s="2"/>
      <c r="E27" s="2"/>
      <c r="F27" s="2"/>
      <c r="G27" s="2"/>
      <c r="H27" s="2"/>
    </row>
    <row r="28" spans="2:11" x14ac:dyDescent="0.3">
      <c r="B28" s="2"/>
      <c r="C28" s="7"/>
      <c r="D28" s="3" t="s">
        <v>33</v>
      </c>
      <c r="E28" s="3"/>
      <c r="F28" s="9"/>
      <c r="G28" s="9"/>
      <c r="H28" s="2"/>
    </row>
    <row r="29" spans="2:11" x14ac:dyDescent="0.3">
      <c r="C29" s="12"/>
      <c r="D29" s="5" t="s">
        <v>34</v>
      </c>
      <c r="E29" s="5"/>
      <c r="F29" s="11"/>
      <c r="G29" s="11"/>
    </row>
    <row r="30" spans="2:11" x14ac:dyDescent="0.3">
      <c r="C30" s="13"/>
      <c r="D30" s="5" t="s">
        <v>35</v>
      </c>
      <c r="E30" s="5"/>
      <c r="F30" s="2"/>
      <c r="G30" s="2"/>
    </row>
    <row r="31" spans="2:11" x14ac:dyDescent="0.3">
      <c r="C31" s="14"/>
      <c r="D31" t="s">
        <v>36</v>
      </c>
    </row>
    <row r="33" spans="6:7" x14ac:dyDescent="0.3">
      <c r="F33" s="4"/>
      <c r="G33" s="4"/>
    </row>
    <row r="34" spans="6:7" x14ac:dyDescent="0.3">
      <c r="F34" s="4"/>
      <c r="G34" s="4"/>
    </row>
  </sheetData>
  <mergeCells count="3">
    <mergeCell ref="B5:B12"/>
    <mergeCell ref="B13:B16"/>
    <mergeCell ref="B17:B2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D438C-1EF4-41C3-9567-105BA20E817A}">
  <dimension ref="B3:BY70"/>
  <sheetViews>
    <sheetView topLeftCell="A19" zoomScale="90" zoomScaleNormal="90" workbookViewId="0">
      <pane xSplit="3" topLeftCell="J1" activePane="topRight" state="frozen"/>
      <selection pane="topRight" activeCell="AI10" sqref="AI10"/>
    </sheetView>
  </sheetViews>
  <sheetFormatPr defaultRowHeight="14.4" x14ac:dyDescent="0.3"/>
  <cols>
    <col min="2" max="2" width="20" customWidth="1"/>
    <col min="3" max="3" width="18.6640625" customWidth="1"/>
    <col min="4" max="34" width="15.5546875" customWidth="1"/>
    <col min="35" max="35" width="15.33203125" customWidth="1"/>
    <col min="36" max="36" width="15.6640625" customWidth="1"/>
    <col min="37" max="37" width="15.88671875" hidden="1" customWidth="1"/>
    <col min="38" max="68" width="11.88671875" customWidth="1"/>
    <col min="69" max="69" width="17.6640625" customWidth="1"/>
    <col min="70" max="70" width="14.33203125" customWidth="1"/>
    <col min="71" max="72" width="0" hidden="1" customWidth="1"/>
    <col min="73" max="73" width="19" customWidth="1"/>
    <col min="74" max="74" width="18.88671875" customWidth="1"/>
    <col min="75" max="75" width="13.5546875" customWidth="1"/>
  </cols>
  <sheetData>
    <row r="3" spans="2:77" ht="15" thickBot="1" x14ac:dyDescent="0.35"/>
    <row r="4" spans="2:77" ht="44.25" customHeight="1" x14ac:dyDescent="0.3">
      <c r="B4" s="758" t="s">
        <v>37</v>
      </c>
      <c r="C4" s="758"/>
      <c r="D4" s="51" t="s">
        <v>38</v>
      </c>
      <c r="E4" s="52" t="s">
        <v>39</v>
      </c>
      <c r="F4" s="52" t="s">
        <v>40</v>
      </c>
      <c r="G4" s="52" t="s">
        <v>41</v>
      </c>
      <c r="H4" s="52" t="s">
        <v>42</v>
      </c>
      <c r="I4" s="52" t="s">
        <v>43</v>
      </c>
      <c r="J4" s="52" t="s">
        <v>44</v>
      </c>
      <c r="K4" s="52" t="s">
        <v>45</v>
      </c>
      <c r="L4" s="52" t="s">
        <v>46</v>
      </c>
      <c r="M4" s="52" t="s">
        <v>47</v>
      </c>
      <c r="N4" s="52" t="s">
        <v>48</v>
      </c>
      <c r="O4" s="52" t="s">
        <v>49</v>
      </c>
      <c r="P4" s="52" t="s">
        <v>50</v>
      </c>
      <c r="Q4" s="52" t="s">
        <v>51</v>
      </c>
      <c r="R4" s="52" t="s">
        <v>52</v>
      </c>
      <c r="S4" s="52" t="s">
        <v>53</v>
      </c>
      <c r="T4" s="52" t="s">
        <v>54</v>
      </c>
      <c r="U4" s="52" t="s">
        <v>55</v>
      </c>
      <c r="V4" s="52" t="s">
        <v>56</v>
      </c>
      <c r="W4" s="52" t="s">
        <v>57</v>
      </c>
      <c r="X4" s="52" t="s">
        <v>58</v>
      </c>
      <c r="Y4" s="52" t="s">
        <v>59</v>
      </c>
      <c r="Z4" s="52" t="s">
        <v>60</v>
      </c>
      <c r="AA4" s="52" t="s">
        <v>61</v>
      </c>
      <c r="AB4" s="52" t="s">
        <v>62</v>
      </c>
      <c r="AC4" s="52" t="s">
        <v>63</v>
      </c>
      <c r="AD4" s="52" t="s">
        <v>64</v>
      </c>
      <c r="AE4" s="52" t="s">
        <v>65</v>
      </c>
      <c r="AF4" s="52" t="s">
        <v>66</v>
      </c>
      <c r="AG4" s="52" t="s">
        <v>67</v>
      </c>
      <c r="AH4" s="53" t="s">
        <v>68</v>
      </c>
      <c r="AI4" s="54" t="s">
        <v>69</v>
      </c>
      <c r="AJ4" s="16" t="s">
        <v>2</v>
      </c>
      <c r="AK4" s="55" t="s">
        <v>70</v>
      </c>
      <c r="AL4" s="56" t="s">
        <v>71</v>
      </c>
      <c r="AM4" s="57" t="s">
        <v>72</v>
      </c>
      <c r="AN4" s="57" t="s">
        <v>73</v>
      </c>
      <c r="AO4" s="57" t="s">
        <v>74</v>
      </c>
      <c r="AP4" s="57" t="s">
        <v>75</v>
      </c>
      <c r="AQ4" s="57" t="s">
        <v>76</v>
      </c>
      <c r="AR4" s="57" t="s">
        <v>77</v>
      </c>
      <c r="AS4" s="57" t="s">
        <v>78</v>
      </c>
      <c r="AT4" s="57" t="s">
        <v>79</v>
      </c>
      <c r="AU4" s="57" t="s">
        <v>80</v>
      </c>
      <c r="AV4" s="57" t="s">
        <v>81</v>
      </c>
      <c r="AW4" s="57" t="s">
        <v>82</v>
      </c>
      <c r="AX4" s="57" t="s">
        <v>83</v>
      </c>
      <c r="AY4" s="57" t="s">
        <v>84</v>
      </c>
      <c r="AZ4" s="57" t="s">
        <v>85</v>
      </c>
      <c r="BA4" s="57" t="s">
        <v>86</v>
      </c>
      <c r="BB4" s="57" t="s">
        <v>87</v>
      </c>
      <c r="BC4" s="57" t="s">
        <v>88</v>
      </c>
      <c r="BD4" s="57" t="s">
        <v>89</v>
      </c>
      <c r="BE4" s="57" t="s">
        <v>90</v>
      </c>
      <c r="BF4" s="57" t="s">
        <v>91</v>
      </c>
      <c r="BG4" s="57" t="s">
        <v>92</v>
      </c>
      <c r="BH4" s="57" t="s">
        <v>93</v>
      </c>
      <c r="BI4" s="57" t="s">
        <v>94</v>
      </c>
      <c r="BJ4" s="57" t="s">
        <v>95</v>
      </c>
      <c r="BK4" s="57" t="s">
        <v>96</v>
      </c>
      <c r="BL4" s="57" t="s">
        <v>97</v>
      </c>
      <c r="BM4" s="57" t="s">
        <v>98</v>
      </c>
      <c r="BN4" s="57" t="s">
        <v>99</v>
      </c>
      <c r="BO4" s="57" t="s">
        <v>100</v>
      </c>
      <c r="BP4" s="58" t="s">
        <v>101</v>
      </c>
      <c r="BQ4" s="59" t="s">
        <v>102</v>
      </c>
      <c r="BR4" s="54" t="s">
        <v>103</v>
      </c>
      <c r="BS4" s="60" t="s">
        <v>104</v>
      </c>
      <c r="BT4" s="33" t="s">
        <v>105</v>
      </c>
      <c r="BU4" s="33" t="s">
        <v>106</v>
      </c>
      <c r="BW4" s="3"/>
      <c r="BX4" s="2"/>
      <c r="BY4" s="2"/>
    </row>
    <row r="5" spans="2:77" x14ac:dyDescent="0.3">
      <c r="B5" s="759" t="s">
        <v>6</v>
      </c>
      <c r="C5" s="61" t="s">
        <v>7</v>
      </c>
      <c r="D5" s="62">
        <v>41.2</v>
      </c>
      <c r="E5" s="63">
        <v>55.8</v>
      </c>
      <c r="F5" s="63">
        <v>56.8</v>
      </c>
      <c r="G5" s="63">
        <v>56.3</v>
      </c>
      <c r="H5" s="63">
        <v>54.9</v>
      </c>
      <c r="I5" s="63">
        <v>55.4</v>
      </c>
      <c r="J5" s="63">
        <v>56.4</v>
      </c>
      <c r="K5" s="63">
        <v>50.1</v>
      </c>
      <c r="L5" s="63">
        <v>18.8</v>
      </c>
      <c r="M5" s="63">
        <v>30.2</v>
      </c>
      <c r="N5" s="63">
        <v>57.3</v>
      </c>
      <c r="O5" s="63">
        <v>52.1</v>
      </c>
      <c r="P5" s="63">
        <v>33.4</v>
      </c>
      <c r="Q5" s="63">
        <v>19.399999999999999</v>
      </c>
      <c r="R5" s="63">
        <v>33</v>
      </c>
      <c r="S5" s="63">
        <v>26.1</v>
      </c>
      <c r="T5" s="63">
        <v>31</v>
      </c>
      <c r="U5" s="15">
        <v>58.7</v>
      </c>
      <c r="V5" s="15">
        <v>49</v>
      </c>
      <c r="W5" s="15">
        <v>24.9</v>
      </c>
      <c r="X5" s="15">
        <v>47.1</v>
      </c>
      <c r="Y5" s="15">
        <v>60.3</v>
      </c>
      <c r="Z5" s="15">
        <v>59.5</v>
      </c>
      <c r="AA5" s="15">
        <v>51</v>
      </c>
      <c r="AB5" s="15">
        <v>48.5</v>
      </c>
      <c r="AC5" s="15">
        <v>20.2</v>
      </c>
      <c r="AD5" s="15">
        <v>5.9</v>
      </c>
      <c r="AE5" s="15">
        <v>6.1</v>
      </c>
      <c r="AF5" s="15">
        <v>15.6</v>
      </c>
      <c r="AG5" s="15">
        <v>36.1</v>
      </c>
      <c r="AH5" s="64">
        <v>55.3</v>
      </c>
      <c r="AI5" s="65">
        <f t="shared" ref="AI5:AI28" si="0">SUM(D5:AH5)</f>
        <v>1266.3999999999996</v>
      </c>
      <c r="AJ5" s="15">
        <v>12</v>
      </c>
      <c r="AK5" s="66">
        <f t="shared" ref="AK5:AK11" si="1">F5/(AJ5*432)</f>
        <v>1.0956790123456789E-2</v>
      </c>
      <c r="AL5" s="67">
        <f t="shared" ref="AL5:BA20" si="2">IF(OR(D5="",D5="Sem monitoramento"),"VAZIO",IFERROR(D5/($AJ5*24),"-"))</f>
        <v>0.14305555555555557</v>
      </c>
      <c r="AM5" s="68">
        <f t="shared" si="2"/>
        <v>0.19374999999999998</v>
      </c>
      <c r="AN5" s="68">
        <f t="shared" si="2"/>
        <v>0.19722222222222222</v>
      </c>
      <c r="AO5" s="68">
        <f t="shared" si="2"/>
        <v>0.19548611111111111</v>
      </c>
      <c r="AP5" s="68">
        <f t="shared" si="2"/>
        <v>0.19062499999999999</v>
      </c>
      <c r="AQ5" s="68">
        <f t="shared" si="2"/>
        <v>0.19236111111111109</v>
      </c>
      <c r="AR5" s="68">
        <f t="shared" si="2"/>
        <v>0.19583333333333333</v>
      </c>
      <c r="AS5" s="68">
        <f t="shared" si="2"/>
        <v>0.17395833333333333</v>
      </c>
      <c r="AT5" s="68">
        <f t="shared" si="2"/>
        <v>6.5277777777777782E-2</v>
      </c>
      <c r="AU5" s="68">
        <f t="shared" si="2"/>
        <v>0.10486111111111111</v>
      </c>
      <c r="AV5" s="68">
        <f t="shared" si="2"/>
        <v>0.19895833333333332</v>
      </c>
      <c r="AW5" s="68">
        <f t="shared" si="2"/>
        <v>0.18090277777777777</v>
      </c>
      <c r="AX5" s="68">
        <f t="shared" si="2"/>
        <v>0.11597222222222221</v>
      </c>
      <c r="AY5" s="68">
        <f t="shared" si="2"/>
        <v>6.7361111111111108E-2</v>
      </c>
      <c r="AZ5" s="68">
        <f t="shared" si="2"/>
        <v>0.11458333333333333</v>
      </c>
      <c r="BA5" s="68">
        <f t="shared" si="2"/>
        <v>9.0625000000000011E-2</v>
      </c>
      <c r="BB5" s="68">
        <f t="shared" ref="BB5:BP21" si="3">IF(OR(T5="",T5="Sem monitoramento"),"VAZIO",IFERROR(T5/($AJ5*24),"-"))</f>
        <v>0.1076388888888889</v>
      </c>
      <c r="BC5" s="68">
        <f t="shared" si="3"/>
        <v>0.20381944444444444</v>
      </c>
      <c r="BD5" s="68">
        <f t="shared" si="3"/>
        <v>0.1701388888888889</v>
      </c>
      <c r="BE5" s="68">
        <f t="shared" si="3"/>
        <v>8.6458333333333331E-2</v>
      </c>
      <c r="BF5" s="68">
        <f t="shared" si="3"/>
        <v>0.16354166666666667</v>
      </c>
      <c r="BG5" s="68">
        <f t="shared" si="3"/>
        <v>0.20937499999999998</v>
      </c>
      <c r="BH5" s="68">
        <f t="shared" si="3"/>
        <v>0.20659722222222221</v>
      </c>
      <c r="BI5" s="68">
        <f t="shared" si="3"/>
        <v>0.17708333333333334</v>
      </c>
      <c r="BJ5" s="68">
        <f t="shared" si="3"/>
        <v>0.16840277777777779</v>
      </c>
      <c r="BK5" s="68">
        <f t="shared" si="3"/>
        <v>7.013888888888889E-2</v>
      </c>
      <c r="BL5" s="68">
        <f t="shared" si="3"/>
        <v>2.0486111111111111E-2</v>
      </c>
      <c r="BM5" s="68">
        <f t="shared" si="3"/>
        <v>2.1180555555555553E-2</v>
      </c>
      <c r="BN5" s="68">
        <f t="shared" si="3"/>
        <v>5.4166666666666669E-2</v>
      </c>
      <c r="BO5" s="68">
        <f t="shared" si="3"/>
        <v>0.12534722222222222</v>
      </c>
      <c r="BP5" s="69">
        <f t="shared" si="3"/>
        <v>0.19201388888888887</v>
      </c>
      <c r="BQ5" s="70">
        <f t="shared" ref="BQ5:BQ28" si="4">AI5/(AJ5*(COUNTA(D5:AH5)*24))</f>
        <v>0.14184587813620067</v>
      </c>
      <c r="BR5" s="71">
        <v>0.152</v>
      </c>
      <c r="BS5" s="72">
        <f t="shared" ref="BS5:BS11" si="5">AJ5*BR5</f>
        <v>1.8239999999999998</v>
      </c>
      <c r="BT5" s="73">
        <f t="shared" ref="BT5:BT11" si="6">AN5-BR5</f>
        <v>4.5222222222222219E-2</v>
      </c>
      <c r="BU5" s="74">
        <f>BQ5-BR5</f>
        <v>-1.0154121863799326E-2</v>
      </c>
      <c r="BV5" s="15" t="s">
        <v>7</v>
      </c>
      <c r="BW5" s="75" t="s">
        <v>107</v>
      </c>
      <c r="BX5" s="7">
        <f>COUNTIF(BU5:BU28,"&gt;0")</f>
        <v>0</v>
      </c>
      <c r="BY5" s="2"/>
    </row>
    <row r="6" spans="2:77" x14ac:dyDescent="0.3">
      <c r="B6" s="760"/>
      <c r="C6" s="61" t="s">
        <v>8</v>
      </c>
      <c r="D6" s="62">
        <v>246.3</v>
      </c>
      <c r="E6" s="63">
        <v>305.7</v>
      </c>
      <c r="F6" s="63">
        <v>365.2</v>
      </c>
      <c r="G6" s="63">
        <v>356.5</v>
      </c>
      <c r="H6" s="63">
        <v>356.1</v>
      </c>
      <c r="I6" s="63">
        <v>320.10000000000002</v>
      </c>
      <c r="J6" s="63">
        <v>363.8</v>
      </c>
      <c r="K6" s="63">
        <v>285.5</v>
      </c>
      <c r="L6" s="63">
        <v>105.1</v>
      </c>
      <c r="M6" s="63">
        <f>128.6+32.5</f>
        <v>161.1</v>
      </c>
      <c r="N6" s="63">
        <v>361.2</v>
      </c>
      <c r="O6" s="63">
        <v>338.4</v>
      </c>
      <c r="P6" s="63">
        <v>223.2</v>
      </c>
      <c r="Q6" s="63">
        <v>104.1</v>
      </c>
      <c r="R6" s="63">
        <f>136.2+32.8</f>
        <v>169</v>
      </c>
      <c r="S6" s="63">
        <f>28.2+117.2</f>
        <v>145.4</v>
      </c>
      <c r="T6" s="63">
        <f>31.4+132.1</f>
        <v>163.5</v>
      </c>
      <c r="U6" s="15">
        <f>72.5+294.1</f>
        <v>366.6</v>
      </c>
      <c r="V6" s="15">
        <f>63.4+256.4</f>
        <v>319.79999999999995</v>
      </c>
      <c r="W6" s="15">
        <f>33.9+136.8</f>
        <v>170.70000000000002</v>
      </c>
      <c r="X6" s="15">
        <f>58.5+228.5</f>
        <v>287</v>
      </c>
      <c r="Y6" s="15">
        <f>73.6+303.3</f>
        <v>376.9</v>
      </c>
      <c r="Z6" s="15">
        <f>72.7+299.4</f>
        <v>372.09999999999997</v>
      </c>
      <c r="AA6" s="15">
        <f>61+240.3</f>
        <v>301.3</v>
      </c>
      <c r="AB6" s="15">
        <v>280.89999999999998</v>
      </c>
      <c r="AC6" s="15">
        <v>108</v>
      </c>
      <c r="AD6" s="15">
        <v>32.200000000000003</v>
      </c>
      <c r="AE6" s="15">
        <v>38.5</v>
      </c>
      <c r="AF6" s="15">
        <v>89.4</v>
      </c>
      <c r="AG6" s="15">
        <v>196.8</v>
      </c>
      <c r="AH6" s="64">
        <f>275.1+67.2</f>
        <v>342.3</v>
      </c>
      <c r="AI6" s="65">
        <f t="shared" si="0"/>
        <v>7652.7</v>
      </c>
      <c r="AJ6" s="15">
        <v>67</v>
      </c>
      <c r="AK6" s="66">
        <f t="shared" si="1"/>
        <v>1.2617468214483139E-2</v>
      </c>
      <c r="AL6" s="67">
        <f t="shared" si="2"/>
        <v>0.15317164179104478</v>
      </c>
      <c r="AM6" s="68">
        <f t="shared" si="2"/>
        <v>0.19011194029850745</v>
      </c>
      <c r="AN6" s="68">
        <f t="shared" si="2"/>
        <v>0.22711442786069652</v>
      </c>
      <c r="AO6" s="68">
        <f t="shared" si="2"/>
        <v>0.22170398009950248</v>
      </c>
      <c r="AP6" s="68">
        <f t="shared" si="2"/>
        <v>0.22145522388059702</v>
      </c>
      <c r="AQ6" s="68">
        <f t="shared" si="2"/>
        <v>0.1990671641791045</v>
      </c>
      <c r="AR6" s="68">
        <f t="shared" si="2"/>
        <v>0.22624378109452736</v>
      </c>
      <c r="AS6" s="68">
        <f t="shared" si="2"/>
        <v>0.17754975124378108</v>
      </c>
      <c r="AT6" s="68">
        <f t="shared" si="2"/>
        <v>6.5360696517412928E-2</v>
      </c>
      <c r="AU6" s="68">
        <f t="shared" si="2"/>
        <v>0.10018656716417911</v>
      </c>
      <c r="AV6" s="68">
        <f t="shared" si="2"/>
        <v>0.22462686567164178</v>
      </c>
      <c r="AW6" s="68">
        <f t="shared" si="2"/>
        <v>0.21044776119402983</v>
      </c>
      <c r="AX6" s="68">
        <f t="shared" si="2"/>
        <v>0.13880597014925372</v>
      </c>
      <c r="AY6" s="68">
        <f t="shared" si="2"/>
        <v>6.4738805970149249E-2</v>
      </c>
      <c r="AZ6" s="68">
        <f t="shared" si="2"/>
        <v>0.10509950248756218</v>
      </c>
      <c r="BA6" s="68">
        <f t="shared" si="2"/>
        <v>9.0422885572139303E-2</v>
      </c>
      <c r="BB6" s="68">
        <f t="shared" si="3"/>
        <v>0.10167910447761194</v>
      </c>
      <c r="BC6" s="68">
        <f t="shared" si="3"/>
        <v>0.22798507462686568</v>
      </c>
      <c r="BD6" s="68">
        <f t="shared" si="3"/>
        <v>0.19888059701492533</v>
      </c>
      <c r="BE6" s="68">
        <f t="shared" si="3"/>
        <v>0.10615671641791045</v>
      </c>
      <c r="BF6" s="68">
        <f t="shared" si="3"/>
        <v>0.17848258706467662</v>
      </c>
      <c r="BG6" s="68">
        <f t="shared" si="3"/>
        <v>0.23439054726368158</v>
      </c>
      <c r="BH6" s="68">
        <f t="shared" si="3"/>
        <v>0.23140547263681591</v>
      </c>
      <c r="BI6" s="68">
        <f t="shared" si="3"/>
        <v>0.18737562189054727</v>
      </c>
      <c r="BJ6" s="68">
        <f t="shared" si="3"/>
        <v>0.17468905472636814</v>
      </c>
      <c r="BK6" s="68">
        <f t="shared" si="3"/>
        <v>6.7164179104477612E-2</v>
      </c>
      <c r="BL6" s="68">
        <f t="shared" si="3"/>
        <v>2.002487562189055E-2</v>
      </c>
      <c r="BM6" s="68">
        <f t="shared" si="3"/>
        <v>2.394278606965174E-2</v>
      </c>
      <c r="BN6" s="68">
        <f t="shared" si="3"/>
        <v>5.5597014925373139E-2</v>
      </c>
      <c r="BO6" s="68">
        <f t="shared" si="3"/>
        <v>0.12238805970149254</v>
      </c>
      <c r="BP6" s="69">
        <f t="shared" si="3"/>
        <v>0.21287313432835822</v>
      </c>
      <c r="BQ6" s="70">
        <f t="shared" si="4"/>
        <v>0.15352070293692827</v>
      </c>
      <c r="BR6" s="76">
        <v>0.17599999999999999</v>
      </c>
      <c r="BS6" s="72">
        <f t="shared" si="5"/>
        <v>11.792</v>
      </c>
      <c r="BT6" s="73">
        <f t="shared" si="6"/>
        <v>5.1114427860696532E-2</v>
      </c>
      <c r="BU6" s="74">
        <f t="shared" ref="BU6:BU28" si="7">BQ6-BR6</f>
        <v>-2.2479297063071724E-2</v>
      </c>
      <c r="BV6" s="15" t="s">
        <v>8</v>
      </c>
      <c r="BW6" s="77" t="s">
        <v>108</v>
      </c>
      <c r="BX6" s="78">
        <f>(COUNTA(BV5:BV28)-BX5-BX7)</f>
        <v>0</v>
      </c>
      <c r="BY6" s="2"/>
    </row>
    <row r="7" spans="2:77" x14ac:dyDescent="0.3">
      <c r="B7" s="760"/>
      <c r="C7" s="61" t="s">
        <v>9</v>
      </c>
      <c r="D7" s="62">
        <v>161.30000000000001</v>
      </c>
      <c r="E7" s="63">
        <v>230.3</v>
      </c>
      <c r="F7" s="63">
        <v>243.6</v>
      </c>
      <c r="G7" s="63">
        <v>240.3</v>
      </c>
      <c r="H7" s="63">
        <v>239.2</v>
      </c>
      <c r="I7" s="63">
        <v>231.9</v>
      </c>
      <c r="J7" s="63">
        <v>244.3</v>
      </c>
      <c r="K7" s="63">
        <v>213.9</v>
      </c>
      <c r="L7" s="63">
        <v>77.2</v>
      </c>
      <c r="M7" s="63">
        <v>121</v>
      </c>
      <c r="N7" s="63">
        <v>244.7</v>
      </c>
      <c r="O7" s="63">
        <v>224.5</v>
      </c>
      <c r="P7" s="63">
        <v>145.30000000000001</v>
      </c>
      <c r="Q7" s="63">
        <v>76.5</v>
      </c>
      <c r="R7" s="63">
        <v>135.69999999999999</v>
      </c>
      <c r="S7" s="63">
        <v>111.2</v>
      </c>
      <c r="T7" s="63">
        <v>132.9</v>
      </c>
      <c r="U7" s="15">
        <v>248.2</v>
      </c>
      <c r="V7" s="15">
        <v>205.5</v>
      </c>
      <c r="W7" s="15">
        <v>104.3</v>
      </c>
      <c r="X7" s="15">
        <v>189</v>
      </c>
      <c r="Y7" s="15">
        <v>253.4</v>
      </c>
      <c r="Z7" s="15">
        <v>251.5</v>
      </c>
      <c r="AA7" s="15">
        <v>211.7</v>
      </c>
      <c r="AB7" s="15">
        <v>195.2</v>
      </c>
      <c r="AC7" s="15">
        <v>77.3</v>
      </c>
      <c r="AD7" s="15">
        <v>21</v>
      </c>
      <c r="AE7" s="15">
        <v>23.4</v>
      </c>
      <c r="AF7" s="15">
        <v>62.7</v>
      </c>
      <c r="AG7" s="15">
        <v>149.69999999999999</v>
      </c>
      <c r="AH7" s="64">
        <v>225.4</v>
      </c>
      <c r="AI7" s="65">
        <f t="shared" si="0"/>
        <v>5292.0999999999995</v>
      </c>
      <c r="AJ7" s="15">
        <v>49</v>
      </c>
      <c r="AK7" s="66">
        <f t="shared" si="1"/>
        <v>1.1507936507936507E-2</v>
      </c>
      <c r="AL7" s="67">
        <f t="shared" si="2"/>
        <v>0.13715986394557825</v>
      </c>
      <c r="AM7" s="68">
        <f t="shared" si="2"/>
        <v>0.19583333333333333</v>
      </c>
      <c r="AN7" s="68">
        <f t="shared" si="2"/>
        <v>0.20714285714285713</v>
      </c>
      <c r="AO7" s="68">
        <f t="shared" si="2"/>
        <v>0.20433673469387756</v>
      </c>
      <c r="AP7" s="68">
        <f t="shared" si="2"/>
        <v>0.20340136054421767</v>
      </c>
      <c r="AQ7" s="68">
        <f t="shared" si="2"/>
        <v>0.19719387755102041</v>
      </c>
      <c r="AR7" s="68">
        <f t="shared" si="2"/>
        <v>0.20773809523809525</v>
      </c>
      <c r="AS7" s="68">
        <f t="shared" si="2"/>
        <v>0.18188775510204083</v>
      </c>
      <c r="AT7" s="68">
        <f t="shared" si="2"/>
        <v>6.5646258503401361E-2</v>
      </c>
      <c r="AU7" s="68">
        <f t="shared" si="2"/>
        <v>0.10289115646258504</v>
      </c>
      <c r="AV7" s="68">
        <f t="shared" si="2"/>
        <v>0.20807823129251699</v>
      </c>
      <c r="AW7" s="68">
        <f t="shared" si="2"/>
        <v>0.19090136054421769</v>
      </c>
      <c r="AX7" s="68">
        <f t="shared" si="2"/>
        <v>0.1235544217687075</v>
      </c>
      <c r="AY7" s="68">
        <f t="shared" si="2"/>
        <v>6.5051020408163268E-2</v>
      </c>
      <c r="AZ7" s="68">
        <f t="shared" si="2"/>
        <v>0.11539115646258502</v>
      </c>
      <c r="BA7" s="68">
        <f t="shared" si="2"/>
        <v>9.4557823129251706E-2</v>
      </c>
      <c r="BB7" s="68">
        <f t="shared" si="3"/>
        <v>0.11301020408163266</v>
      </c>
      <c r="BC7" s="68">
        <f t="shared" si="3"/>
        <v>0.21105442176870748</v>
      </c>
      <c r="BD7" s="68">
        <f t="shared" si="3"/>
        <v>0.17474489795918369</v>
      </c>
      <c r="BE7" s="68">
        <f t="shared" si="3"/>
        <v>8.8690476190476195E-2</v>
      </c>
      <c r="BF7" s="68">
        <f t="shared" si="3"/>
        <v>0.16071428571428573</v>
      </c>
      <c r="BG7" s="68">
        <f t="shared" si="3"/>
        <v>0.21547619047619049</v>
      </c>
      <c r="BH7" s="68">
        <f t="shared" si="3"/>
        <v>0.21386054421768708</v>
      </c>
      <c r="BI7" s="68">
        <f t="shared" si="3"/>
        <v>0.18001700680272109</v>
      </c>
      <c r="BJ7" s="68">
        <f t="shared" si="3"/>
        <v>0.16598639455782313</v>
      </c>
      <c r="BK7" s="68">
        <f t="shared" si="3"/>
        <v>6.5731292517006795E-2</v>
      </c>
      <c r="BL7" s="68">
        <f t="shared" si="3"/>
        <v>1.7857142857142856E-2</v>
      </c>
      <c r="BM7" s="68">
        <f t="shared" si="3"/>
        <v>1.9897959183673469E-2</v>
      </c>
      <c r="BN7" s="68">
        <f t="shared" si="3"/>
        <v>5.3316326530612246E-2</v>
      </c>
      <c r="BO7" s="68">
        <f t="shared" si="3"/>
        <v>0.12729591836734694</v>
      </c>
      <c r="BP7" s="69">
        <f t="shared" si="3"/>
        <v>0.19166666666666668</v>
      </c>
      <c r="BQ7" s="70">
        <f t="shared" si="4"/>
        <v>0.14516403335527758</v>
      </c>
      <c r="BR7" s="76">
        <v>0.158</v>
      </c>
      <c r="BS7" s="72">
        <f t="shared" si="5"/>
        <v>7.742</v>
      </c>
      <c r="BT7" s="73">
        <f t="shared" si="6"/>
        <v>4.9142857142857127E-2</v>
      </c>
      <c r="BU7" s="74">
        <f t="shared" si="7"/>
        <v>-1.2835966644722419E-2</v>
      </c>
      <c r="BV7" s="15" t="s">
        <v>9</v>
      </c>
      <c r="BW7" s="79" t="s">
        <v>109</v>
      </c>
      <c r="BX7" s="80">
        <f>COUNTIF(BU5:BU28,"&lt;-0,01")</f>
        <v>24</v>
      </c>
      <c r="BY7" s="2"/>
    </row>
    <row r="8" spans="2:77" x14ac:dyDescent="0.3">
      <c r="B8" s="760"/>
      <c r="C8" s="61" t="s">
        <v>10</v>
      </c>
      <c r="D8" s="62">
        <v>108.4</v>
      </c>
      <c r="E8" s="63">
        <v>156</v>
      </c>
      <c r="F8" s="63">
        <v>165.6</v>
      </c>
      <c r="G8" s="63">
        <v>163.19999999999999</v>
      </c>
      <c r="H8" s="63">
        <v>163.4</v>
      </c>
      <c r="I8" s="63">
        <v>156.9</v>
      </c>
      <c r="J8" s="63">
        <v>166.3</v>
      </c>
      <c r="K8" s="63">
        <v>144.30000000000001</v>
      </c>
      <c r="L8" s="63">
        <v>53.6</v>
      </c>
      <c r="M8" s="63">
        <v>82.4</v>
      </c>
      <c r="N8" s="63">
        <v>166.4</v>
      </c>
      <c r="O8" s="63">
        <v>153.30000000000001</v>
      </c>
      <c r="P8" s="63">
        <v>98.9</v>
      </c>
      <c r="Q8" s="63">
        <v>53.3</v>
      </c>
      <c r="R8" s="63">
        <v>87.2</v>
      </c>
      <c r="S8" s="63">
        <v>77</v>
      </c>
      <c r="T8" s="63">
        <v>91</v>
      </c>
      <c r="U8" s="15">
        <v>165.8</v>
      </c>
      <c r="V8" s="15">
        <v>78.8</v>
      </c>
      <c r="W8" s="15">
        <v>71.400000000000006</v>
      </c>
      <c r="X8" s="15">
        <v>127.3</v>
      </c>
      <c r="Y8" s="15">
        <v>170.7</v>
      </c>
      <c r="Z8" s="15">
        <v>170.5</v>
      </c>
      <c r="AA8" s="15">
        <v>140.30000000000001</v>
      </c>
      <c r="AB8" s="15">
        <v>133.19999999999999</v>
      </c>
      <c r="AC8" s="15">
        <v>53.6</v>
      </c>
      <c r="AD8" s="15">
        <v>15.7</v>
      </c>
      <c r="AE8" s="15">
        <v>17.8</v>
      </c>
      <c r="AF8" s="15">
        <v>17.8</v>
      </c>
      <c r="AG8" s="15">
        <v>100.8</v>
      </c>
      <c r="AH8" s="64">
        <v>150.5</v>
      </c>
      <c r="AI8" s="65">
        <f t="shared" si="0"/>
        <v>3501.4000000000005</v>
      </c>
      <c r="AJ8" s="15">
        <v>33</v>
      </c>
      <c r="AK8" s="66">
        <f t="shared" si="1"/>
        <v>1.1616161616161616E-2</v>
      </c>
      <c r="AL8" s="67">
        <f t="shared" si="2"/>
        <v>0.13686868686868689</v>
      </c>
      <c r="AM8" s="68">
        <f t="shared" si="2"/>
        <v>0.19696969696969696</v>
      </c>
      <c r="AN8" s="68">
        <f t="shared" si="2"/>
        <v>0.20909090909090908</v>
      </c>
      <c r="AO8" s="68">
        <f t="shared" si="2"/>
        <v>0.20606060606060606</v>
      </c>
      <c r="AP8" s="68">
        <f t="shared" si="2"/>
        <v>0.20631313131313131</v>
      </c>
      <c r="AQ8" s="68">
        <f t="shared" si="2"/>
        <v>0.19810606060606062</v>
      </c>
      <c r="AR8" s="68">
        <f t="shared" si="2"/>
        <v>0.20997474747474748</v>
      </c>
      <c r="AS8" s="68">
        <f t="shared" si="2"/>
        <v>0.18219696969696972</v>
      </c>
      <c r="AT8" s="68">
        <f t="shared" si="2"/>
        <v>6.7676767676767682E-2</v>
      </c>
      <c r="AU8" s="68">
        <f t="shared" si="2"/>
        <v>0.10404040404040404</v>
      </c>
      <c r="AV8" s="68">
        <f t="shared" si="2"/>
        <v>0.21010101010101012</v>
      </c>
      <c r="AW8" s="68">
        <f t="shared" si="2"/>
        <v>0.19356060606060607</v>
      </c>
      <c r="AX8" s="68">
        <f t="shared" si="2"/>
        <v>0.12487373737373739</v>
      </c>
      <c r="AY8" s="68">
        <f t="shared" si="2"/>
        <v>6.7297979797979801E-2</v>
      </c>
      <c r="AZ8" s="68">
        <f t="shared" si="2"/>
        <v>0.1101010101010101</v>
      </c>
      <c r="BA8" s="68">
        <f t="shared" si="2"/>
        <v>9.7222222222222224E-2</v>
      </c>
      <c r="BB8" s="68">
        <f t="shared" si="3"/>
        <v>0.1148989898989899</v>
      </c>
      <c r="BC8" s="68">
        <f t="shared" si="3"/>
        <v>0.20934343434343436</v>
      </c>
      <c r="BD8" s="68">
        <f t="shared" si="3"/>
        <v>9.9494949494949497E-2</v>
      </c>
      <c r="BE8" s="68">
        <f t="shared" si="3"/>
        <v>9.0151515151515163E-2</v>
      </c>
      <c r="BF8" s="68">
        <f t="shared" si="3"/>
        <v>0.16073232323232323</v>
      </c>
      <c r="BG8" s="68">
        <f t="shared" si="3"/>
        <v>0.21553030303030302</v>
      </c>
      <c r="BH8" s="68">
        <f t="shared" si="3"/>
        <v>0.21527777777777779</v>
      </c>
      <c r="BI8" s="68">
        <f t="shared" si="3"/>
        <v>0.17714646464646466</v>
      </c>
      <c r="BJ8" s="68">
        <f t="shared" si="3"/>
        <v>0.16818181818181815</v>
      </c>
      <c r="BK8" s="68">
        <f t="shared" si="3"/>
        <v>6.7676767676767682E-2</v>
      </c>
      <c r="BL8" s="68">
        <f t="shared" si="3"/>
        <v>1.9823232323232323E-2</v>
      </c>
      <c r="BM8" s="68">
        <f t="shared" si="3"/>
        <v>2.2474747474747477E-2</v>
      </c>
      <c r="BN8" s="68">
        <f t="shared" si="3"/>
        <v>2.2474747474747477E-2</v>
      </c>
      <c r="BO8" s="68">
        <f t="shared" si="3"/>
        <v>0.12727272727272726</v>
      </c>
      <c r="BP8" s="69">
        <f t="shared" si="3"/>
        <v>0.19002525252525251</v>
      </c>
      <c r="BQ8" s="70">
        <f t="shared" si="4"/>
        <v>0.1426115998696644</v>
      </c>
      <c r="BR8" s="76">
        <v>0.17499999999999999</v>
      </c>
      <c r="BS8" s="72">
        <f t="shared" si="5"/>
        <v>5.7749999999999995</v>
      </c>
      <c r="BT8" s="73">
        <f t="shared" si="6"/>
        <v>3.4090909090909088E-2</v>
      </c>
      <c r="BU8" s="74">
        <f t="shared" si="7"/>
        <v>-3.2388400130335587E-2</v>
      </c>
      <c r="BV8" s="15" t="s">
        <v>10</v>
      </c>
      <c r="BW8" s="3"/>
      <c r="BX8" s="2"/>
      <c r="BY8" s="2"/>
    </row>
    <row r="9" spans="2:77" x14ac:dyDescent="0.3">
      <c r="B9" s="760"/>
      <c r="C9" s="61" t="s">
        <v>11</v>
      </c>
      <c r="D9" s="62">
        <v>44</v>
      </c>
      <c r="E9" s="63">
        <v>58.4</v>
      </c>
      <c r="F9" s="63">
        <v>65</v>
      </c>
      <c r="G9" s="81">
        <v>54.82</v>
      </c>
      <c r="H9" s="81">
        <v>54.82</v>
      </c>
      <c r="I9" s="81">
        <v>54.82</v>
      </c>
      <c r="J9" s="63">
        <v>64.7</v>
      </c>
      <c r="K9" s="63">
        <v>51.9</v>
      </c>
      <c r="L9" s="63">
        <v>17.2</v>
      </c>
      <c r="M9" s="63">
        <v>33.200000000000003</v>
      </c>
      <c r="N9" s="63">
        <v>64.099999999999994</v>
      </c>
      <c r="O9" s="63">
        <v>59.6</v>
      </c>
      <c r="P9" s="63">
        <v>38.6</v>
      </c>
      <c r="Q9" s="63">
        <v>18.399999999999999</v>
      </c>
      <c r="R9" s="63">
        <v>24.3</v>
      </c>
      <c r="S9" s="63">
        <v>25.7</v>
      </c>
      <c r="T9" s="63">
        <v>29</v>
      </c>
      <c r="U9" s="15">
        <v>66</v>
      </c>
      <c r="V9" s="15">
        <v>55.1</v>
      </c>
      <c r="W9" s="15">
        <v>28.7</v>
      </c>
      <c r="X9" s="15">
        <v>50.6</v>
      </c>
      <c r="Y9" s="15">
        <v>66.7</v>
      </c>
      <c r="Z9" s="15">
        <v>65.5</v>
      </c>
      <c r="AA9" s="15">
        <v>55.4</v>
      </c>
      <c r="AB9" s="15">
        <v>51.5</v>
      </c>
      <c r="AC9" s="15">
        <v>18.7</v>
      </c>
      <c r="AD9" s="15">
        <v>4.5999999999999996</v>
      </c>
      <c r="AE9" s="15">
        <v>5.5</v>
      </c>
      <c r="AF9" s="15">
        <v>15.2</v>
      </c>
      <c r="AG9" s="15">
        <v>37.5</v>
      </c>
      <c r="AH9" s="64">
        <v>58.5</v>
      </c>
      <c r="AI9" s="65">
        <f t="shared" si="0"/>
        <v>1338.0600000000002</v>
      </c>
      <c r="AJ9" s="15">
        <v>12</v>
      </c>
      <c r="AK9" s="66">
        <f t="shared" si="1"/>
        <v>1.253858024691358E-2</v>
      </c>
      <c r="AL9" s="67">
        <f t="shared" si="2"/>
        <v>0.15277777777777779</v>
      </c>
      <c r="AM9" s="68">
        <f t="shared" si="2"/>
        <v>0.20277777777777778</v>
      </c>
      <c r="AN9" s="68">
        <f t="shared" si="2"/>
        <v>0.22569444444444445</v>
      </c>
      <c r="AO9" s="68">
        <f t="shared" si="2"/>
        <v>0.19034722222222222</v>
      </c>
      <c r="AP9" s="68">
        <f t="shared" si="2"/>
        <v>0.19034722222222222</v>
      </c>
      <c r="AQ9" s="68">
        <f t="shared" si="2"/>
        <v>0.19034722222222222</v>
      </c>
      <c r="AR9" s="68">
        <f t="shared" si="2"/>
        <v>0.22465277777777778</v>
      </c>
      <c r="AS9" s="68">
        <f t="shared" si="2"/>
        <v>0.18020833333333333</v>
      </c>
      <c r="AT9" s="68">
        <f t="shared" si="2"/>
        <v>5.9722222222222218E-2</v>
      </c>
      <c r="AU9" s="68">
        <f t="shared" si="2"/>
        <v>0.11527777777777778</v>
      </c>
      <c r="AV9" s="68">
        <f t="shared" si="2"/>
        <v>0.22256944444444443</v>
      </c>
      <c r="AW9" s="68">
        <f t="shared" si="2"/>
        <v>0.20694444444444446</v>
      </c>
      <c r="AX9" s="68">
        <f t="shared" si="2"/>
        <v>0.13402777777777777</v>
      </c>
      <c r="AY9" s="68">
        <f t="shared" si="2"/>
        <v>6.3888888888888884E-2</v>
      </c>
      <c r="AZ9" s="68">
        <f t="shared" si="2"/>
        <v>8.4375000000000006E-2</v>
      </c>
      <c r="BA9" s="68">
        <f t="shared" si="2"/>
        <v>8.9236111111111113E-2</v>
      </c>
      <c r="BB9" s="68">
        <f t="shared" si="3"/>
        <v>0.10069444444444445</v>
      </c>
      <c r="BC9" s="68">
        <f t="shared" si="3"/>
        <v>0.22916666666666666</v>
      </c>
      <c r="BD9" s="68">
        <f t="shared" si="3"/>
        <v>0.19131944444444446</v>
      </c>
      <c r="BE9" s="68">
        <f t="shared" si="3"/>
        <v>9.9652777777777771E-2</v>
      </c>
      <c r="BF9" s="68">
        <f t="shared" si="3"/>
        <v>0.17569444444444446</v>
      </c>
      <c r="BG9" s="68">
        <f t="shared" si="3"/>
        <v>0.23159722222222223</v>
      </c>
      <c r="BH9" s="68">
        <f t="shared" si="3"/>
        <v>0.22743055555555555</v>
      </c>
      <c r="BI9" s="68">
        <f t="shared" si="3"/>
        <v>0.19236111111111109</v>
      </c>
      <c r="BJ9" s="68">
        <f t="shared" si="3"/>
        <v>0.17881944444444445</v>
      </c>
      <c r="BK9" s="68">
        <f t="shared" si="3"/>
        <v>6.4930555555555547E-2</v>
      </c>
      <c r="BL9" s="68">
        <f t="shared" si="3"/>
        <v>1.5972222222222221E-2</v>
      </c>
      <c r="BM9" s="68">
        <f t="shared" si="3"/>
        <v>1.9097222222222224E-2</v>
      </c>
      <c r="BN9" s="68">
        <f t="shared" si="3"/>
        <v>5.2777777777777778E-2</v>
      </c>
      <c r="BO9" s="68">
        <f t="shared" si="3"/>
        <v>0.13020833333333334</v>
      </c>
      <c r="BP9" s="69">
        <f t="shared" si="3"/>
        <v>0.203125</v>
      </c>
      <c r="BQ9" s="70">
        <f t="shared" si="4"/>
        <v>0.14987231182795702</v>
      </c>
      <c r="BR9" s="76">
        <v>0.17599999999999999</v>
      </c>
      <c r="BS9" s="72">
        <f t="shared" si="5"/>
        <v>2.1120000000000001</v>
      </c>
      <c r="BT9" s="73">
        <f t="shared" si="6"/>
        <v>4.9694444444444458E-2</v>
      </c>
      <c r="BU9" s="74">
        <f t="shared" si="7"/>
        <v>-2.6127688172042973E-2</v>
      </c>
      <c r="BV9" s="15" t="s">
        <v>11</v>
      </c>
      <c r="BW9" s="3"/>
      <c r="BX9" s="2"/>
      <c r="BY9" s="2"/>
    </row>
    <row r="10" spans="2:77" x14ac:dyDescent="0.3">
      <c r="B10" s="760"/>
      <c r="C10" s="61" t="s">
        <v>12</v>
      </c>
      <c r="D10" s="62">
        <v>88.3</v>
      </c>
      <c r="E10" s="63">
        <v>119.4</v>
      </c>
      <c r="F10" s="63">
        <v>134.80000000000001</v>
      </c>
      <c r="G10" s="82">
        <v>79.400000000000006</v>
      </c>
      <c r="H10" s="82">
        <v>0</v>
      </c>
      <c r="I10" s="63">
        <v>0</v>
      </c>
      <c r="J10" s="63">
        <v>63.5</v>
      </c>
      <c r="K10" s="63">
        <v>107</v>
      </c>
      <c r="L10" s="63">
        <v>37.299999999999997</v>
      </c>
      <c r="M10" s="63">
        <v>66.099999999999994</v>
      </c>
      <c r="N10" s="63">
        <v>132.80000000000001</v>
      </c>
      <c r="O10" s="63">
        <v>123.5</v>
      </c>
      <c r="P10" s="63">
        <v>81.599999999999994</v>
      </c>
      <c r="Q10" s="63">
        <v>38.799999999999997</v>
      </c>
      <c r="R10" s="63">
        <v>49.9</v>
      </c>
      <c r="S10" s="63">
        <v>54</v>
      </c>
      <c r="T10" s="63">
        <v>59.6</v>
      </c>
      <c r="U10" s="15">
        <v>135.80000000000001</v>
      </c>
      <c r="V10" s="15">
        <v>83.1</v>
      </c>
      <c r="W10" s="15">
        <v>5.0999999999999996</v>
      </c>
      <c r="X10" s="15">
        <v>105.1</v>
      </c>
      <c r="Y10" s="15">
        <v>105.1</v>
      </c>
      <c r="Z10" s="15">
        <v>135</v>
      </c>
      <c r="AA10" s="15">
        <v>112.8</v>
      </c>
      <c r="AB10" s="15">
        <v>107.9</v>
      </c>
      <c r="AC10" s="15">
        <v>40.4</v>
      </c>
      <c r="AD10" s="15">
        <v>10.6</v>
      </c>
      <c r="AE10" s="15">
        <v>12.4</v>
      </c>
      <c r="AF10" s="15">
        <v>33.200000000000003</v>
      </c>
      <c r="AG10" s="15">
        <v>75.2</v>
      </c>
      <c r="AH10" s="64">
        <v>121.2</v>
      </c>
      <c r="AI10" s="65">
        <f t="shared" si="0"/>
        <v>2318.8999999999987</v>
      </c>
      <c r="AJ10" s="15">
        <v>25</v>
      </c>
      <c r="AK10" s="66">
        <f t="shared" si="1"/>
        <v>1.2481481481481482E-2</v>
      </c>
      <c r="AL10" s="67">
        <f t="shared" si="2"/>
        <v>0.14716666666666667</v>
      </c>
      <c r="AM10" s="68">
        <f t="shared" si="2"/>
        <v>0.19900000000000001</v>
      </c>
      <c r="AN10" s="68">
        <f t="shared" si="2"/>
        <v>0.22466666666666668</v>
      </c>
      <c r="AO10" s="68">
        <f t="shared" si="2"/>
        <v>0.13233333333333333</v>
      </c>
      <c r="AP10" s="68">
        <f t="shared" si="2"/>
        <v>0</v>
      </c>
      <c r="AQ10" s="68">
        <f t="shared" si="2"/>
        <v>0</v>
      </c>
      <c r="AR10" s="68">
        <f t="shared" si="2"/>
        <v>0.10583333333333333</v>
      </c>
      <c r="AS10" s="68">
        <f t="shared" si="2"/>
        <v>0.17833333333333334</v>
      </c>
      <c r="AT10" s="68">
        <f t="shared" si="2"/>
        <v>6.2166666666666662E-2</v>
      </c>
      <c r="AU10" s="68">
        <f t="shared" si="2"/>
        <v>0.11016666666666666</v>
      </c>
      <c r="AV10" s="68">
        <f t="shared" si="2"/>
        <v>0.22133333333333335</v>
      </c>
      <c r="AW10" s="68">
        <f t="shared" si="2"/>
        <v>0.20583333333333334</v>
      </c>
      <c r="AX10" s="68">
        <f t="shared" si="2"/>
        <v>0.13599999999999998</v>
      </c>
      <c r="AY10" s="68">
        <f t="shared" si="2"/>
        <v>6.4666666666666664E-2</v>
      </c>
      <c r="AZ10" s="68">
        <f t="shared" si="2"/>
        <v>8.3166666666666667E-2</v>
      </c>
      <c r="BA10" s="68">
        <f t="shared" si="2"/>
        <v>0.09</v>
      </c>
      <c r="BB10" s="68">
        <f t="shared" si="3"/>
        <v>9.9333333333333329E-2</v>
      </c>
      <c r="BC10" s="68">
        <f t="shared" si="3"/>
        <v>0.22633333333333336</v>
      </c>
      <c r="BD10" s="68">
        <f t="shared" si="3"/>
        <v>0.13849999999999998</v>
      </c>
      <c r="BE10" s="68">
        <f t="shared" si="3"/>
        <v>8.4999999999999989E-3</v>
      </c>
      <c r="BF10" s="68">
        <f t="shared" si="3"/>
        <v>0.17516666666666666</v>
      </c>
      <c r="BG10" s="68">
        <f t="shared" si="3"/>
        <v>0.17516666666666666</v>
      </c>
      <c r="BH10" s="68">
        <f t="shared" si="3"/>
        <v>0.22500000000000001</v>
      </c>
      <c r="BI10" s="68">
        <f t="shared" si="3"/>
        <v>0.188</v>
      </c>
      <c r="BJ10" s="68">
        <f t="shared" si="3"/>
        <v>0.17983333333333335</v>
      </c>
      <c r="BK10" s="68">
        <f t="shared" si="3"/>
        <v>6.7333333333333328E-2</v>
      </c>
      <c r="BL10" s="68">
        <f t="shared" si="3"/>
        <v>1.7666666666666667E-2</v>
      </c>
      <c r="BM10" s="68">
        <f t="shared" si="3"/>
        <v>2.0666666666666667E-2</v>
      </c>
      <c r="BN10" s="68">
        <f t="shared" si="3"/>
        <v>5.5333333333333339E-2</v>
      </c>
      <c r="BO10" s="68">
        <f t="shared" si="3"/>
        <v>0.12533333333333332</v>
      </c>
      <c r="BP10" s="69">
        <f t="shared" si="3"/>
        <v>0.20200000000000001</v>
      </c>
      <c r="BQ10" s="70">
        <f t="shared" si="4"/>
        <v>0.12467204301075262</v>
      </c>
      <c r="BR10" s="76">
        <v>0.17799999999999999</v>
      </c>
      <c r="BS10" s="72">
        <f t="shared" si="5"/>
        <v>4.45</v>
      </c>
      <c r="BT10" s="73">
        <f t="shared" si="6"/>
        <v>4.666666666666669E-2</v>
      </c>
      <c r="BU10" s="74">
        <f t="shared" si="7"/>
        <v>-5.3327956989247374E-2</v>
      </c>
      <c r="BV10" s="15" t="s">
        <v>12</v>
      </c>
      <c r="BW10" s="3"/>
      <c r="BX10" s="2"/>
      <c r="BY10" s="2"/>
    </row>
    <row r="11" spans="2:77" x14ac:dyDescent="0.3">
      <c r="B11" s="760"/>
      <c r="C11" s="83" t="s">
        <v>13</v>
      </c>
      <c r="D11" s="62">
        <v>222.4</v>
      </c>
      <c r="E11" s="63">
        <v>337.2</v>
      </c>
      <c r="F11" s="63">
        <v>382.9</v>
      </c>
      <c r="G11" s="63">
        <v>374.9</v>
      </c>
      <c r="H11" s="63">
        <v>370.8</v>
      </c>
      <c r="I11" s="63">
        <v>370.3</v>
      </c>
      <c r="J11" s="63">
        <v>340.7</v>
      </c>
      <c r="K11" s="63">
        <v>185.4</v>
      </c>
      <c r="L11" s="63">
        <v>162.4</v>
      </c>
      <c r="M11" s="63">
        <v>168.9</v>
      </c>
      <c r="N11" s="63">
        <v>385.6</v>
      </c>
      <c r="O11" s="63">
        <v>357.2</v>
      </c>
      <c r="P11" s="63">
        <v>268.3</v>
      </c>
      <c r="Q11" s="63">
        <v>117.6</v>
      </c>
      <c r="R11" s="63">
        <v>217.6</v>
      </c>
      <c r="S11" s="63">
        <v>210.4</v>
      </c>
      <c r="T11" s="63">
        <v>183.2</v>
      </c>
      <c r="U11" s="15">
        <v>384.8</v>
      </c>
      <c r="V11" s="15">
        <v>116</v>
      </c>
      <c r="W11" s="15">
        <v>163.6</v>
      </c>
      <c r="X11" s="15">
        <v>328.1</v>
      </c>
      <c r="Y11" s="15">
        <v>405.3</v>
      </c>
      <c r="Z11" s="15">
        <v>406.5</v>
      </c>
      <c r="AA11" s="15">
        <v>372.8</v>
      </c>
      <c r="AB11" s="15">
        <v>307.7</v>
      </c>
      <c r="AC11" s="15">
        <v>118.5</v>
      </c>
      <c r="AD11" s="15">
        <v>44.1</v>
      </c>
      <c r="AE11" s="15">
        <v>51.1</v>
      </c>
      <c r="AF11" s="15">
        <v>177.8</v>
      </c>
      <c r="AG11" s="15">
        <v>250.5</v>
      </c>
      <c r="AH11" s="64">
        <v>374.1</v>
      </c>
      <c r="AI11" s="65">
        <f t="shared" si="0"/>
        <v>8156.7000000000016</v>
      </c>
      <c r="AJ11" s="15">
        <v>78</v>
      </c>
      <c r="AK11" s="66">
        <f t="shared" si="1"/>
        <v>1.1363366571699904E-2</v>
      </c>
      <c r="AL11" s="67">
        <f t="shared" si="2"/>
        <v>0.11880341880341881</v>
      </c>
      <c r="AM11" s="68">
        <f t="shared" si="2"/>
        <v>0.18012820512820513</v>
      </c>
      <c r="AN11" s="68">
        <f t="shared" si="2"/>
        <v>0.20454059829059829</v>
      </c>
      <c r="AO11" s="68">
        <f t="shared" si="2"/>
        <v>0.200267094017094</v>
      </c>
      <c r="AP11" s="68">
        <f t="shared" si="2"/>
        <v>0.19807692307692309</v>
      </c>
      <c r="AQ11" s="68">
        <f t="shared" si="2"/>
        <v>0.19780982905982908</v>
      </c>
      <c r="AR11" s="68">
        <f t="shared" si="2"/>
        <v>0.18199786324786324</v>
      </c>
      <c r="AS11" s="68">
        <f t="shared" si="2"/>
        <v>9.9038461538461547E-2</v>
      </c>
      <c r="AT11" s="68">
        <f t="shared" si="2"/>
        <v>8.6752136752136749E-2</v>
      </c>
      <c r="AU11" s="68">
        <f t="shared" si="2"/>
        <v>9.0224358974358973E-2</v>
      </c>
      <c r="AV11" s="68">
        <f t="shared" si="2"/>
        <v>0.205982905982906</v>
      </c>
      <c r="AW11" s="68">
        <f t="shared" si="2"/>
        <v>0.1908119658119658</v>
      </c>
      <c r="AX11" s="68">
        <f t="shared" si="2"/>
        <v>0.14332264957264959</v>
      </c>
      <c r="AY11" s="68">
        <f t="shared" si="2"/>
        <v>6.2820512820512819E-2</v>
      </c>
      <c r="AZ11" s="68">
        <f t="shared" si="2"/>
        <v>0.11623931623931624</v>
      </c>
      <c r="BA11" s="68">
        <f t="shared" si="2"/>
        <v>0.1123931623931624</v>
      </c>
      <c r="BB11" s="68">
        <f t="shared" si="3"/>
        <v>9.7863247863247863E-2</v>
      </c>
      <c r="BC11" s="68">
        <f t="shared" si="3"/>
        <v>0.20555555555555557</v>
      </c>
      <c r="BD11" s="68">
        <f t="shared" si="3"/>
        <v>6.1965811965811968E-2</v>
      </c>
      <c r="BE11" s="68">
        <f t="shared" si="3"/>
        <v>8.7393162393162388E-2</v>
      </c>
      <c r="BF11" s="68">
        <f t="shared" si="3"/>
        <v>0.17526709401709403</v>
      </c>
      <c r="BG11" s="68">
        <f t="shared" si="3"/>
        <v>0.21650641025641026</v>
      </c>
      <c r="BH11" s="68">
        <f t="shared" si="3"/>
        <v>0.2171474358974359</v>
      </c>
      <c r="BI11" s="68">
        <f t="shared" si="3"/>
        <v>0.19914529914529916</v>
      </c>
      <c r="BJ11" s="68">
        <f t="shared" si="3"/>
        <v>0.16436965811965812</v>
      </c>
      <c r="BK11" s="68">
        <f t="shared" si="3"/>
        <v>6.3301282051282048E-2</v>
      </c>
      <c r="BL11" s="68">
        <f t="shared" si="3"/>
        <v>2.3557692307692307E-2</v>
      </c>
      <c r="BM11" s="68">
        <f t="shared" si="3"/>
        <v>2.7297008547008547E-2</v>
      </c>
      <c r="BN11" s="68">
        <f t="shared" si="3"/>
        <v>9.4978632478632488E-2</v>
      </c>
      <c r="BO11" s="68">
        <f t="shared" si="3"/>
        <v>0.13381410256410256</v>
      </c>
      <c r="BP11" s="69">
        <f t="shared" si="3"/>
        <v>0.1998397435897436</v>
      </c>
      <c r="BQ11" s="70">
        <f t="shared" si="4"/>
        <v>0.14055521091811418</v>
      </c>
      <c r="BR11" s="76">
        <v>0.154</v>
      </c>
      <c r="BS11" s="72">
        <f t="shared" si="5"/>
        <v>12.012</v>
      </c>
      <c r="BT11" s="73">
        <f t="shared" si="6"/>
        <v>5.0540598290598288E-2</v>
      </c>
      <c r="BU11" s="74">
        <f t="shared" si="7"/>
        <v>-1.3444789081885816E-2</v>
      </c>
      <c r="BV11" s="15" t="s">
        <v>13</v>
      </c>
      <c r="BW11" s="3"/>
      <c r="BX11" s="2"/>
      <c r="BY11" s="2"/>
    </row>
    <row r="12" spans="2:77" x14ac:dyDescent="0.3">
      <c r="B12" s="761"/>
      <c r="C12" s="84" t="s">
        <v>14</v>
      </c>
      <c r="D12" s="85">
        <f>D13*61/100</f>
        <v>189.16100000000003</v>
      </c>
      <c r="E12" s="81">
        <f>E13*61/100</f>
        <v>251.44200000000001</v>
      </c>
      <c r="F12" s="81">
        <f t="shared" ref="F12:T12" si="8">F13*61/100</f>
        <v>251.44200000000001</v>
      </c>
      <c r="G12" s="81">
        <f t="shared" si="8"/>
        <v>319.57899999999995</v>
      </c>
      <c r="H12" s="81">
        <f t="shared" si="8"/>
        <v>316.10200000000003</v>
      </c>
      <c r="I12" s="81">
        <f t="shared" si="8"/>
        <v>279.44100000000003</v>
      </c>
      <c r="J12" s="81">
        <f t="shared" si="8"/>
        <v>325.55700000000002</v>
      </c>
      <c r="K12" s="81">
        <f t="shared" si="8"/>
        <v>277.67200000000003</v>
      </c>
      <c r="L12" s="81">
        <f t="shared" si="8"/>
        <v>94.855000000000004</v>
      </c>
      <c r="M12" s="81">
        <f t="shared" si="8"/>
        <v>165.12700000000001</v>
      </c>
      <c r="N12" s="81">
        <f t="shared" si="8"/>
        <v>320.55500000000001</v>
      </c>
      <c r="O12" s="81">
        <f t="shared" si="8"/>
        <v>306.76900000000001</v>
      </c>
      <c r="P12" s="81">
        <f t="shared" si="8"/>
        <v>217.58700000000002</v>
      </c>
      <c r="Q12" s="81">
        <f t="shared" si="8"/>
        <v>93.635000000000005</v>
      </c>
      <c r="R12" s="81">
        <f t="shared" si="8"/>
        <v>112.48399999999999</v>
      </c>
      <c r="S12" s="81">
        <f t="shared" si="8"/>
        <v>135.72499999999999</v>
      </c>
      <c r="T12" s="81">
        <f t="shared" si="8"/>
        <v>134.87100000000001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16">
        <v>2.8</v>
      </c>
      <c r="AC12" s="16">
        <v>88</v>
      </c>
      <c r="AD12" s="16">
        <v>24.6</v>
      </c>
      <c r="AE12" s="16">
        <v>28.9</v>
      </c>
      <c r="AF12" s="16">
        <v>71.8</v>
      </c>
      <c r="AG12" s="16">
        <v>153.9</v>
      </c>
      <c r="AH12" s="86">
        <v>237</v>
      </c>
      <c r="AI12" s="65">
        <f t="shared" si="0"/>
        <v>4399.0040000000008</v>
      </c>
      <c r="AJ12" s="16">
        <v>61</v>
      </c>
      <c r="AK12" s="66" t="s">
        <v>31</v>
      </c>
      <c r="AL12" s="67">
        <f t="shared" si="2"/>
        <v>0.12920833333333334</v>
      </c>
      <c r="AM12" s="68">
        <f t="shared" si="2"/>
        <v>0.17175000000000001</v>
      </c>
      <c r="AN12" s="68">
        <f t="shared" si="2"/>
        <v>0.17175000000000001</v>
      </c>
      <c r="AO12" s="68">
        <f t="shared" si="2"/>
        <v>0.21829166666666663</v>
      </c>
      <c r="AP12" s="68">
        <f t="shared" si="2"/>
        <v>0.2159166666666667</v>
      </c>
      <c r="AQ12" s="68">
        <f t="shared" si="2"/>
        <v>0.19087500000000002</v>
      </c>
      <c r="AR12" s="68">
        <f t="shared" si="2"/>
        <v>0.22237500000000002</v>
      </c>
      <c r="AS12" s="68">
        <f t="shared" si="2"/>
        <v>0.18966666666666668</v>
      </c>
      <c r="AT12" s="68">
        <f t="shared" si="2"/>
        <v>6.4791666666666664E-2</v>
      </c>
      <c r="AU12" s="68">
        <f t="shared" si="2"/>
        <v>0.11279166666666668</v>
      </c>
      <c r="AV12" s="68">
        <f t="shared" si="2"/>
        <v>0.21895833333333334</v>
      </c>
      <c r="AW12" s="68">
        <f t="shared" si="2"/>
        <v>0.20954166666666668</v>
      </c>
      <c r="AX12" s="68">
        <f t="shared" si="2"/>
        <v>0.14862500000000001</v>
      </c>
      <c r="AY12" s="68">
        <f t="shared" si="2"/>
        <v>6.3958333333333339E-2</v>
      </c>
      <c r="AZ12" s="68">
        <f t="shared" si="2"/>
        <v>7.6833333333333323E-2</v>
      </c>
      <c r="BA12" s="68">
        <f t="shared" si="2"/>
        <v>9.2708333333333323E-2</v>
      </c>
      <c r="BB12" s="68">
        <f t="shared" si="3"/>
        <v>9.2125000000000012E-2</v>
      </c>
      <c r="BC12" s="68">
        <f t="shared" si="3"/>
        <v>0</v>
      </c>
      <c r="BD12" s="68">
        <f t="shared" si="3"/>
        <v>0</v>
      </c>
      <c r="BE12" s="68">
        <f t="shared" si="3"/>
        <v>0</v>
      </c>
      <c r="BF12" s="68">
        <f t="shared" si="3"/>
        <v>0</v>
      </c>
      <c r="BG12" s="68">
        <f t="shared" si="3"/>
        <v>0</v>
      </c>
      <c r="BH12" s="68">
        <f t="shared" si="3"/>
        <v>0</v>
      </c>
      <c r="BI12" s="68">
        <f t="shared" si="3"/>
        <v>0</v>
      </c>
      <c r="BJ12" s="68">
        <f t="shared" si="3"/>
        <v>1.9125683060109287E-3</v>
      </c>
      <c r="BK12" s="68">
        <f t="shared" si="3"/>
        <v>6.0109289617486336E-2</v>
      </c>
      <c r="BL12" s="68">
        <f t="shared" si="3"/>
        <v>1.6803278688524593E-2</v>
      </c>
      <c r="BM12" s="68">
        <f t="shared" si="3"/>
        <v>1.9740437158469945E-2</v>
      </c>
      <c r="BN12" s="68">
        <f t="shared" si="3"/>
        <v>4.9043715846994532E-2</v>
      </c>
      <c r="BO12" s="68">
        <f t="shared" si="3"/>
        <v>0.10512295081967213</v>
      </c>
      <c r="BP12" s="69">
        <f t="shared" si="3"/>
        <v>0.16188524590163936</v>
      </c>
      <c r="BQ12" s="70">
        <f t="shared" si="4"/>
        <v>9.6928521064692422E-2</v>
      </c>
      <c r="BR12" s="76">
        <v>0.17399999999999999</v>
      </c>
      <c r="BS12" s="72" t="s">
        <v>31</v>
      </c>
      <c r="BT12" s="73" t="s">
        <v>31</v>
      </c>
      <c r="BU12" s="74">
        <f t="shared" si="7"/>
        <v>-7.7071478935307566E-2</v>
      </c>
      <c r="BV12" s="15" t="s">
        <v>14</v>
      </c>
      <c r="BW12" s="87"/>
      <c r="BX12" s="2"/>
      <c r="BY12" s="2"/>
    </row>
    <row r="13" spans="2:77" x14ac:dyDescent="0.3">
      <c r="B13" s="759" t="s">
        <v>16</v>
      </c>
      <c r="C13" s="88" t="s">
        <v>17</v>
      </c>
      <c r="D13" s="62">
        <v>310.10000000000002</v>
      </c>
      <c r="E13" s="63">
        <v>412.2</v>
      </c>
      <c r="F13" s="63">
        <v>412.2</v>
      </c>
      <c r="G13" s="63">
        <v>523.9</v>
      </c>
      <c r="H13" s="63">
        <v>518.20000000000005</v>
      </c>
      <c r="I13" s="63">
        <v>458.1</v>
      </c>
      <c r="J13" s="63">
        <v>533.70000000000005</v>
      </c>
      <c r="K13" s="63">
        <v>455.2</v>
      </c>
      <c r="L13" s="63">
        <v>155.5</v>
      </c>
      <c r="M13" s="63">
        <v>270.7</v>
      </c>
      <c r="N13" s="63">
        <v>525.5</v>
      </c>
      <c r="O13" s="63">
        <v>502.9</v>
      </c>
      <c r="P13" s="63">
        <v>356.7</v>
      </c>
      <c r="Q13" s="63">
        <v>153.5</v>
      </c>
      <c r="R13" s="63">
        <v>184.4</v>
      </c>
      <c r="S13" s="63">
        <v>222.5</v>
      </c>
      <c r="T13" s="63">
        <v>221.1</v>
      </c>
      <c r="U13" s="15">
        <v>544.4</v>
      </c>
      <c r="V13" s="15">
        <v>491.3</v>
      </c>
      <c r="W13" s="15">
        <v>275.60000000000002</v>
      </c>
      <c r="X13" s="15">
        <v>433.7</v>
      </c>
      <c r="Y13" s="15">
        <v>547.6</v>
      </c>
      <c r="Z13" s="15">
        <v>542.1</v>
      </c>
      <c r="AA13" s="15">
        <v>449.5</v>
      </c>
      <c r="AB13" s="15">
        <v>414.4</v>
      </c>
      <c r="AC13" s="15">
        <v>176.2</v>
      </c>
      <c r="AD13" s="15">
        <v>49.6</v>
      </c>
      <c r="AE13" s="15">
        <v>57.3</v>
      </c>
      <c r="AF13" s="15">
        <v>145.19999999999999</v>
      </c>
      <c r="AG13" s="15">
        <v>277</v>
      </c>
      <c r="AH13" s="64">
        <v>517.6</v>
      </c>
      <c r="AI13" s="65">
        <f t="shared" si="0"/>
        <v>11137.900000000001</v>
      </c>
      <c r="AJ13" s="15">
        <v>100</v>
      </c>
      <c r="AK13" s="66">
        <f t="shared" ref="AK13:AK24" si="9">F13/(AJ13*432)</f>
        <v>9.541666666666667E-3</v>
      </c>
      <c r="AL13" s="67">
        <f t="shared" si="2"/>
        <v>0.12920833333333334</v>
      </c>
      <c r="AM13" s="68">
        <f t="shared" si="2"/>
        <v>0.17174999999999999</v>
      </c>
      <c r="AN13" s="68">
        <f t="shared" si="2"/>
        <v>0.17174999999999999</v>
      </c>
      <c r="AO13" s="68">
        <f t="shared" si="2"/>
        <v>0.21829166666666666</v>
      </c>
      <c r="AP13" s="68">
        <f t="shared" si="2"/>
        <v>0.21591666666666667</v>
      </c>
      <c r="AQ13" s="68">
        <f t="shared" si="2"/>
        <v>0.19087500000000002</v>
      </c>
      <c r="AR13" s="68">
        <f t="shared" si="2"/>
        <v>0.22237500000000002</v>
      </c>
      <c r="AS13" s="68">
        <f t="shared" si="2"/>
        <v>0.18966666666666665</v>
      </c>
      <c r="AT13" s="68">
        <f t="shared" si="2"/>
        <v>6.4791666666666664E-2</v>
      </c>
      <c r="AU13" s="68">
        <f t="shared" si="2"/>
        <v>0.11279166666666667</v>
      </c>
      <c r="AV13" s="68">
        <f t="shared" si="2"/>
        <v>0.21895833333333334</v>
      </c>
      <c r="AW13" s="68">
        <f t="shared" si="2"/>
        <v>0.20954166666666665</v>
      </c>
      <c r="AX13" s="68">
        <f t="shared" si="2"/>
        <v>0.14862500000000001</v>
      </c>
      <c r="AY13" s="68">
        <f t="shared" si="2"/>
        <v>6.3958333333333339E-2</v>
      </c>
      <c r="AZ13" s="68">
        <f t="shared" si="2"/>
        <v>7.6833333333333337E-2</v>
      </c>
      <c r="BA13" s="68">
        <f t="shared" si="2"/>
        <v>9.2708333333333337E-2</v>
      </c>
      <c r="BB13" s="68">
        <f t="shared" si="3"/>
        <v>9.2124999999999999E-2</v>
      </c>
      <c r="BC13" s="68">
        <f t="shared" si="3"/>
        <v>0.22683333333333333</v>
      </c>
      <c r="BD13" s="68">
        <f t="shared" si="3"/>
        <v>0.20470833333333333</v>
      </c>
      <c r="BE13" s="68">
        <f t="shared" si="3"/>
        <v>0.11483333333333334</v>
      </c>
      <c r="BF13" s="68">
        <f t="shared" si="3"/>
        <v>0.18070833333333333</v>
      </c>
      <c r="BG13" s="68">
        <f t="shared" si="3"/>
        <v>0.22816666666666668</v>
      </c>
      <c r="BH13" s="68">
        <f t="shared" si="3"/>
        <v>0.22587500000000002</v>
      </c>
      <c r="BI13" s="68">
        <f t="shared" si="3"/>
        <v>0.18729166666666666</v>
      </c>
      <c r="BJ13" s="68">
        <f t="shared" si="3"/>
        <v>0.17266666666666666</v>
      </c>
      <c r="BK13" s="68">
        <f t="shared" si="3"/>
        <v>7.3416666666666658E-2</v>
      </c>
      <c r="BL13" s="68">
        <f t="shared" si="3"/>
        <v>2.0666666666666667E-2</v>
      </c>
      <c r="BM13" s="68">
        <f t="shared" si="3"/>
        <v>2.3875E-2</v>
      </c>
      <c r="BN13" s="68">
        <f t="shared" si="3"/>
        <v>6.0499999999999998E-2</v>
      </c>
      <c r="BO13" s="68">
        <f t="shared" si="3"/>
        <v>0.11541666666666667</v>
      </c>
      <c r="BP13" s="69">
        <f t="shared" si="3"/>
        <v>0.21566666666666667</v>
      </c>
      <c r="BQ13" s="70">
        <f t="shared" si="4"/>
        <v>0.14970295698924732</v>
      </c>
      <c r="BR13" s="76">
        <v>0.16900000000000001</v>
      </c>
      <c r="BS13" s="72">
        <f t="shared" ref="BS13:BS28" si="10">AJ13*BR13</f>
        <v>16.900000000000002</v>
      </c>
      <c r="BT13" s="73">
        <f t="shared" ref="BT13:BT28" si="11">AN13-BR13</f>
        <v>2.7499999999999747E-3</v>
      </c>
      <c r="BU13" s="74">
        <f t="shared" si="7"/>
        <v>-1.929704301075269E-2</v>
      </c>
      <c r="BV13" s="15" t="s">
        <v>17</v>
      </c>
      <c r="BW13" s="3"/>
      <c r="BX13" s="2"/>
      <c r="BY13" s="2"/>
    </row>
    <row r="14" spans="2:77" x14ac:dyDescent="0.3">
      <c r="B14" s="760"/>
      <c r="C14" s="61" t="s">
        <v>18</v>
      </c>
      <c r="D14" s="62">
        <v>293.89999999999998</v>
      </c>
      <c r="E14" s="63">
        <v>451.5</v>
      </c>
      <c r="F14" s="63">
        <v>526</v>
      </c>
      <c r="G14" s="63">
        <v>514.5</v>
      </c>
      <c r="H14" s="63">
        <v>508.4</v>
      </c>
      <c r="I14" s="63">
        <v>508.9</v>
      </c>
      <c r="J14" s="63">
        <v>520.29999999999995</v>
      </c>
      <c r="K14" s="63">
        <v>455.3</v>
      </c>
      <c r="L14" s="63">
        <v>217.6</v>
      </c>
      <c r="M14" s="63">
        <v>220</v>
      </c>
      <c r="N14" s="63">
        <v>514.5</v>
      </c>
      <c r="O14" s="63">
        <v>479.5</v>
      </c>
      <c r="P14" s="63">
        <v>364.3</v>
      </c>
      <c r="Q14" s="63">
        <v>148.9</v>
      </c>
      <c r="R14" s="63">
        <v>281.2</v>
      </c>
      <c r="S14" s="63">
        <v>278.2</v>
      </c>
      <c r="T14" s="63">
        <v>237.6</v>
      </c>
      <c r="U14" s="15">
        <v>519.5</v>
      </c>
      <c r="V14" s="15">
        <v>168</v>
      </c>
      <c r="W14" s="15">
        <v>221.4</v>
      </c>
      <c r="X14" s="15">
        <v>448.4</v>
      </c>
      <c r="Y14" s="15">
        <v>545.70000000000005</v>
      </c>
      <c r="Z14" s="15">
        <v>547.6</v>
      </c>
      <c r="AA14" s="15">
        <v>504.2</v>
      </c>
      <c r="AB14" s="15">
        <v>432</v>
      </c>
      <c r="AC14" s="15">
        <v>154.30000000000001</v>
      </c>
      <c r="AD14" s="15">
        <v>48.9</v>
      </c>
      <c r="AE14" s="15">
        <v>58.2</v>
      </c>
      <c r="AF14" s="15">
        <v>152.80000000000001</v>
      </c>
      <c r="AG14" s="15">
        <v>350</v>
      </c>
      <c r="AH14" s="64">
        <v>507.1</v>
      </c>
      <c r="AI14" s="65">
        <f t="shared" si="0"/>
        <v>11178.699999999999</v>
      </c>
      <c r="AJ14" s="15">
        <v>100</v>
      </c>
      <c r="AK14" s="66">
        <f t="shared" si="9"/>
        <v>1.2175925925925925E-2</v>
      </c>
      <c r="AL14" s="67">
        <f t="shared" si="2"/>
        <v>0.12245833333333332</v>
      </c>
      <c r="AM14" s="68">
        <f t="shared" si="2"/>
        <v>0.18812499999999999</v>
      </c>
      <c r="AN14" s="68">
        <f t="shared" si="2"/>
        <v>0.21916666666666668</v>
      </c>
      <c r="AO14" s="68">
        <f t="shared" si="2"/>
        <v>0.21437500000000001</v>
      </c>
      <c r="AP14" s="68">
        <f t="shared" si="2"/>
        <v>0.21183333333333332</v>
      </c>
      <c r="AQ14" s="68">
        <f t="shared" si="2"/>
        <v>0.21204166666666666</v>
      </c>
      <c r="AR14" s="68">
        <f t="shared" si="2"/>
        <v>0.21679166666666666</v>
      </c>
      <c r="AS14" s="68">
        <f t="shared" si="2"/>
        <v>0.18970833333333334</v>
      </c>
      <c r="AT14" s="68">
        <f t="shared" si="2"/>
        <v>9.0666666666666659E-2</v>
      </c>
      <c r="AU14" s="68">
        <f t="shared" si="2"/>
        <v>9.166666666666666E-2</v>
      </c>
      <c r="AV14" s="68">
        <f t="shared" si="2"/>
        <v>0.21437500000000001</v>
      </c>
      <c r="AW14" s="68">
        <f t="shared" si="2"/>
        <v>0.19979166666666667</v>
      </c>
      <c r="AX14" s="68">
        <f t="shared" si="2"/>
        <v>0.15179166666666666</v>
      </c>
      <c r="AY14" s="68">
        <f t="shared" si="2"/>
        <v>6.2041666666666669E-2</v>
      </c>
      <c r="AZ14" s="68">
        <f t="shared" si="2"/>
        <v>0.11716666666666666</v>
      </c>
      <c r="BA14" s="68">
        <f t="shared" si="2"/>
        <v>0.11591666666666667</v>
      </c>
      <c r="BB14" s="68">
        <f t="shared" si="3"/>
        <v>9.8999999999999991E-2</v>
      </c>
      <c r="BC14" s="68">
        <f t="shared" si="3"/>
        <v>0.21645833333333334</v>
      </c>
      <c r="BD14" s="68">
        <f t="shared" si="3"/>
        <v>7.0000000000000007E-2</v>
      </c>
      <c r="BE14" s="68">
        <f t="shared" si="3"/>
        <v>9.2249999999999999E-2</v>
      </c>
      <c r="BF14" s="68">
        <f t="shared" si="3"/>
        <v>0.18683333333333332</v>
      </c>
      <c r="BG14" s="68">
        <f t="shared" si="3"/>
        <v>0.22737500000000002</v>
      </c>
      <c r="BH14" s="68">
        <f t="shared" si="3"/>
        <v>0.22816666666666668</v>
      </c>
      <c r="BI14" s="68">
        <f t="shared" si="3"/>
        <v>0.21008333333333332</v>
      </c>
      <c r="BJ14" s="68">
        <f t="shared" si="3"/>
        <v>0.18</v>
      </c>
      <c r="BK14" s="68">
        <f t="shared" si="3"/>
        <v>6.4291666666666678E-2</v>
      </c>
      <c r="BL14" s="68">
        <f t="shared" si="3"/>
        <v>2.0375000000000001E-2</v>
      </c>
      <c r="BM14" s="68">
        <f t="shared" si="3"/>
        <v>2.4250000000000001E-2</v>
      </c>
      <c r="BN14" s="68">
        <f t="shared" si="3"/>
        <v>6.3666666666666677E-2</v>
      </c>
      <c r="BO14" s="68">
        <f t="shared" si="3"/>
        <v>0.14583333333333334</v>
      </c>
      <c r="BP14" s="69">
        <f t="shared" si="3"/>
        <v>0.21129166666666668</v>
      </c>
      <c r="BQ14" s="70">
        <f t="shared" si="4"/>
        <v>0.1502513440860215</v>
      </c>
      <c r="BR14" s="76">
        <v>0.16900000000000001</v>
      </c>
      <c r="BS14" s="72">
        <f t="shared" si="10"/>
        <v>16.900000000000002</v>
      </c>
      <c r="BT14" s="73">
        <f t="shared" si="11"/>
        <v>5.0166666666666665E-2</v>
      </c>
      <c r="BU14" s="74">
        <f t="shared" si="7"/>
        <v>-1.8748655913978507E-2</v>
      </c>
      <c r="BV14" s="15" t="s">
        <v>18</v>
      </c>
      <c r="BW14" s="3"/>
      <c r="BX14" s="2"/>
      <c r="BY14" s="2"/>
    </row>
    <row r="15" spans="2:77" x14ac:dyDescent="0.3">
      <c r="B15" s="760"/>
      <c r="C15" s="61" t="s">
        <v>110</v>
      </c>
      <c r="D15" s="62">
        <v>84.7</v>
      </c>
      <c r="E15" s="63">
        <v>128.6</v>
      </c>
      <c r="F15" s="63">
        <v>143.19999999999999</v>
      </c>
      <c r="G15" s="63">
        <v>139.9</v>
      </c>
      <c r="H15" s="63">
        <v>138.5</v>
      </c>
      <c r="I15" s="63">
        <v>138.1</v>
      </c>
      <c r="J15" s="63">
        <v>141</v>
      </c>
      <c r="K15" s="63">
        <v>70.099999999999994</v>
      </c>
      <c r="L15" s="63">
        <v>59.3</v>
      </c>
      <c r="M15" s="63">
        <v>67.099999999999994</v>
      </c>
      <c r="N15" s="63">
        <v>145.6</v>
      </c>
      <c r="O15" s="63">
        <v>133.80000000000001</v>
      </c>
      <c r="P15" s="63">
        <v>100.3</v>
      </c>
      <c r="Q15" s="63">
        <v>42.1</v>
      </c>
      <c r="R15" s="63">
        <v>83</v>
      </c>
      <c r="S15" s="63">
        <v>78.599999999999994</v>
      </c>
      <c r="T15" s="63">
        <v>69.5</v>
      </c>
      <c r="U15" s="15">
        <v>146.30000000000001</v>
      </c>
      <c r="V15" s="15">
        <v>41.9</v>
      </c>
      <c r="W15" s="15">
        <v>60.3</v>
      </c>
      <c r="X15" s="15">
        <v>125.6</v>
      </c>
      <c r="Y15" s="15">
        <v>152.5</v>
      </c>
      <c r="Z15" s="15">
        <v>152.1</v>
      </c>
      <c r="AA15" s="15">
        <v>142.9</v>
      </c>
      <c r="AB15" s="15">
        <v>121.8</v>
      </c>
      <c r="AC15" s="15">
        <v>42.1</v>
      </c>
      <c r="AD15" s="15">
        <v>12.8</v>
      </c>
      <c r="AE15" s="15">
        <v>15.3</v>
      </c>
      <c r="AF15" s="15">
        <v>41.5</v>
      </c>
      <c r="AG15" s="15">
        <v>103.3</v>
      </c>
      <c r="AH15" s="64">
        <v>140.9</v>
      </c>
      <c r="AI15" s="65">
        <f t="shared" si="0"/>
        <v>3062.7000000000003</v>
      </c>
      <c r="AJ15" s="15">
        <v>29</v>
      </c>
      <c r="AK15" s="66">
        <f t="shared" si="9"/>
        <v>1.1430395913154532E-2</v>
      </c>
      <c r="AL15" s="67">
        <f t="shared" si="2"/>
        <v>0.12169540229885058</v>
      </c>
      <c r="AM15" s="68">
        <f t="shared" si="2"/>
        <v>0.18477011494252873</v>
      </c>
      <c r="AN15" s="68">
        <f t="shared" si="2"/>
        <v>0.20574712643678159</v>
      </c>
      <c r="AO15" s="68">
        <f t="shared" si="2"/>
        <v>0.20100574712643679</v>
      </c>
      <c r="AP15" s="68">
        <f t="shared" si="2"/>
        <v>0.19899425287356323</v>
      </c>
      <c r="AQ15" s="68">
        <f t="shared" si="2"/>
        <v>0.19841954022988506</v>
      </c>
      <c r="AR15" s="68">
        <f t="shared" si="2"/>
        <v>0.20258620689655171</v>
      </c>
      <c r="AS15" s="68">
        <f t="shared" si="2"/>
        <v>0.1007183908045977</v>
      </c>
      <c r="AT15" s="68">
        <f t="shared" si="2"/>
        <v>8.5201149425287351E-2</v>
      </c>
      <c r="AU15" s="68">
        <f t="shared" si="2"/>
        <v>9.6408045977011483E-2</v>
      </c>
      <c r="AV15" s="68">
        <f t="shared" si="2"/>
        <v>0.20919540229885056</v>
      </c>
      <c r="AW15" s="68">
        <f t="shared" si="2"/>
        <v>0.19224137931034485</v>
      </c>
      <c r="AX15" s="68">
        <f t="shared" si="2"/>
        <v>0.14410919540229886</v>
      </c>
      <c r="AY15" s="68">
        <f t="shared" si="2"/>
        <v>6.0488505747126442E-2</v>
      </c>
      <c r="AZ15" s="68">
        <f t="shared" si="2"/>
        <v>0.11925287356321838</v>
      </c>
      <c r="BA15" s="68">
        <f t="shared" si="2"/>
        <v>0.11293103448275861</v>
      </c>
      <c r="BB15" s="68">
        <f t="shared" si="3"/>
        <v>9.9856321839080456E-2</v>
      </c>
      <c r="BC15" s="68">
        <f t="shared" si="3"/>
        <v>0.21020114942528736</v>
      </c>
      <c r="BD15" s="68">
        <f t="shared" si="3"/>
        <v>6.0201149425287356E-2</v>
      </c>
      <c r="BE15" s="68">
        <f t="shared" si="3"/>
        <v>8.6637931034482751E-2</v>
      </c>
      <c r="BF15" s="68">
        <f t="shared" si="3"/>
        <v>0.18045977011494252</v>
      </c>
      <c r="BG15" s="68">
        <f t="shared" si="3"/>
        <v>0.21910919540229884</v>
      </c>
      <c r="BH15" s="68">
        <f t="shared" si="3"/>
        <v>0.21853448275862067</v>
      </c>
      <c r="BI15" s="68">
        <f t="shared" si="3"/>
        <v>0.20531609195402301</v>
      </c>
      <c r="BJ15" s="68">
        <f t="shared" si="3"/>
        <v>0.17499999999999999</v>
      </c>
      <c r="BK15" s="68">
        <f t="shared" si="3"/>
        <v>6.0488505747126442E-2</v>
      </c>
      <c r="BL15" s="68">
        <f t="shared" si="3"/>
        <v>1.8390804597701149E-2</v>
      </c>
      <c r="BM15" s="68">
        <f t="shared" si="3"/>
        <v>2.1982758620689657E-2</v>
      </c>
      <c r="BN15" s="68">
        <f t="shared" si="3"/>
        <v>5.9626436781609192E-2</v>
      </c>
      <c r="BO15" s="68">
        <f t="shared" si="3"/>
        <v>0.14841954022988504</v>
      </c>
      <c r="BP15" s="69">
        <f t="shared" si="3"/>
        <v>0.2024425287356322</v>
      </c>
      <c r="BQ15" s="70">
        <f t="shared" si="4"/>
        <v>0.14194938820912126</v>
      </c>
      <c r="BR15" s="76">
        <v>0.16900000000000001</v>
      </c>
      <c r="BS15" s="72">
        <f t="shared" si="10"/>
        <v>4.9010000000000007</v>
      </c>
      <c r="BT15" s="73">
        <f t="shared" si="11"/>
        <v>3.6747126436781574E-2</v>
      </c>
      <c r="BU15" s="74">
        <f t="shared" si="7"/>
        <v>-2.7050611790878754E-2</v>
      </c>
      <c r="BV15" s="15" t="s">
        <v>110</v>
      </c>
      <c r="BW15" s="3"/>
      <c r="BX15" s="2"/>
      <c r="BY15" s="2"/>
    </row>
    <row r="16" spans="2:77" x14ac:dyDescent="0.3">
      <c r="B16" s="762"/>
      <c r="C16" s="61" t="s">
        <v>20</v>
      </c>
      <c r="D16" s="62">
        <v>265.39999999999998</v>
      </c>
      <c r="E16" s="63">
        <v>441.3</v>
      </c>
      <c r="F16" s="63">
        <v>551</v>
      </c>
      <c r="G16" s="63">
        <v>541</v>
      </c>
      <c r="H16" s="63">
        <v>538.29999999999995</v>
      </c>
      <c r="I16" s="63">
        <v>535.79999999999995</v>
      </c>
      <c r="J16" s="63">
        <v>546.79999999999995</v>
      </c>
      <c r="K16" s="63">
        <v>436.2</v>
      </c>
      <c r="L16" s="63">
        <v>201.8</v>
      </c>
      <c r="M16" s="63">
        <v>261.5</v>
      </c>
      <c r="N16" s="63">
        <v>522.4</v>
      </c>
      <c r="O16" s="63">
        <v>500.1</v>
      </c>
      <c r="P16" s="63">
        <v>343.5</v>
      </c>
      <c r="Q16" s="63">
        <v>145.5</v>
      </c>
      <c r="R16" s="63">
        <v>254.3</v>
      </c>
      <c r="S16" s="63">
        <v>275</v>
      </c>
      <c r="T16" s="63">
        <v>275.39999999999998</v>
      </c>
      <c r="U16" s="15">
        <v>466</v>
      </c>
      <c r="V16" s="15">
        <v>539.1</v>
      </c>
      <c r="W16" s="15">
        <v>188.9</v>
      </c>
      <c r="X16" s="15">
        <v>449.6</v>
      </c>
      <c r="Y16" s="15">
        <v>562.5</v>
      </c>
      <c r="Z16" s="15">
        <v>561</v>
      </c>
      <c r="AA16" s="15">
        <v>440.1</v>
      </c>
      <c r="AB16" s="15">
        <v>421.3</v>
      </c>
      <c r="AC16" s="15">
        <v>156.6</v>
      </c>
      <c r="AD16" s="15">
        <v>50.7</v>
      </c>
      <c r="AE16" s="15">
        <v>59.8</v>
      </c>
      <c r="AF16" s="15">
        <v>118.2</v>
      </c>
      <c r="AG16" s="15">
        <v>354.2</v>
      </c>
      <c r="AH16" s="64">
        <v>495.9</v>
      </c>
      <c r="AI16" s="65">
        <f t="shared" si="0"/>
        <v>11499.2</v>
      </c>
      <c r="AJ16" s="15">
        <v>100</v>
      </c>
      <c r="AK16" s="66">
        <f t="shared" si="9"/>
        <v>1.275462962962963E-2</v>
      </c>
      <c r="AL16" s="67">
        <f t="shared" si="2"/>
        <v>0.11058333333333333</v>
      </c>
      <c r="AM16" s="68">
        <f t="shared" si="2"/>
        <v>0.18387500000000001</v>
      </c>
      <c r="AN16" s="68">
        <f t="shared" si="2"/>
        <v>0.22958333333333333</v>
      </c>
      <c r="AO16" s="68">
        <f t="shared" si="2"/>
        <v>0.22541666666666665</v>
      </c>
      <c r="AP16" s="68">
        <f t="shared" si="2"/>
        <v>0.22429166666666664</v>
      </c>
      <c r="AQ16" s="68">
        <f t="shared" si="2"/>
        <v>0.22324999999999998</v>
      </c>
      <c r="AR16" s="68">
        <f t="shared" si="2"/>
        <v>0.2278333333333333</v>
      </c>
      <c r="AS16" s="68">
        <f t="shared" si="2"/>
        <v>0.18174999999999999</v>
      </c>
      <c r="AT16" s="68">
        <f t="shared" si="2"/>
        <v>8.4083333333333343E-2</v>
      </c>
      <c r="AU16" s="68">
        <f t="shared" si="2"/>
        <v>0.10895833333333334</v>
      </c>
      <c r="AV16" s="68">
        <f t="shared" si="2"/>
        <v>0.21766666666666665</v>
      </c>
      <c r="AW16" s="68">
        <f t="shared" si="2"/>
        <v>0.208375</v>
      </c>
      <c r="AX16" s="68">
        <f t="shared" si="2"/>
        <v>0.143125</v>
      </c>
      <c r="AY16" s="68">
        <f t="shared" si="2"/>
        <v>6.0624999999999998E-2</v>
      </c>
      <c r="AZ16" s="68">
        <f t="shared" si="2"/>
        <v>0.10595833333333333</v>
      </c>
      <c r="BA16" s="68">
        <f t="shared" si="2"/>
        <v>0.11458333333333333</v>
      </c>
      <c r="BB16" s="68">
        <f t="shared" si="3"/>
        <v>0.11474999999999999</v>
      </c>
      <c r="BC16" s="68">
        <f t="shared" si="3"/>
        <v>0.19416666666666665</v>
      </c>
      <c r="BD16" s="68">
        <f t="shared" si="3"/>
        <v>0.22462500000000002</v>
      </c>
      <c r="BE16" s="68">
        <f t="shared" si="3"/>
        <v>7.8708333333333338E-2</v>
      </c>
      <c r="BF16" s="68">
        <f t="shared" si="3"/>
        <v>0.18733333333333335</v>
      </c>
      <c r="BG16" s="68">
        <f t="shared" si="3"/>
        <v>0.234375</v>
      </c>
      <c r="BH16" s="68">
        <f t="shared" si="3"/>
        <v>0.23375000000000001</v>
      </c>
      <c r="BI16" s="68">
        <f t="shared" si="3"/>
        <v>0.18337500000000001</v>
      </c>
      <c r="BJ16" s="68">
        <f t="shared" si="3"/>
        <v>0.17554166666666668</v>
      </c>
      <c r="BK16" s="68">
        <f t="shared" si="3"/>
        <v>6.5250000000000002E-2</v>
      </c>
      <c r="BL16" s="68">
        <f t="shared" si="3"/>
        <v>2.1125000000000001E-2</v>
      </c>
      <c r="BM16" s="68">
        <f t="shared" si="3"/>
        <v>2.4916666666666667E-2</v>
      </c>
      <c r="BN16" s="68">
        <f t="shared" si="3"/>
        <v>4.9250000000000002E-2</v>
      </c>
      <c r="BO16" s="68">
        <f t="shared" si="3"/>
        <v>0.14758333333333332</v>
      </c>
      <c r="BP16" s="69">
        <f t="shared" si="3"/>
        <v>0.206625</v>
      </c>
      <c r="BQ16" s="70">
        <f t="shared" si="4"/>
        <v>0.15455913978494626</v>
      </c>
      <c r="BR16" s="76">
        <v>0.16900000000000001</v>
      </c>
      <c r="BS16" s="72">
        <f t="shared" si="10"/>
        <v>16.900000000000002</v>
      </c>
      <c r="BT16" s="73">
        <f t="shared" si="11"/>
        <v>6.0583333333333322E-2</v>
      </c>
      <c r="BU16" s="74">
        <f t="shared" si="7"/>
        <v>-1.4440860215053752E-2</v>
      </c>
      <c r="BV16" s="15" t="s">
        <v>20</v>
      </c>
      <c r="BW16" s="3"/>
      <c r="BX16" s="2"/>
      <c r="BY16" s="2"/>
    </row>
    <row r="17" spans="2:77" x14ac:dyDescent="0.3">
      <c r="B17" s="763" t="s">
        <v>21</v>
      </c>
      <c r="C17" s="61" t="s">
        <v>22</v>
      </c>
      <c r="D17" s="62">
        <v>398.4</v>
      </c>
      <c r="E17" s="63">
        <v>326.39999999999998</v>
      </c>
      <c r="F17" s="81">
        <v>362.4</v>
      </c>
      <c r="G17" s="81">
        <v>362.4</v>
      </c>
      <c r="H17" s="81">
        <v>362.4</v>
      </c>
      <c r="I17" s="81">
        <v>362.4</v>
      </c>
      <c r="J17" s="81">
        <v>362.4</v>
      </c>
      <c r="K17" s="63">
        <v>319.2</v>
      </c>
      <c r="L17" s="63">
        <v>200.3</v>
      </c>
      <c r="M17" s="63">
        <v>299.3</v>
      </c>
      <c r="N17" s="63">
        <v>480.3</v>
      </c>
      <c r="O17" s="63">
        <v>443.4</v>
      </c>
      <c r="P17" s="63">
        <v>337</v>
      </c>
      <c r="Q17" s="63">
        <v>169.4</v>
      </c>
      <c r="R17" s="63">
        <v>252.9</v>
      </c>
      <c r="S17" s="63">
        <v>212.3</v>
      </c>
      <c r="T17" s="63">
        <v>256.5</v>
      </c>
      <c r="U17" s="15">
        <v>518.1</v>
      </c>
      <c r="V17" s="15">
        <v>0</v>
      </c>
      <c r="W17" s="15">
        <v>249.3</v>
      </c>
      <c r="X17" s="15">
        <v>383.1</v>
      </c>
      <c r="Y17" s="15">
        <v>0</v>
      </c>
      <c r="Z17" s="15">
        <v>136.9</v>
      </c>
      <c r="AA17" s="15">
        <v>464.6</v>
      </c>
      <c r="AB17" s="15">
        <v>452.7</v>
      </c>
      <c r="AC17" s="15">
        <v>229.5</v>
      </c>
      <c r="AD17" s="15">
        <v>45.5</v>
      </c>
      <c r="AE17" s="15">
        <v>51.3</v>
      </c>
      <c r="AF17" s="15">
        <v>149.69999999999999</v>
      </c>
      <c r="AG17" s="15">
        <v>329.6</v>
      </c>
      <c r="AH17" s="64">
        <v>477.1</v>
      </c>
      <c r="AI17" s="65">
        <f t="shared" si="0"/>
        <v>8994.8000000000011</v>
      </c>
      <c r="AJ17" s="15">
        <v>100</v>
      </c>
      <c r="AK17" s="89">
        <f t="shared" si="9"/>
        <v>8.3888888888888884E-3</v>
      </c>
      <c r="AL17" s="67">
        <f t="shared" si="2"/>
        <v>0.16599999999999998</v>
      </c>
      <c r="AM17" s="68">
        <f t="shared" si="2"/>
        <v>0.13599999999999998</v>
      </c>
      <c r="AN17" s="68">
        <f t="shared" si="2"/>
        <v>0.151</v>
      </c>
      <c r="AO17" s="68">
        <f t="shared" si="2"/>
        <v>0.151</v>
      </c>
      <c r="AP17" s="68">
        <f t="shared" si="2"/>
        <v>0.151</v>
      </c>
      <c r="AQ17" s="68">
        <f t="shared" si="2"/>
        <v>0.151</v>
      </c>
      <c r="AR17" s="68">
        <f t="shared" si="2"/>
        <v>0.151</v>
      </c>
      <c r="AS17" s="68">
        <f t="shared" si="2"/>
        <v>0.13300000000000001</v>
      </c>
      <c r="AT17" s="68">
        <f t="shared" si="2"/>
        <v>8.3458333333333343E-2</v>
      </c>
      <c r="AU17" s="68">
        <f t="shared" si="2"/>
        <v>0.12470833333333334</v>
      </c>
      <c r="AV17" s="68">
        <f t="shared" si="2"/>
        <v>0.200125</v>
      </c>
      <c r="AW17" s="68">
        <f t="shared" si="2"/>
        <v>0.18475</v>
      </c>
      <c r="AX17" s="68">
        <f t="shared" si="2"/>
        <v>0.14041666666666666</v>
      </c>
      <c r="AY17" s="68">
        <f t="shared" si="2"/>
        <v>7.0583333333333331E-2</v>
      </c>
      <c r="AZ17" s="68">
        <f t="shared" si="2"/>
        <v>0.105375</v>
      </c>
      <c r="BA17" s="68">
        <f t="shared" si="2"/>
        <v>8.8458333333333333E-2</v>
      </c>
      <c r="BB17" s="68">
        <f t="shared" si="3"/>
        <v>0.106875</v>
      </c>
      <c r="BC17" s="68">
        <f t="shared" si="3"/>
        <v>0.21587500000000001</v>
      </c>
      <c r="BD17" s="68">
        <f t="shared" si="3"/>
        <v>0</v>
      </c>
      <c r="BE17" s="68">
        <f t="shared" si="3"/>
        <v>0.10387500000000001</v>
      </c>
      <c r="BF17" s="68">
        <f t="shared" si="3"/>
        <v>0.15962500000000002</v>
      </c>
      <c r="BG17" s="68">
        <f t="shared" si="3"/>
        <v>0</v>
      </c>
      <c r="BH17" s="68">
        <f t="shared" si="3"/>
        <v>5.7041666666666671E-2</v>
      </c>
      <c r="BI17" s="68">
        <f t="shared" si="3"/>
        <v>0.19358333333333333</v>
      </c>
      <c r="BJ17" s="68">
        <f t="shared" si="3"/>
        <v>0.18862499999999999</v>
      </c>
      <c r="BK17" s="68">
        <f t="shared" si="3"/>
        <v>9.5625000000000002E-2</v>
      </c>
      <c r="BL17" s="68">
        <f t="shared" si="3"/>
        <v>1.8958333333333334E-2</v>
      </c>
      <c r="BM17" s="68">
        <f t="shared" si="3"/>
        <v>2.1374999999999998E-2</v>
      </c>
      <c r="BN17" s="68">
        <f t="shared" si="3"/>
        <v>6.2374999999999993E-2</v>
      </c>
      <c r="BO17" s="68">
        <f t="shared" si="3"/>
        <v>0.13733333333333334</v>
      </c>
      <c r="BP17" s="69">
        <f t="shared" si="3"/>
        <v>0.19879166666666667</v>
      </c>
      <c r="BQ17" s="70">
        <f t="shared" si="4"/>
        <v>0.12089784946236561</v>
      </c>
      <c r="BR17" s="76">
        <v>0.16900000000000001</v>
      </c>
      <c r="BS17" s="90">
        <f t="shared" si="10"/>
        <v>16.900000000000002</v>
      </c>
      <c r="BT17" s="73">
        <f t="shared" si="11"/>
        <v>-1.8000000000000016E-2</v>
      </c>
      <c r="BU17" s="74">
        <f t="shared" si="7"/>
        <v>-4.8102150537634406E-2</v>
      </c>
      <c r="BV17" s="15" t="s">
        <v>22</v>
      </c>
      <c r="BW17" s="3"/>
      <c r="BX17" s="2"/>
      <c r="BY17" s="2"/>
    </row>
    <row r="18" spans="2:77" x14ac:dyDescent="0.3">
      <c r="B18" s="763"/>
      <c r="C18" s="61" t="s">
        <v>23</v>
      </c>
      <c r="D18" s="62">
        <v>387.7</v>
      </c>
      <c r="E18" s="63">
        <v>332</v>
      </c>
      <c r="F18" s="81">
        <v>454.23</v>
      </c>
      <c r="G18" s="63">
        <v>505</v>
      </c>
      <c r="H18" s="63">
        <v>498.3</v>
      </c>
      <c r="I18" s="63">
        <v>487.5</v>
      </c>
      <c r="J18" s="63">
        <v>514.9</v>
      </c>
      <c r="K18" s="63">
        <v>317.8</v>
      </c>
      <c r="L18" s="63">
        <v>208.2</v>
      </c>
      <c r="M18" s="63">
        <v>306.60000000000002</v>
      </c>
      <c r="N18" s="63">
        <v>490.5</v>
      </c>
      <c r="O18" s="63">
        <v>448.6</v>
      </c>
      <c r="P18" s="63">
        <v>341.2</v>
      </c>
      <c r="Q18" s="63">
        <v>176.1</v>
      </c>
      <c r="R18" s="63">
        <v>271.39999999999998</v>
      </c>
      <c r="S18" s="63">
        <v>220.5</v>
      </c>
      <c r="T18" s="63">
        <v>273.5</v>
      </c>
      <c r="U18" s="15">
        <v>526.4</v>
      </c>
      <c r="V18" s="15">
        <v>497</v>
      </c>
      <c r="W18" s="15">
        <v>263.39999999999998</v>
      </c>
      <c r="X18" s="15">
        <v>396.2</v>
      </c>
      <c r="Y18" s="15">
        <v>533.5</v>
      </c>
      <c r="Z18" s="15">
        <v>528.5</v>
      </c>
      <c r="AA18" s="15">
        <v>473.5</v>
      </c>
      <c r="AB18" s="15">
        <v>461</v>
      </c>
      <c r="AC18" s="15">
        <v>233.6</v>
      </c>
      <c r="AD18" s="15">
        <v>46.4</v>
      </c>
      <c r="AE18" s="15">
        <v>51.9</v>
      </c>
      <c r="AF18" s="15">
        <v>153.30000000000001</v>
      </c>
      <c r="AG18" s="15">
        <v>338.9</v>
      </c>
      <c r="AH18" s="64">
        <v>477.6</v>
      </c>
      <c r="AI18" s="65">
        <f t="shared" si="0"/>
        <v>11215.229999999998</v>
      </c>
      <c r="AJ18" s="15">
        <v>100</v>
      </c>
      <c r="AK18" s="89">
        <f t="shared" si="9"/>
        <v>1.0514583333333334E-2</v>
      </c>
      <c r="AL18" s="67">
        <f t="shared" si="2"/>
        <v>0.16154166666666667</v>
      </c>
      <c r="AM18" s="68">
        <f t="shared" si="2"/>
        <v>0.13833333333333334</v>
      </c>
      <c r="AN18" s="68">
        <f t="shared" si="2"/>
        <v>0.1892625</v>
      </c>
      <c r="AO18" s="68">
        <f t="shared" si="2"/>
        <v>0.21041666666666667</v>
      </c>
      <c r="AP18" s="68">
        <f t="shared" si="2"/>
        <v>0.207625</v>
      </c>
      <c r="AQ18" s="68">
        <f t="shared" si="2"/>
        <v>0.203125</v>
      </c>
      <c r="AR18" s="68">
        <f t="shared" si="2"/>
        <v>0.21454166666666666</v>
      </c>
      <c r="AS18" s="68">
        <f t="shared" si="2"/>
        <v>0.13241666666666668</v>
      </c>
      <c r="AT18" s="68">
        <f t="shared" si="2"/>
        <v>8.6749999999999994E-2</v>
      </c>
      <c r="AU18" s="68">
        <f t="shared" si="2"/>
        <v>0.12775</v>
      </c>
      <c r="AV18" s="68">
        <f t="shared" si="2"/>
        <v>0.204375</v>
      </c>
      <c r="AW18" s="68">
        <f t="shared" si="2"/>
        <v>0.18691666666666668</v>
      </c>
      <c r="AX18" s="68">
        <f t="shared" si="2"/>
        <v>0.14216666666666666</v>
      </c>
      <c r="AY18" s="68">
        <f t="shared" si="2"/>
        <v>7.3374999999999996E-2</v>
      </c>
      <c r="AZ18" s="68">
        <f t="shared" si="2"/>
        <v>0.11308333333333333</v>
      </c>
      <c r="BA18" s="68">
        <f t="shared" si="2"/>
        <v>9.1874999999999998E-2</v>
      </c>
      <c r="BB18" s="68">
        <f t="shared" si="3"/>
        <v>0.11395833333333333</v>
      </c>
      <c r="BC18" s="68">
        <f t="shared" si="3"/>
        <v>0.21933333333333332</v>
      </c>
      <c r="BD18" s="68">
        <f t="shared" si="3"/>
        <v>0.20708333333333334</v>
      </c>
      <c r="BE18" s="68">
        <f t="shared" si="3"/>
        <v>0.10974999999999999</v>
      </c>
      <c r="BF18" s="68">
        <f t="shared" si="3"/>
        <v>0.16508333333333333</v>
      </c>
      <c r="BG18" s="68">
        <f t="shared" si="3"/>
        <v>0.22229166666666667</v>
      </c>
      <c r="BH18" s="68">
        <f t="shared" si="3"/>
        <v>0.22020833333333334</v>
      </c>
      <c r="BI18" s="68">
        <f t="shared" si="3"/>
        <v>0.19729166666666667</v>
      </c>
      <c r="BJ18" s="68">
        <f t="shared" si="3"/>
        <v>0.19208333333333333</v>
      </c>
      <c r="BK18" s="68">
        <f t="shared" si="3"/>
        <v>9.7333333333333327E-2</v>
      </c>
      <c r="BL18" s="68">
        <f t="shared" si="3"/>
        <v>1.9333333333333334E-2</v>
      </c>
      <c r="BM18" s="68">
        <f t="shared" si="3"/>
        <v>2.1624999999999998E-2</v>
      </c>
      <c r="BN18" s="68">
        <f t="shared" si="3"/>
        <v>6.3875000000000001E-2</v>
      </c>
      <c r="BO18" s="68">
        <f t="shared" si="3"/>
        <v>0.14120833333333332</v>
      </c>
      <c r="BP18" s="69">
        <f t="shared" si="3"/>
        <v>0.19900000000000001</v>
      </c>
      <c r="BQ18" s="70">
        <f t="shared" si="4"/>
        <v>0.15074233870967738</v>
      </c>
      <c r="BR18" s="76">
        <v>0.16900000000000001</v>
      </c>
      <c r="BS18" s="90">
        <f t="shared" si="10"/>
        <v>16.900000000000002</v>
      </c>
      <c r="BT18" s="73">
        <f t="shared" si="11"/>
        <v>2.0262499999999989E-2</v>
      </c>
      <c r="BU18" s="74">
        <f t="shared" si="7"/>
        <v>-1.8257661290322635E-2</v>
      </c>
      <c r="BV18" s="15" t="s">
        <v>23</v>
      </c>
      <c r="BW18" s="3"/>
      <c r="BX18" s="2"/>
      <c r="BY18" s="2"/>
    </row>
    <row r="19" spans="2:77" x14ac:dyDescent="0.3">
      <c r="B19" s="763"/>
      <c r="C19" s="61" t="s">
        <v>24</v>
      </c>
      <c r="D19" s="62">
        <v>231.7</v>
      </c>
      <c r="E19" s="63">
        <v>363.1</v>
      </c>
      <c r="F19" s="63">
        <v>411.3</v>
      </c>
      <c r="G19" s="63">
        <v>404.8</v>
      </c>
      <c r="H19" s="63">
        <v>399.5</v>
      </c>
      <c r="I19" s="63">
        <v>405.1</v>
      </c>
      <c r="J19" s="63">
        <v>413.9</v>
      </c>
      <c r="K19" s="63">
        <v>108.5</v>
      </c>
      <c r="L19" s="63">
        <v>169.1</v>
      </c>
      <c r="M19" s="63">
        <v>248.6</v>
      </c>
      <c r="N19" s="63">
        <v>402.9</v>
      </c>
      <c r="O19" s="63">
        <v>370.5</v>
      </c>
      <c r="P19" s="63">
        <v>291.39999999999998</v>
      </c>
      <c r="Q19" s="63">
        <v>142.30000000000001</v>
      </c>
      <c r="R19" s="63">
        <v>233</v>
      </c>
      <c r="S19" s="63">
        <v>178.4</v>
      </c>
      <c r="T19" s="63">
        <v>201.4</v>
      </c>
      <c r="U19" s="15">
        <v>416.9</v>
      </c>
      <c r="V19" s="15">
        <v>403.1</v>
      </c>
      <c r="W19" s="15">
        <v>216.8</v>
      </c>
      <c r="X19" s="15">
        <v>335.1</v>
      </c>
      <c r="Y19" s="15">
        <v>426.7</v>
      </c>
      <c r="Z19" s="15">
        <v>423.2</v>
      </c>
      <c r="AA19" s="15">
        <v>386.9</v>
      </c>
      <c r="AB19" s="15">
        <v>371.4</v>
      </c>
      <c r="AC19" s="15">
        <v>194.2</v>
      </c>
      <c r="AD19" s="15">
        <v>37.6</v>
      </c>
      <c r="AE19" s="15">
        <v>44.6</v>
      </c>
      <c r="AF19" s="15">
        <v>141.6</v>
      </c>
      <c r="AG19" s="15">
        <v>239.9</v>
      </c>
      <c r="AH19" s="64">
        <v>404.7</v>
      </c>
      <c r="AI19" s="65">
        <f t="shared" si="0"/>
        <v>9018.1999999999989</v>
      </c>
      <c r="AJ19" s="15">
        <v>80</v>
      </c>
      <c r="AK19" s="66">
        <f t="shared" si="9"/>
        <v>1.1901041666666667E-2</v>
      </c>
      <c r="AL19" s="67">
        <f t="shared" si="2"/>
        <v>0.12067708333333332</v>
      </c>
      <c r="AM19" s="68">
        <f t="shared" si="2"/>
        <v>0.18911458333333334</v>
      </c>
      <c r="AN19" s="68">
        <f t="shared" si="2"/>
        <v>0.21421875000000001</v>
      </c>
      <c r="AO19" s="68">
        <f t="shared" si="2"/>
        <v>0.21083333333333334</v>
      </c>
      <c r="AP19" s="68">
        <f t="shared" si="2"/>
        <v>0.20807291666666666</v>
      </c>
      <c r="AQ19" s="68">
        <f t="shared" si="2"/>
        <v>0.21098958333333334</v>
      </c>
      <c r="AR19" s="68">
        <f t="shared" si="2"/>
        <v>0.21557291666666664</v>
      </c>
      <c r="AS19" s="68">
        <f t="shared" si="2"/>
        <v>5.6510416666666667E-2</v>
      </c>
      <c r="AT19" s="68">
        <f t="shared" si="2"/>
        <v>8.8072916666666667E-2</v>
      </c>
      <c r="AU19" s="68">
        <f t="shared" si="2"/>
        <v>0.12947916666666667</v>
      </c>
      <c r="AV19" s="68">
        <f t="shared" si="2"/>
        <v>0.20984375</v>
      </c>
      <c r="AW19" s="68">
        <f t="shared" si="2"/>
        <v>0.19296874999999999</v>
      </c>
      <c r="AX19" s="68">
        <f t="shared" si="2"/>
        <v>0.15177083333333333</v>
      </c>
      <c r="AY19" s="68">
        <f t="shared" si="2"/>
        <v>7.4114583333333345E-2</v>
      </c>
      <c r="AZ19" s="68">
        <f t="shared" si="2"/>
        <v>0.12135416666666667</v>
      </c>
      <c r="BA19" s="68">
        <f t="shared" si="2"/>
        <v>9.2916666666666675E-2</v>
      </c>
      <c r="BB19" s="68">
        <f t="shared" si="3"/>
        <v>0.10489583333333334</v>
      </c>
      <c r="BC19" s="68">
        <f t="shared" si="3"/>
        <v>0.21713541666666666</v>
      </c>
      <c r="BD19" s="68">
        <f t="shared" si="3"/>
        <v>0.20994791666666668</v>
      </c>
      <c r="BE19" s="68">
        <f t="shared" si="3"/>
        <v>0.11291666666666668</v>
      </c>
      <c r="BF19" s="68">
        <f t="shared" si="3"/>
        <v>0.17453125</v>
      </c>
      <c r="BG19" s="68">
        <f t="shared" si="3"/>
        <v>0.22223958333333332</v>
      </c>
      <c r="BH19" s="68">
        <f t="shared" si="3"/>
        <v>0.22041666666666665</v>
      </c>
      <c r="BI19" s="68">
        <f t="shared" si="3"/>
        <v>0.20151041666666666</v>
      </c>
      <c r="BJ19" s="68">
        <f t="shared" si="3"/>
        <v>0.19343749999999998</v>
      </c>
      <c r="BK19" s="68">
        <f t="shared" si="3"/>
        <v>0.10114583333333332</v>
      </c>
      <c r="BL19" s="68">
        <f t="shared" si="3"/>
        <v>1.9583333333333335E-2</v>
      </c>
      <c r="BM19" s="68">
        <f t="shared" si="3"/>
        <v>2.3229166666666669E-2</v>
      </c>
      <c r="BN19" s="68">
        <f t="shared" si="3"/>
        <v>7.3749999999999996E-2</v>
      </c>
      <c r="BO19" s="68">
        <f t="shared" si="3"/>
        <v>0.12494791666666667</v>
      </c>
      <c r="BP19" s="69">
        <f t="shared" si="3"/>
        <v>0.21078125</v>
      </c>
      <c r="BQ19" s="70">
        <f t="shared" si="4"/>
        <v>0.15151545698924729</v>
      </c>
      <c r="BR19" s="71">
        <v>0.17799999999999999</v>
      </c>
      <c r="BS19" s="72">
        <f t="shared" si="10"/>
        <v>14.239999999999998</v>
      </c>
      <c r="BT19" s="73">
        <f t="shared" si="11"/>
        <v>3.6218750000000022E-2</v>
      </c>
      <c r="BU19" s="74">
        <f t="shared" si="7"/>
        <v>-2.6484543010752704E-2</v>
      </c>
      <c r="BV19" s="15" t="s">
        <v>24</v>
      </c>
      <c r="BW19" s="3"/>
      <c r="BX19" s="2"/>
      <c r="BY19" s="2"/>
    </row>
    <row r="20" spans="2:77" x14ac:dyDescent="0.3">
      <c r="B20" s="763"/>
      <c r="C20" s="61" t="s">
        <v>25</v>
      </c>
      <c r="D20" s="62">
        <v>278.7</v>
      </c>
      <c r="E20" s="63">
        <v>428.3</v>
      </c>
      <c r="F20" s="63">
        <v>532</v>
      </c>
      <c r="G20" s="63">
        <v>522.1</v>
      </c>
      <c r="H20" s="63">
        <v>515.1</v>
      </c>
      <c r="I20" s="63">
        <v>516.70000000000005</v>
      </c>
      <c r="J20" s="63">
        <v>532.1</v>
      </c>
      <c r="K20" s="63">
        <v>152.19999999999999</v>
      </c>
      <c r="L20" s="63">
        <v>214.4</v>
      </c>
      <c r="M20" s="63">
        <v>293.10000000000002</v>
      </c>
      <c r="N20" s="63">
        <v>514.20000000000005</v>
      </c>
      <c r="O20" s="63">
        <v>482.5</v>
      </c>
      <c r="P20" s="63">
        <v>391.7</v>
      </c>
      <c r="Q20" s="63">
        <v>180.6</v>
      </c>
      <c r="R20" s="63">
        <v>277.2</v>
      </c>
      <c r="S20" s="63">
        <v>224</v>
      </c>
      <c r="T20" s="63">
        <v>243.6</v>
      </c>
      <c r="U20" s="15">
        <v>531.70000000000005</v>
      </c>
      <c r="V20" s="15">
        <v>521.29999999999995</v>
      </c>
      <c r="W20" s="15">
        <v>283.89999999999998</v>
      </c>
      <c r="X20" s="15">
        <v>437.4</v>
      </c>
      <c r="Y20" s="15">
        <v>561.4</v>
      </c>
      <c r="Z20" s="15">
        <v>560.9</v>
      </c>
      <c r="AA20" s="15">
        <v>505</v>
      </c>
      <c r="AB20" s="15">
        <v>490.4</v>
      </c>
      <c r="AC20" s="15">
        <v>247</v>
      </c>
      <c r="AD20" s="15">
        <v>49.5</v>
      </c>
      <c r="AE20" s="15">
        <v>58.7</v>
      </c>
      <c r="AF20" s="15">
        <v>184.5</v>
      </c>
      <c r="AG20" s="15">
        <v>287.60000000000002</v>
      </c>
      <c r="AH20" s="64">
        <v>540</v>
      </c>
      <c r="AI20" s="65">
        <f t="shared" si="0"/>
        <v>11557.8</v>
      </c>
      <c r="AJ20" s="15">
        <v>100</v>
      </c>
      <c r="AK20" s="66">
        <f t="shared" si="9"/>
        <v>1.2314814814814815E-2</v>
      </c>
      <c r="AL20" s="67">
        <f t="shared" si="2"/>
        <v>0.11612499999999999</v>
      </c>
      <c r="AM20" s="68">
        <f t="shared" si="2"/>
        <v>0.17845833333333333</v>
      </c>
      <c r="AN20" s="68">
        <f t="shared" si="2"/>
        <v>0.22166666666666668</v>
      </c>
      <c r="AO20" s="68">
        <f t="shared" si="2"/>
        <v>0.21754166666666669</v>
      </c>
      <c r="AP20" s="68">
        <f t="shared" si="2"/>
        <v>0.21462500000000001</v>
      </c>
      <c r="AQ20" s="68">
        <f t="shared" si="2"/>
        <v>0.21529166666666669</v>
      </c>
      <c r="AR20" s="68">
        <f t="shared" si="2"/>
        <v>0.22170833333333334</v>
      </c>
      <c r="AS20" s="68">
        <f t="shared" si="2"/>
        <v>6.3416666666666663E-2</v>
      </c>
      <c r="AT20" s="68">
        <f t="shared" si="2"/>
        <v>8.9333333333333334E-2</v>
      </c>
      <c r="AU20" s="68">
        <f t="shared" si="2"/>
        <v>0.12212500000000001</v>
      </c>
      <c r="AV20" s="68">
        <f t="shared" si="2"/>
        <v>0.21425000000000002</v>
      </c>
      <c r="AW20" s="68">
        <f t="shared" si="2"/>
        <v>0.20104166666666667</v>
      </c>
      <c r="AX20" s="68">
        <f t="shared" si="2"/>
        <v>0.16320833333333332</v>
      </c>
      <c r="AY20" s="68">
        <f t="shared" si="2"/>
        <v>7.5249999999999997E-2</v>
      </c>
      <c r="AZ20" s="68">
        <f t="shared" si="2"/>
        <v>0.11549999999999999</v>
      </c>
      <c r="BA20" s="68">
        <f t="shared" ref="BA20:BP28" si="12">IF(OR(S20="",S20="Sem monitoramento"),"VAZIO",IFERROR(S20/($AJ20*24),"-"))</f>
        <v>9.3333333333333338E-2</v>
      </c>
      <c r="BB20" s="68">
        <f t="shared" si="3"/>
        <v>0.10149999999999999</v>
      </c>
      <c r="BC20" s="68">
        <f t="shared" si="3"/>
        <v>0.22154166666666669</v>
      </c>
      <c r="BD20" s="68">
        <f t="shared" si="3"/>
        <v>0.21720833333333331</v>
      </c>
      <c r="BE20" s="68">
        <f t="shared" si="3"/>
        <v>0.11829166666666666</v>
      </c>
      <c r="BF20" s="68">
        <f t="shared" si="3"/>
        <v>0.18225</v>
      </c>
      <c r="BG20" s="68">
        <f t="shared" si="3"/>
        <v>0.23391666666666666</v>
      </c>
      <c r="BH20" s="68">
        <f t="shared" si="3"/>
        <v>0.23370833333333332</v>
      </c>
      <c r="BI20" s="68">
        <f t="shared" si="3"/>
        <v>0.21041666666666667</v>
      </c>
      <c r="BJ20" s="68">
        <f t="shared" si="3"/>
        <v>0.20433333333333331</v>
      </c>
      <c r="BK20" s="68">
        <f t="shared" si="3"/>
        <v>0.10291666666666667</v>
      </c>
      <c r="BL20" s="68">
        <f t="shared" si="3"/>
        <v>2.0625000000000001E-2</v>
      </c>
      <c r="BM20" s="68">
        <f t="shared" si="3"/>
        <v>2.4458333333333335E-2</v>
      </c>
      <c r="BN20" s="68">
        <f t="shared" si="3"/>
        <v>7.6874999999999999E-2</v>
      </c>
      <c r="BO20" s="68">
        <f t="shared" si="3"/>
        <v>0.11983333333333335</v>
      </c>
      <c r="BP20" s="69">
        <f t="shared" si="3"/>
        <v>0.22500000000000001</v>
      </c>
      <c r="BQ20" s="70">
        <f t="shared" si="4"/>
        <v>0.15534677419354836</v>
      </c>
      <c r="BR20" s="76">
        <v>0.16900000000000001</v>
      </c>
      <c r="BS20" s="72">
        <f t="shared" si="10"/>
        <v>16.900000000000002</v>
      </c>
      <c r="BT20" s="73">
        <f t="shared" si="11"/>
        <v>5.2666666666666667E-2</v>
      </c>
      <c r="BU20" s="74">
        <f t="shared" si="7"/>
        <v>-1.3653225806451647E-2</v>
      </c>
      <c r="BV20" s="15" t="s">
        <v>25</v>
      </c>
      <c r="BW20" s="3"/>
      <c r="BX20" s="2"/>
      <c r="BY20" s="2"/>
    </row>
    <row r="21" spans="2:77" x14ac:dyDescent="0.3">
      <c r="B21" s="763"/>
      <c r="C21" s="61" t="s">
        <v>26</v>
      </c>
      <c r="D21" s="62">
        <v>224.1</v>
      </c>
      <c r="E21" s="63">
        <v>345.7</v>
      </c>
      <c r="F21" s="63">
        <v>422.4</v>
      </c>
      <c r="G21" s="63">
        <v>414.9</v>
      </c>
      <c r="H21" s="63">
        <v>407.1</v>
      </c>
      <c r="I21" s="63">
        <v>411.4</v>
      </c>
      <c r="J21" s="63">
        <v>418.5</v>
      </c>
      <c r="K21" s="63">
        <v>124.5</v>
      </c>
      <c r="L21" s="63">
        <v>175.3</v>
      </c>
      <c r="M21" s="63">
        <v>237.2</v>
      </c>
      <c r="N21" s="63">
        <v>414.7</v>
      </c>
      <c r="O21" s="63">
        <v>387.6</v>
      </c>
      <c r="P21" s="63">
        <v>322.39999999999998</v>
      </c>
      <c r="Q21" s="63">
        <v>148.1</v>
      </c>
      <c r="R21" s="63">
        <v>223.9</v>
      </c>
      <c r="S21" s="63">
        <v>180.9</v>
      </c>
      <c r="T21" s="63">
        <v>188.4</v>
      </c>
      <c r="U21" s="15">
        <v>432.3</v>
      </c>
      <c r="V21" s="15">
        <v>426</v>
      </c>
      <c r="W21" s="15">
        <v>238.6</v>
      </c>
      <c r="X21" s="15">
        <v>360.6</v>
      </c>
      <c r="Y21" s="15">
        <v>452</v>
      </c>
      <c r="Z21" s="15">
        <v>449.8</v>
      </c>
      <c r="AA21" s="15">
        <v>408.6</v>
      </c>
      <c r="AB21" s="15">
        <v>390.5</v>
      </c>
      <c r="AC21" s="15">
        <v>198.2</v>
      </c>
      <c r="AD21" s="15">
        <v>38.700000000000003</v>
      </c>
      <c r="AE21" s="15">
        <v>45.8</v>
      </c>
      <c r="AF21" s="15">
        <v>143.69999999999999</v>
      </c>
      <c r="AG21" s="15">
        <v>223.4</v>
      </c>
      <c r="AH21" s="64">
        <v>449.6</v>
      </c>
      <c r="AI21" s="65">
        <f t="shared" si="0"/>
        <v>9304.9000000000015</v>
      </c>
      <c r="AJ21" s="15">
        <v>100</v>
      </c>
      <c r="AK21" s="66">
        <f t="shared" si="9"/>
        <v>9.7777777777777776E-3</v>
      </c>
      <c r="AL21" s="67">
        <f t="shared" ref="AL21:AZ28" si="13">IF(OR(D21="",D21="Sem monitoramento"),"VAZIO",IFERROR(D21/($AJ21*24),"-"))</f>
        <v>9.3375E-2</v>
      </c>
      <c r="AM21" s="68">
        <f t="shared" si="13"/>
        <v>0.14404166666666665</v>
      </c>
      <c r="AN21" s="68">
        <f t="shared" si="13"/>
        <v>0.17599999999999999</v>
      </c>
      <c r="AO21" s="68">
        <f t="shared" si="13"/>
        <v>0.172875</v>
      </c>
      <c r="AP21" s="68">
        <f t="shared" si="13"/>
        <v>0.169625</v>
      </c>
      <c r="AQ21" s="68">
        <f t="shared" si="13"/>
        <v>0.17141666666666666</v>
      </c>
      <c r="AR21" s="68">
        <f t="shared" si="13"/>
        <v>0.174375</v>
      </c>
      <c r="AS21" s="68">
        <f t="shared" si="13"/>
        <v>5.1874999999999998E-2</v>
      </c>
      <c r="AT21" s="68">
        <f t="shared" si="13"/>
        <v>7.3041666666666671E-2</v>
      </c>
      <c r="AU21" s="68">
        <f t="shared" si="13"/>
        <v>9.8833333333333329E-2</v>
      </c>
      <c r="AV21" s="68">
        <f t="shared" si="13"/>
        <v>0.17279166666666665</v>
      </c>
      <c r="AW21" s="68">
        <f t="shared" si="13"/>
        <v>0.1615</v>
      </c>
      <c r="AX21" s="68">
        <f t="shared" si="13"/>
        <v>0.13433333333333333</v>
      </c>
      <c r="AY21" s="68">
        <f t="shared" si="13"/>
        <v>6.170833333333333E-2</v>
      </c>
      <c r="AZ21" s="68">
        <f t="shared" si="13"/>
        <v>9.3291666666666676E-2</v>
      </c>
      <c r="BA21" s="68">
        <f t="shared" si="12"/>
        <v>7.5374999999999998E-2</v>
      </c>
      <c r="BB21" s="68">
        <f t="shared" si="3"/>
        <v>7.85E-2</v>
      </c>
      <c r="BC21" s="68">
        <f t="shared" si="3"/>
        <v>0.18012500000000001</v>
      </c>
      <c r="BD21" s="68">
        <f t="shared" si="3"/>
        <v>0.17749999999999999</v>
      </c>
      <c r="BE21" s="68">
        <f t="shared" si="3"/>
        <v>9.9416666666666667E-2</v>
      </c>
      <c r="BF21" s="68">
        <f t="shared" si="3"/>
        <v>0.15025000000000002</v>
      </c>
      <c r="BG21" s="68">
        <f t="shared" si="3"/>
        <v>0.18833333333333332</v>
      </c>
      <c r="BH21" s="68">
        <f t="shared" si="3"/>
        <v>0.18741666666666668</v>
      </c>
      <c r="BI21" s="68">
        <f t="shared" si="3"/>
        <v>0.17025000000000001</v>
      </c>
      <c r="BJ21" s="68">
        <f t="shared" si="3"/>
        <v>0.16270833333333334</v>
      </c>
      <c r="BK21" s="68">
        <f t="shared" si="3"/>
        <v>8.2583333333333328E-2</v>
      </c>
      <c r="BL21" s="68">
        <f t="shared" si="3"/>
        <v>1.6125E-2</v>
      </c>
      <c r="BM21" s="68">
        <f t="shared" si="3"/>
        <v>1.9083333333333331E-2</v>
      </c>
      <c r="BN21" s="68">
        <f t="shared" si="3"/>
        <v>5.9874999999999998E-2</v>
      </c>
      <c r="BO21" s="68">
        <f t="shared" si="3"/>
        <v>9.3083333333333337E-2</v>
      </c>
      <c r="BP21" s="69">
        <f t="shared" si="3"/>
        <v>0.18733333333333335</v>
      </c>
      <c r="BQ21" s="70">
        <f t="shared" si="4"/>
        <v>0.12506586021505378</v>
      </c>
      <c r="BR21" s="76">
        <v>0.16900000000000001</v>
      </c>
      <c r="BS21" s="72">
        <f t="shared" si="10"/>
        <v>16.900000000000002</v>
      </c>
      <c r="BT21" s="73">
        <f t="shared" si="11"/>
        <v>6.9999999999999785E-3</v>
      </c>
      <c r="BU21" s="74">
        <f t="shared" si="7"/>
        <v>-4.393413978494623E-2</v>
      </c>
      <c r="BV21" s="15" t="s">
        <v>26</v>
      </c>
      <c r="BW21" s="3"/>
      <c r="BX21" s="2"/>
      <c r="BY21" s="2"/>
    </row>
    <row r="22" spans="2:77" x14ac:dyDescent="0.3">
      <c r="B22" s="763"/>
      <c r="C22" s="61" t="s">
        <v>27</v>
      </c>
      <c r="D22" s="62">
        <v>476.4</v>
      </c>
      <c r="E22" s="63">
        <v>516.4</v>
      </c>
      <c r="F22" s="63">
        <v>503.1</v>
      </c>
      <c r="G22" s="63">
        <v>449.8</v>
      </c>
      <c r="H22" s="63">
        <v>465.3</v>
      </c>
      <c r="I22" s="63">
        <v>500.6</v>
      </c>
      <c r="J22" s="63">
        <v>503.3</v>
      </c>
      <c r="K22" s="63">
        <v>89.9</v>
      </c>
      <c r="L22" s="63">
        <v>178.8</v>
      </c>
      <c r="M22" s="63">
        <v>448.1</v>
      </c>
      <c r="N22" s="63">
        <v>498.2</v>
      </c>
      <c r="O22" s="63">
        <v>406.8</v>
      </c>
      <c r="P22" s="63">
        <v>169.3</v>
      </c>
      <c r="Q22" s="63">
        <v>128.5</v>
      </c>
      <c r="R22" s="63">
        <v>289.3</v>
      </c>
      <c r="S22" s="63">
        <v>339.1</v>
      </c>
      <c r="T22" s="63">
        <v>435.3</v>
      </c>
      <c r="U22" s="15">
        <v>482.8</v>
      </c>
      <c r="V22" s="15">
        <v>450.5</v>
      </c>
      <c r="W22" s="15">
        <v>130.1</v>
      </c>
      <c r="X22" s="15">
        <v>451.9</v>
      </c>
      <c r="Y22" s="15">
        <v>526.20000000000005</v>
      </c>
      <c r="Z22" s="15">
        <v>517</v>
      </c>
      <c r="AA22" s="15">
        <v>460.8</v>
      </c>
      <c r="AB22" s="15">
        <v>340</v>
      </c>
      <c r="AC22" s="15">
        <v>75</v>
      </c>
      <c r="AD22" s="15">
        <v>70</v>
      </c>
      <c r="AE22" s="15"/>
      <c r="AF22" s="15">
        <v>182.9</v>
      </c>
      <c r="AG22" s="15">
        <v>331.1</v>
      </c>
      <c r="AH22" s="64">
        <v>388.6</v>
      </c>
      <c r="AI22" s="65">
        <f t="shared" si="0"/>
        <v>10805.100000000002</v>
      </c>
      <c r="AJ22" s="15">
        <v>100</v>
      </c>
      <c r="AK22" s="66">
        <f t="shared" si="9"/>
        <v>1.1645833333333334E-2</v>
      </c>
      <c r="AL22" s="67">
        <f t="shared" si="13"/>
        <v>0.19849999999999998</v>
      </c>
      <c r="AM22" s="68">
        <f t="shared" si="13"/>
        <v>0.21516666666666664</v>
      </c>
      <c r="AN22" s="68">
        <f t="shared" si="13"/>
        <v>0.20962500000000001</v>
      </c>
      <c r="AO22" s="68">
        <f t="shared" si="13"/>
        <v>0.18741666666666668</v>
      </c>
      <c r="AP22" s="68">
        <f t="shared" si="13"/>
        <v>0.19387499999999999</v>
      </c>
      <c r="AQ22" s="68">
        <f t="shared" si="13"/>
        <v>0.20858333333333334</v>
      </c>
      <c r="AR22" s="68">
        <f t="shared" si="13"/>
        <v>0.20970833333333333</v>
      </c>
      <c r="AS22" s="68">
        <f t="shared" si="13"/>
        <v>3.7458333333333337E-2</v>
      </c>
      <c r="AT22" s="68">
        <f t="shared" si="13"/>
        <v>7.4500000000000011E-2</v>
      </c>
      <c r="AU22" s="68">
        <f t="shared" si="13"/>
        <v>0.18670833333333334</v>
      </c>
      <c r="AV22" s="68">
        <f t="shared" si="13"/>
        <v>0.20758333333333334</v>
      </c>
      <c r="AW22" s="68">
        <f t="shared" si="13"/>
        <v>0.16950000000000001</v>
      </c>
      <c r="AX22" s="68">
        <f t="shared" si="13"/>
        <v>7.0541666666666669E-2</v>
      </c>
      <c r="AY22" s="68">
        <f t="shared" si="13"/>
        <v>5.3541666666666668E-2</v>
      </c>
      <c r="AZ22" s="68">
        <f t="shared" si="13"/>
        <v>0.12054166666666667</v>
      </c>
      <c r="BA22" s="68">
        <f t="shared" si="12"/>
        <v>0.14129166666666668</v>
      </c>
      <c r="BB22" s="68">
        <f t="shared" si="12"/>
        <v>0.18137500000000001</v>
      </c>
      <c r="BC22" s="68">
        <f t="shared" si="12"/>
        <v>0.20116666666666666</v>
      </c>
      <c r="BD22" s="68">
        <f t="shared" si="12"/>
        <v>0.18770833333333334</v>
      </c>
      <c r="BE22" s="68">
        <f t="shared" si="12"/>
        <v>5.4208333333333331E-2</v>
      </c>
      <c r="BF22" s="68">
        <f t="shared" si="12"/>
        <v>0.18829166666666666</v>
      </c>
      <c r="BG22" s="68">
        <f t="shared" si="12"/>
        <v>0.21925000000000003</v>
      </c>
      <c r="BH22" s="68">
        <f t="shared" si="12"/>
        <v>0.21541666666666667</v>
      </c>
      <c r="BI22" s="68">
        <f t="shared" si="12"/>
        <v>0.192</v>
      </c>
      <c r="BJ22" s="68">
        <f t="shared" si="12"/>
        <v>0.14166666666666666</v>
      </c>
      <c r="BK22" s="68">
        <f t="shared" si="12"/>
        <v>3.125E-2</v>
      </c>
      <c r="BL22" s="68">
        <f t="shared" si="12"/>
        <v>2.9166666666666667E-2</v>
      </c>
      <c r="BM22" s="68" t="str">
        <f t="shared" si="12"/>
        <v>VAZIO</v>
      </c>
      <c r="BN22" s="68">
        <f t="shared" si="12"/>
        <v>7.6208333333333336E-2</v>
      </c>
      <c r="BO22" s="68">
        <f t="shared" si="12"/>
        <v>0.13795833333333335</v>
      </c>
      <c r="BP22" s="69">
        <f t="shared" si="12"/>
        <v>0.16191666666666668</v>
      </c>
      <c r="BQ22" s="70">
        <f t="shared" si="4"/>
        <v>0.15007083333333338</v>
      </c>
      <c r="BR22" s="76">
        <v>0.16900000000000001</v>
      </c>
      <c r="BS22" s="72">
        <f t="shared" si="10"/>
        <v>16.900000000000002</v>
      </c>
      <c r="BT22" s="73">
        <f t="shared" si="11"/>
        <v>4.0624999999999994E-2</v>
      </c>
      <c r="BU22" s="74">
        <f t="shared" si="7"/>
        <v>-1.8929166666666636E-2</v>
      </c>
      <c r="BV22" s="15" t="s">
        <v>27</v>
      </c>
      <c r="BW22" s="3"/>
      <c r="BX22" s="2"/>
      <c r="BY22" s="2"/>
    </row>
    <row r="23" spans="2:77" x14ac:dyDescent="0.3">
      <c r="B23" s="763"/>
      <c r="C23" s="61" t="s">
        <v>28</v>
      </c>
      <c r="D23" s="62">
        <v>291.29000000000002</v>
      </c>
      <c r="E23" s="63">
        <v>385.16</v>
      </c>
      <c r="F23" s="63">
        <v>448.01</v>
      </c>
      <c r="G23" s="63">
        <v>442.3</v>
      </c>
      <c r="H23" s="63">
        <v>431.51</v>
      </c>
      <c r="I23" s="63">
        <v>431.51</v>
      </c>
      <c r="J23" s="63">
        <v>445.31</v>
      </c>
      <c r="K23" s="63">
        <v>373.95</v>
      </c>
      <c r="L23" s="63">
        <v>168.68</v>
      </c>
      <c r="M23" s="63">
        <v>267.87</v>
      </c>
      <c r="N23" s="63">
        <v>436.65</v>
      </c>
      <c r="O23" s="63">
        <v>373.2</v>
      </c>
      <c r="P23" s="63">
        <v>288.44</v>
      </c>
      <c r="Q23" s="63">
        <v>84.11</v>
      </c>
      <c r="R23" s="63"/>
      <c r="S23" s="63"/>
      <c r="T23" s="63"/>
      <c r="U23" s="15"/>
      <c r="V23" s="15"/>
      <c r="W23" s="15"/>
      <c r="X23" s="15"/>
      <c r="Y23" s="15">
        <v>0</v>
      </c>
      <c r="Z23" s="15">
        <v>0</v>
      </c>
      <c r="AA23" s="15">
        <v>0</v>
      </c>
      <c r="AB23" s="15">
        <v>0</v>
      </c>
      <c r="AC23" s="15">
        <v>15.3</v>
      </c>
      <c r="AD23" s="15">
        <v>9.7200000000000006</v>
      </c>
      <c r="AE23" s="15">
        <v>11.47</v>
      </c>
      <c r="AF23" s="15">
        <v>28.6</v>
      </c>
      <c r="AG23" s="15">
        <v>82</v>
      </c>
      <c r="AH23" s="64">
        <v>98.5</v>
      </c>
      <c r="AI23" s="65">
        <f t="shared" si="0"/>
        <v>5113.579999999999</v>
      </c>
      <c r="AJ23" s="15">
        <v>100</v>
      </c>
      <c r="AK23" s="66">
        <f t="shared" si="9"/>
        <v>1.0370601851851851E-2</v>
      </c>
      <c r="AL23" s="67">
        <f t="shared" si="13"/>
        <v>0.12137083333333334</v>
      </c>
      <c r="AM23" s="68">
        <f t="shared" si="13"/>
        <v>0.16048333333333334</v>
      </c>
      <c r="AN23" s="68">
        <f t="shared" si="13"/>
        <v>0.18667083333333334</v>
      </c>
      <c r="AO23" s="68">
        <f t="shared" si="13"/>
        <v>0.18429166666666666</v>
      </c>
      <c r="AP23" s="68">
        <f t="shared" si="13"/>
        <v>0.17979583333333332</v>
      </c>
      <c r="AQ23" s="68">
        <f t="shared" si="13"/>
        <v>0.17979583333333332</v>
      </c>
      <c r="AR23" s="68">
        <f t="shared" si="13"/>
        <v>0.18554583333333333</v>
      </c>
      <c r="AS23" s="68">
        <f t="shared" si="13"/>
        <v>0.15581249999999999</v>
      </c>
      <c r="AT23" s="68">
        <f t="shared" si="13"/>
        <v>7.0283333333333337E-2</v>
      </c>
      <c r="AU23" s="68">
        <f t="shared" si="13"/>
        <v>0.1116125</v>
      </c>
      <c r="AV23" s="68">
        <f t="shared" si="13"/>
        <v>0.1819375</v>
      </c>
      <c r="AW23" s="68">
        <f t="shared" si="13"/>
        <v>0.1555</v>
      </c>
      <c r="AX23" s="68">
        <f t="shared" si="13"/>
        <v>0.12018333333333334</v>
      </c>
      <c r="AY23" s="68">
        <f t="shared" si="13"/>
        <v>3.5045833333333332E-2</v>
      </c>
      <c r="AZ23" s="68" t="str">
        <f t="shared" si="13"/>
        <v>VAZIO</v>
      </c>
      <c r="BA23" s="68" t="str">
        <f t="shared" si="12"/>
        <v>VAZIO</v>
      </c>
      <c r="BB23" s="68" t="str">
        <f t="shared" si="12"/>
        <v>VAZIO</v>
      </c>
      <c r="BC23" s="68" t="str">
        <f t="shared" si="12"/>
        <v>VAZIO</v>
      </c>
      <c r="BD23" s="68" t="str">
        <f t="shared" si="12"/>
        <v>VAZIO</v>
      </c>
      <c r="BE23" s="68" t="str">
        <f t="shared" si="12"/>
        <v>VAZIO</v>
      </c>
      <c r="BF23" s="68" t="str">
        <f t="shared" si="12"/>
        <v>VAZIO</v>
      </c>
      <c r="BG23" s="68">
        <f t="shared" si="12"/>
        <v>0</v>
      </c>
      <c r="BH23" s="68">
        <f t="shared" si="12"/>
        <v>0</v>
      </c>
      <c r="BI23" s="68">
        <f t="shared" si="12"/>
        <v>0</v>
      </c>
      <c r="BJ23" s="68">
        <f t="shared" si="12"/>
        <v>0</v>
      </c>
      <c r="BK23" s="68">
        <f t="shared" si="12"/>
        <v>6.3750000000000005E-3</v>
      </c>
      <c r="BL23" s="68">
        <f t="shared" si="12"/>
        <v>4.0500000000000006E-3</v>
      </c>
      <c r="BM23" s="68">
        <f t="shared" si="12"/>
        <v>4.7791666666666668E-3</v>
      </c>
      <c r="BN23" s="68">
        <f t="shared" si="12"/>
        <v>1.1916666666666667E-2</v>
      </c>
      <c r="BO23" s="68">
        <f t="shared" si="12"/>
        <v>3.4166666666666665E-2</v>
      </c>
      <c r="BP23" s="69">
        <f t="shared" si="12"/>
        <v>4.1041666666666664E-2</v>
      </c>
      <c r="BQ23" s="70">
        <f t="shared" si="4"/>
        <v>8.8777430555555537E-2</v>
      </c>
      <c r="BR23" s="76">
        <v>0.16900000000000001</v>
      </c>
      <c r="BS23" s="72">
        <f t="shared" si="10"/>
        <v>16.900000000000002</v>
      </c>
      <c r="BT23" s="73">
        <f t="shared" si="11"/>
        <v>1.767083333333333E-2</v>
      </c>
      <c r="BU23" s="74">
        <f t="shared" si="7"/>
        <v>-8.0222569444444475E-2</v>
      </c>
      <c r="BV23" s="15" t="s">
        <v>28</v>
      </c>
      <c r="BW23" s="3"/>
      <c r="BX23" s="2"/>
      <c r="BY23" s="2"/>
    </row>
    <row r="24" spans="2:77" x14ac:dyDescent="0.3">
      <c r="B24" s="763"/>
      <c r="C24" s="61" t="s">
        <v>29</v>
      </c>
      <c r="D24" s="62">
        <v>335.1</v>
      </c>
      <c r="E24" s="63">
        <v>442.5</v>
      </c>
      <c r="F24" s="63">
        <v>528</v>
      </c>
      <c r="G24" s="63">
        <v>522</v>
      </c>
      <c r="H24" s="63">
        <v>510.4</v>
      </c>
      <c r="I24" s="91">
        <v>477.4</v>
      </c>
      <c r="J24" s="63">
        <v>526.4</v>
      </c>
      <c r="K24" s="63">
        <v>441</v>
      </c>
      <c r="L24" s="63">
        <v>202.4</v>
      </c>
      <c r="M24" s="63">
        <v>308.3</v>
      </c>
      <c r="N24" s="63">
        <v>518.6</v>
      </c>
      <c r="O24" s="63">
        <v>444.8</v>
      </c>
      <c r="P24" s="63">
        <v>346.4</v>
      </c>
      <c r="Q24" s="63">
        <v>157.80000000000001</v>
      </c>
      <c r="R24" s="63">
        <v>268.2</v>
      </c>
      <c r="S24" s="63">
        <v>262.89999999999998</v>
      </c>
      <c r="T24" s="63">
        <v>264.10000000000002</v>
      </c>
      <c r="U24" s="15">
        <v>519.79999999999995</v>
      </c>
      <c r="V24" s="15">
        <v>477</v>
      </c>
      <c r="W24" s="15">
        <v>198</v>
      </c>
      <c r="X24" s="15">
        <v>421.4</v>
      </c>
      <c r="Y24" s="15">
        <v>549.4</v>
      </c>
      <c r="Z24" s="15">
        <v>543.29999999999995</v>
      </c>
      <c r="AA24" s="15">
        <v>467.7</v>
      </c>
      <c r="AB24" s="15">
        <v>427.1</v>
      </c>
      <c r="AC24" s="15">
        <v>136.5</v>
      </c>
      <c r="AD24" s="15">
        <v>56</v>
      </c>
      <c r="AE24" s="15">
        <v>64.8</v>
      </c>
      <c r="AF24" s="15">
        <v>148.19999999999999</v>
      </c>
      <c r="AG24" s="15">
        <v>385.6</v>
      </c>
      <c r="AH24" s="64">
        <v>471.9</v>
      </c>
      <c r="AI24" s="65">
        <f t="shared" si="0"/>
        <v>11423</v>
      </c>
      <c r="AJ24" s="15">
        <v>100</v>
      </c>
      <c r="AK24" s="66">
        <f t="shared" si="9"/>
        <v>1.2222222222222223E-2</v>
      </c>
      <c r="AL24" s="67">
        <f t="shared" si="13"/>
        <v>0.139625</v>
      </c>
      <c r="AM24" s="68">
        <f t="shared" si="13"/>
        <v>0.18437500000000001</v>
      </c>
      <c r="AN24" s="68">
        <f t="shared" si="13"/>
        <v>0.22</v>
      </c>
      <c r="AO24" s="68">
        <f t="shared" si="13"/>
        <v>0.2175</v>
      </c>
      <c r="AP24" s="68">
        <f t="shared" si="13"/>
        <v>0.21266666666666667</v>
      </c>
      <c r="AQ24" s="68">
        <f t="shared" si="13"/>
        <v>0.19891666666666666</v>
      </c>
      <c r="AR24" s="68">
        <f t="shared" si="13"/>
        <v>0.21933333333333332</v>
      </c>
      <c r="AS24" s="68">
        <f t="shared" si="13"/>
        <v>0.18375</v>
      </c>
      <c r="AT24" s="68">
        <f t="shared" si="13"/>
        <v>8.433333333333333E-2</v>
      </c>
      <c r="AU24" s="68">
        <f t="shared" si="13"/>
        <v>0.12845833333333334</v>
      </c>
      <c r="AV24" s="68">
        <f t="shared" si="13"/>
        <v>0.21608333333333335</v>
      </c>
      <c r="AW24" s="68">
        <f t="shared" si="13"/>
        <v>0.18533333333333335</v>
      </c>
      <c r="AX24" s="68">
        <f t="shared" si="13"/>
        <v>0.14433333333333331</v>
      </c>
      <c r="AY24" s="68">
        <f t="shared" si="13"/>
        <v>6.5750000000000003E-2</v>
      </c>
      <c r="AZ24" s="68">
        <f t="shared" si="13"/>
        <v>0.11175</v>
      </c>
      <c r="BA24" s="68">
        <f t="shared" si="12"/>
        <v>0.10954166666666666</v>
      </c>
      <c r="BB24" s="68">
        <f t="shared" si="12"/>
        <v>0.11004166666666668</v>
      </c>
      <c r="BC24" s="68">
        <f t="shared" si="12"/>
        <v>0.21658333333333332</v>
      </c>
      <c r="BD24" s="68">
        <f t="shared" si="12"/>
        <v>0.19875000000000001</v>
      </c>
      <c r="BE24" s="68">
        <f t="shared" si="12"/>
        <v>8.2500000000000004E-2</v>
      </c>
      <c r="BF24" s="68">
        <f t="shared" si="12"/>
        <v>0.17558333333333331</v>
      </c>
      <c r="BG24" s="68">
        <f t="shared" si="12"/>
        <v>0.22891666666666666</v>
      </c>
      <c r="BH24" s="68">
        <f t="shared" si="12"/>
        <v>0.22637499999999999</v>
      </c>
      <c r="BI24" s="68">
        <f t="shared" si="12"/>
        <v>0.19487499999999999</v>
      </c>
      <c r="BJ24" s="68">
        <f t="shared" si="12"/>
        <v>0.17795833333333333</v>
      </c>
      <c r="BK24" s="68">
        <f t="shared" si="12"/>
        <v>5.6875000000000002E-2</v>
      </c>
      <c r="BL24" s="68">
        <f t="shared" si="12"/>
        <v>2.3333333333333334E-2</v>
      </c>
      <c r="BM24" s="68">
        <f t="shared" si="12"/>
        <v>2.7E-2</v>
      </c>
      <c r="BN24" s="68">
        <f t="shared" si="12"/>
        <v>6.1749999999999992E-2</v>
      </c>
      <c r="BO24" s="68">
        <f t="shared" si="12"/>
        <v>0.16066666666666668</v>
      </c>
      <c r="BP24" s="69">
        <f t="shared" si="12"/>
        <v>0.19662499999999999</v>
      </c>
      <c r="BQ24" s="70">
        <f t="shared" si="4"/>
        <v>0.15353494623655914</v>
      </c>
      <c r="BR24" s="76">
        <v>0.16900000000000001</v>
      </c>
      <c r="BS24" s="72">
        <f t="shared" si="10"/>
        <v>16.900000000000002</v>
      </c>
      <c r="BT24" s="73">
        <f t="shared" si="11"/>
        <v>5.099999999999999E-2</v>
      </c>
      <c r="BU24" s="74">
        <f t="shared" si="7"/>
        <v>-1.5465053763440872E-2</v>
      </c>
      <c r="BV24" s="15" t="s">
        <v>29</v>
      </c>
      <c r="BW24" s="3"/>
      <c r="BX24" s="2"/>
      <c r="BY24" s="2"/>
    </row>
    <row r="25" spans="2:77" x14ac:dyDescent="0.3">
      <c r="B25" s="763"/>
      <c r="C25" s="61" t="s">
        <v>30</v>
      </c>
      <c r="D25" s="62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>
        <v>439.9</v>
      </c>
      <c r="S25" s="63">
        <v>719</v>
      </c>
      <c r="T25" s="63">
        <v>890</v>
      </c>
      <c r="U25" s="15">
        <v>1460</v>
      </c>
      <c r="V25" s="15">
        <v>1750</v>
      </c>
      <c r="W25" s="15">
        <v>724.9</v>
      </c>
      <c r="X25" s="15">
        <v>1370</v>
      </c>
      <c r="Y25" s="15">
        <v>1510</v>
      </c>
      <c r="Z25" s="15">
        <v>1840</v>
      </c>
      <c r="AA25" s="15">
        <v>1650</v>
      </c>
      <c r="AB25" s="15">
        <v>1570</v>
      </c>
      <c r="AC25" s="15">
        <v>245.8</v>
      </c>
      <c r="AD25" s="15">
        <v>151.80000000000001</v>
      </c>
      <c r="AE25" s="15">
        <v>176.3</v>
      </c>
      <c r="AF25" s="15">
        <v>401.9</v>
      </c>
      <c r="AG25" s="15">
        <v>1070</v>
      </c>
      <c r="AH25" s="64">
        <v>1290</v>
      </c>
      <c r="AI25" s="65">
        <f t="shared" si="0"/>
        <v>17259.599999999999</v>
      </c>
      <c r="AJ25" s="15">
        <v>360</v>
      </c>
      <c r="AK25" s="66"/>
      <c r="AL25" s="67" t="str">
        <f t="shared" si="13"/>
        <v>VAZIO</v>
      </c>
      <c r="AM25" s="68" t="str">
        <f t="shared" si="13"/>
        <v>VAZIO</v>
      </c>
      <c r="AN25" s="68" t="str">
        <f t="shared" si="13"/>
        <v>VAZIO</v>
      </c>
      <c r="AO25" s="68" t="str">
        <f t="shared" si="13"/>
        <v>VAZIO</v>
      </c>
      <c r="AP25" s="68" t="str">
        <f t="shared" si="13"/>
        <v>VAZIO</v>
      </c>
      <c r="AQ25" s="68" t="str">
        <f t="shared" si="13"/>
        <v>VAZIO</v>
      </c>
      <c r="AR25" s="68" t="str">
        <f t="shared" si="13"/>
        <v>VAZIO</v>
      </c>
      <c r="AS25" s="68" t="str">
        <f t="shared" si="13"/>
        <v>VAZIO</v>
      </c>
      <c r="AT25" s="68" t="str">
        <f t="shared" si="13"/>
        <v>VAZIO</v>
      </c>
      <c r="AU25" s="68" t="str">
        <f t="shared" si="13"/>
        <v>VAZIO</v>
      </c>
      <c r="AV25" s="68" t="str">
        <f t="shared" si="13"/>
        <v>VAZIO</v>
      </c>
      <c r="AW25" s="68" t="str">
        <f t="shared" si="13"/>
        <v>VAZIO</v>
      </c>
      <c r="AX25" s="68" t="str">
        <f t="shared" si="13"/>
        <v>VAZIO</v>
      </c>
      <c r="AY25" s="68" t="str">
        <f t="shared" si="13"/>
        <v>VAZIO</v>
      </c>
      <c r="AZ25" s="68">
        <f t="shared" si="13"/>
        <v>5.091435185185185E-2</v>
      </c>
      <c r="BA25" s="68">
        <f t="shared" si="12"/>
        <v>8.3217592592592593E-2</v>
      </c>
      <c r="BB25" s="68">
        <f t="shared" si="12"/>
        <v>0.10300925925925926</v>
      </c>
      <c r="BC25" s="68">
        <f t="shared" si="12"/>
        <v>0.16898148148148148</v>
      </c>
      <c r="BD25" s="68">
        <f t="shared" si="12"/>
        <v>0.20254629629629631</v>
      </c>
      <c r="BE25" s="68">
        <f t="shared" si="12"/>
        <v>8.3900462962962954E-2</v>
      </c>
      <c r="BF25" s="68">
        <f t="shared" si="12"/>
        <v>0.15856481481481483</v>
      </c>
      <c r="BG25" s="68">
        <f t="shared" si="12"/>
        <v>0.17476851851851852</v>
      </c>
      <c r="BH25" s="68">
        <f t="shared" si="12"/>
        <v>0.21296296296296297</v>
      </c>
      <c r="BI25" s="68">
        <f t="shared" si="12"/>
        <v>0.19097222222222221</v>
      </c>
      <c r="BJ25" s="68">
        <f t="shared" si="12"/>
        <v>0.18171296296296297</v>
      </c>
      <c r="BK25" s="68">
        <f t="shared" si="12"/>
        <v>2.8449074074074075E-2</v>
      </c>
      <c r="BL25" s="68">
        <f t="shared" si="12"/>
        <v>1.7569444444444447E-2</v>
      </c>
      <c r="BM25" s="68">
        <f t="shared" si="12"/>
        <v>2.0405092592592593E-2</v>
      </c>
      <c r="BN25" s="68">
        <f t="shared" si="12"/>
        <v>4.6516203703703699E-2</v>
      </c>
      <c r="BO25" s="68">
        <f t="shared" si="12"/>
        <v>0.12384259259259259</v>
      </c>
      <c r="BP25" s="69">
        <f t="shared" si="12"/>
        <v>0.14930555555555555</v>
      </c>
      <c r="BQ25" s="70">
        <f t="shared" si="4"/>
        <v>0.11750816993464051</v>
      </c>
      <c r="BR25" s="76">
        <v>0.15920000000000001</v>
      </c>
      <c r="BS25" s="72">
        <f t="shared" si="10"/>
        <v>57.312000000000005</v>
      </c>
      <c r="BT25" s="73" t="e">
        <f t="shared" si="11"/>
        <v>#VALUE!</v>
      </c>
      <c r="BU25" s="74">
        <f t="shared" si="7"/>
        <v>-4.1691830065359495E-2</v>
      </c>
      <c r="BV25" s="15" t="s">
        <v>30</v>
      </c>
      <c r="BW25" s="3"/>
      <c r="BX25" s="2"/>
      <c r="BY25" s="2"/>
    </row>
    <row r="26" spans="2:77" x14ac:dyDescent="0.3">
      <c r="B26" s="763"/>
      <c r="C26" s="61" t="s">
        <v>111</v>
      </c>
      <c r="D26" s="62">
        <v>476.3</v>
      </c>
      <c r="E26" s="63">
        <v>443.1</v>
      </c>
      <c r="F26" s="63">
        <v>528.29999999999995</v>
      </c>
      <c r="G26" s="63">
        <v>510.6</v>
      </c>
      <c r="H26" s="63">
        <v>504.8</v>
      </c>
      <c r="I26" s="63">
        <v>524.9</v>
      </c>
      <c r="J26" s="63">
        <v>530.5</v>
      </c>
      <c r="K26" s="63">
        <v>126.9</v>
      </c>
      <c r="L26" s="91">
        <v>439.54</v>
      </c>
      <c r="M26" s="63">
        <v>396.8</v>
      </c>
      <c r="N26" s="63">
        <v>521.6</v>
      </c>
      <c r="O26" s="63">
        <v>401.7</v>
      </c>
      <c r="P26" s="63">
        <v>263</v>
      </c>
      <c r="Q26" s="63">
        <v>119.8</v>
      </c>
      <c r="R26" s="63">
        <v>275.2</v>
      </c>
      <c r="S26" s="63">
        <v>331.1</v>
      </c>
      <c r="T26" s="63">
        <v>401.9</v>
      </c>
      <c r="U26" s="15">
        <v>537.5</v>
      </c>
      <c r="V26" s="15">
        <v>474.6</v>
      </c>
      <c r="W26" s="15">
        <v>106</v>
      </c>
      <c r="X26" s="15">
        <v>402.5</v>
      </c>
      <c r="Y26" s="15">
        <v>555.79999999999995</v>
      </c>
      <c r="Z26" s="15">
        <v>551.29999999999995</v>
      </c>
      <c r="AA26" s="15">
        <v>521.20000000000005</v>
      </c>
      <c r="AB26" s="15">
        <v>353.1</v>
      </c>
      <c r="AC26" s="15">
        <v>108.9</v>
      </c>
      <c r="AD26" s="15">
        <v>72.099999999999994</v>
      </c>
      <c r="AE26" s="15">
        <v>103.7</v>
      </c>
      <c r="AF26" s="15">
        <v>183.5</v>
      </c>
      <c r="AG26" s="15">
        <v>400.6</v>
      </c>
      <c r="AH26" s="64">
        <v>442.9</v>
      </c>
      <c r="AI26" s="65">
        <f t="shared" si="0"/>
        <v>11609.740000000002</v>
      </c>
      <c r="AJ26" s="15">
        <v>100</v>
      </c>
      <c r="AK26" s="66">
        <f>F26/(AJ26*432)</f>
        <v>1.2229166666666666E-2</v>
      </c>
      <c r="AL26" s="67">
        <f t="shared" si="13"/>
        <v>0.19845833333333335</v>
      </c>
      <c r="AM26" s="68">
        <f t="shared" si="13"/>
        <v>0.18462500000000001</v>
      </c>
      <c r="AN26" s="68">
        <f t="shared" si="13"/>
        <v>0.22012499999999999</v>
      </c>
      <c r="AO26" s="68">
        <f t="shared" si="13"/>
        <v>0.21275000000000002</v>
      </c>
      <c r="AP26" s="68">
        <f t="shared" si="13"/>
        <v>0.21033333333333334</v>
      </c>
      <c r="AQ26" s="68">
        <f t="shared" si="13"/>
        <v>0.21870833333333331</v>
      </c>
      <c r="AR26" s="68">
        <f t="shared" si="13"/>
        <v>0.22104166666666666</v>
      </c>
      <c r="AS26" s="68">
        <f t="shared" si="13"/>
        <v>5.2875000000000005E-2</v>
      </c>
      <c r="AT26" s="68">
        <f t="shared" si="13"/>
        <v>0.18314166666666667</v>
      </c>
      <c r="AU26" s="68">
        <f t="shared" si="13"/>
        <v>0.16533333333333333</v>
      </c>
      <c r="AV26" s="68">
        <f t="shared" si="13"/>
        <v>0.21733333333333335</v>
      </c>
      <c r="AW26" s="68">
        <f t="shared" si="13"/>
        <v>0.167375</v>
      </c>
      <c r="AX26" s="68">
        <f t="shared" si="13"/>
        <v>0.10958333333333334</v>
      </c>
      <c r="AY26" s="68">
        <f t="shared" si="13"/>
        <v>4.9916666666666665E-2</v>
      </c>
      <c r="AZ26" s="68">
        <f t="shared" si="13"/>
        <v>0.11466666666666667</v>
      </c>
      <c r="BA26" s="68">
        <f t="shared" si="12"/>
        <v>0.13795833333333335</v>
      </c>
      <c r="BB26" s="68">
        <f t="shared" si="12"/>
        <v>0.16745833333333332</v>
      </c>
      <c r="BC26" s="68">
        <f t="shared" si="12"/>
        <v>0.22395833333333334</v>
      </c>
      <c r="BD26" s="68">
        <f t="shared" si="12"/>
        <v>0.19775000000000001</v>
      </c>
      <c r="BE26" s="68">
        <f t="shared" si="12"/>
        <v>4.4166666666666667E-2</v>
      </c>
      <c r="BF26" s="68">
        <f t="shared" si="12"/>
        <v>0.16770833333333332</v>
      </c>
      <c r="BG26" s="68">
        <f t="shared" si="12"/>
        <v>0.23158333333333331</v>
      </c>
      <c r="BH26" s="68">
        <f t="shared" si="12"/>
        <v>0.22970833333333332</v>
      </c>
      <c r="BI26" s="68">
        <f t="shared" si="12"/>
        <v>0.21716666666666667</v>
      </c>
      <c r="BJ26" s="68">
        <f t="shared" si="12"/>
        <v>0.14712500000000001</v>
      </c>
      <c r="BK26" s="68">
        <f t="shared" si="12"/>
        <v>4.5375000000000006E-2</v>
      </c>
      <c r="BL26" s="68">
        <f t="shared" si="12"/>
        <v>3.0041666666666664E-2</v>
      </c>
      <c r="BM26" s="68">
        <f t="shared" si="12"/>
        <v>4.3208333333333335E-2</v>
      </c>
      <c r="BN26" s="68">
        <f t="shared" si="12"/>
        <v>7.6458333333333336E-2</v>
      </c>
      <c r="BO26" s="68">
        <f t="shared" si="12"/>
        <v>0.16691666666666669</v>
      </c>
      <c r="BP26" s="69">
        <f t="shared" si="12"/>
        <v>0.18454166666666666</v>
      </c>
      <c r="BQ26" s="70">
        <f t="shared" si="4"/>
        <v>0.15604489247311831</v>
      </c>
      <c r="BR26" s="76">
        <v>0.16900000000000001</v>
      </c>
      <c r="BS26" s="72">
        <f t="shared" si="10"/>
        <v>16.900000000000002</v>
      </c>
      <c r="BT26" s="73">
        <f t="shared" si="11"/>
        <v>5.1124999999999976E-2</v>
      </c>
      <c r="BU26" s="74">
        <f t="shared" si="7"/>
        <v>-1.2955107526881698E-2</v>
      </c>
      <c r="BV26" s="15" t="s">
        <v>111</v>
      </c>
      <c r="BW26" s="3"/>
      <c r="BX26" s="2"/>
      <c r="BY26" s="2"/>
    </row>
    <row r="27" spans="2:77" x14ac:dyDescent="0.3">
      <c r="B27" s="763"/>
      <c r="C27" s="61" t="s">
        <v>32</v>
      </c>
      <c r="D27" s="62"/>
      <c r="E27" s="63"/>
      <c r="F27" s="63">
        <v>22.4</v>
      </c>
      <c r="G27" s="91">
        <v>469.7</v>
      </c>
      <c r="H27" s="91">
        <v>469.7</v>
      </c>
      <c r="I27" s="91">
        <v>469.7</v>
      </c>
      <c r="J27" s="63">
        <v>469.7</v>
      </c>
      <c r="K27" s="63">
        <v>242.7</v>
      </c>
      <c r="L27" s="63">
        <v>209.9</v>
      </c>
      <c r="M27" s="63">
        <v>360.8</v>
      </c>
      <c r="N27" s="63">
        <v>460.7</v>
      </c>
      <c r="O27" s="63">
        <v>394.3</v>
      </c>
      <c r="P27" s="63">
        <v>280.10000000000002</v>
      </c>
      <c r="Q27" s="63">
        <v>140.19999999999999</v>
      </c>
      <c r="R27" s="63">
        <v>267.3</v>
      </c>
      <c r="S27" s="63">
        <v>304.10000000000002</v>
      </c>
      <c r="T27" s="63">
        <v>306.10000000000002</v>
      </c>
      <c r="U27" s="15">
        <v>452.4</v>
      </c>
      <c r="V27" s="15">
        <v>420.2</v>
      </c>
      <c r="W27" s="15">
        <v>120</v>
      </c>
      <c r="X27" s="15">
        <v>385.5</v>
      </c>
      <c r="Y27" s="15">
        <v>488</v>
      </c>
      <c r="Z27" s="15">
        <v>481.5</v>
      </c>
      <c r="AA27" s="15">
        <v>450.7</v>
      </c>
      <c r="AB27" s="15">
        <v>422.6</v>
      </c>
      <c r="AC27" s="15">
        <v>109</v>
      </c>
      <c r="AD27" s="15">
        <v>52.1</v>
      </c>
      <c r="AE27" s="15">
        <v>69.2</v>
      </c>
      <c r="AF27" s="15">
        <v>139.80000000000001</v>
      </c>
      <c r="AG27" s="15">
        <v>338.4</v>
      </c>
      <c r="AH27" s="64">
        <v>367.7</v>
      </c>
      <c r="AI27" s="65">
        <f t="shared" si="0"/>
        <v>9164.5</v>
      </c>
      <c r="AJ27" s="15">
        <v>100</v>
      </c>
      <c r="AK27" s="66">
        <f>F27/(AJ27*432)</f>
        <v>5.1851851851851853E-4</v>
      </c>
      <c r="AL27" s="67" t="str">
        <f t="shared" si="13"/>
        <v>VAZIO</v>
      </c>
      <c r="AM27" s="68" t="str">
        <f t="shared" si="13"/>
        <v>VAZIO</v>
      </c>
      <c r="AN27" s="68">
        <f t="shared" si="13"/>
        <v>9.3333333333333324E-3</v>
      </c>
      <c r="AO27" s="68">
        <f t="shared" si="13"/>
        <v>0.19570833333333332</v>
      </c>
      <c r="AP27" s="68">
        <f t="shared" si="13"/>
        <v>0.19570833333333332</v>
      </c>
      <c r="AQ27" s="68">
        <f t="shared" si="13"/>
        <v>0.19570833333333332</v>
      </c>
      <c r="AR27" s="68">
        <f t="shared" si="13"/>
        <v>0.19570833333333332</v>
      </c>
      <c r="AS27" s="68">
        <f t="shared" si="13"/>
        <v>0.10112499999999999</v>
      </c>
      <c r="AT27" s="68">
        <f t="shared" si="13"/>
        <v>8.7458333333333332E-2</v>
      </c>
      <c r="AU27" s="68">
        <f t="shared" si="13"/>
        <v>0.15033333333333335</v>
      </c>
      <c r="AV27" s="68">
        <f t="shared" si="13"/>
        <v>0.19195833333333334</v>
      </c>
      <c r="AW27" s="68">
        <f t="shared" si="13"/>
        <v>0.16429166666666667</v>
      </c>
      <c r="AX27" s="68">
        <f t="shared" si="13"/>
        <v>0.11670833333333334</v>
      </c>
      <c r="AY27" s="68">
        <f t="shared" si="13"/>
        <v>5.8416666666666665E-2</v>
      </c>
      <c r="AZ27" s="68">
        <f t="shared" si="13"/>
        <v>0.111375</v>
      </c>
      <c r="BA27" s="68">
        <f t="shared" si="12"/>
        <v>0.12670833333333334</v>
      </c>
      <c r="BB27" s="68">
        <f t="shared" si="12"/>
        <v>0.12754166666666666</v>
      </c>
      <c r="BC27" s="68">
        <f t="shared" si="12"/>
        <v>0.1885</v>
      </c>
      <c r="BD27" s="68">
        <f t="shared" si="12"/>
        <v>0.17508333333333334</v>
      </c>
      <c r="BE27" s="68">
        <f t="shared" si="12"/>
        <v>0.05</v>
      </c>
      <c r="BF27" s="68">
        <f t="shared" si="12"/>
        <v>0.16062499999999999</v>
      </c>
      <c r="BG27" s="68">
        <f t="shared" si="12"/>
        <v>0.20333333333333334</v>
      </c>
      <c r="BH27" s="68">
        <f t="shared" si="12"/>
        <v>0.200625</v>
      </c>
      <c r="BI27" s="68">
        <f t="shared" si="12"/>
        <v>0.18779166666666666</v>
      </c>
      <c r="BJ27" s="68">
        <f t="shared" si="12"/>
        <v>0.17608333333333334</v>
      </c>
      <c r="BK27" s="68">
        <f t="shared" si="12"/>
        <v>4.5416666666666668E-2</v>
      </c>
      <c r="BL27" s="68">
        <f t="shared" si="12"/>
        <v>2.1708333333333333E-2</v>
      </c>
      <c r="BM27" s="68">
        <f t="shared" si="12"/>
        <v>2.8833333333333336E-2</v>
      </c>
      <c r="BN27" s="68">
        <f t="shared" si="12"/>
        <v>5.8250000000000003E-2</v>
      </c>
      <c r="BO27" s="68">
        <f t="shared" si="12"/>
        <v>0.14099999999999999</v>
      </c>
      <c r="BP27" s="69">
        <f t="shared" si="12"/>
        <v>0.15320833333333334</v>
      </c>
      <c r="BQ27" s="70">
        <f t="shared" si="4"/>
        <v>0.13167385057471265</v>
      </c>
      <c r="BR27" s="76">
        <v>0.16900000000000001</v>
      </c>
      <c r="BS27" s="72">
        <f t="shared" si="10"/>
        <v>16.900000000000002</v>
      </c>
      <c r="BT27" s="73">
        <f t="shared" si="11"/>
        <v>-0.15966666666666668</v>
      </c>
      <c r="BU27" s="74">
        <f t="shared" si="7"/>
        <v>-3.7326149425287364E-2</v>
      </c>
      <c r="BV27" s="15" t="s">
        <v>32</v>
      </c>
      <c r="BW27" s="3"/>
      <c r="BX27" s="2"/>
      <c r="BY27" s="2"/>
    </row>
    <row r="28" spans="2:77" ht="15" thickBot="1" x14ac:dyDescent="0.35">
      <c r="B28" s="763"/>
      <c r="C28" s="61" t="s">
        <v>112</v>
      </c>
      <c r="D28" s="92">
        <v>438.9</v>
      </c>
      <c r="E28" s="93">
        <v>502.2</v>
      </c>
      <c r="F28" s="93">
        <v>507.2</v>
      </c>
      <c r="G28" s="94">
        <v>449.8</v>
      </c>
      <c r="H28" s="94">
        <v>465.3</v>
      </c>
      <c r="I28" s="94">
        <v>500.6</v>
      </c>
      <c r="J28" s="94">
        <v>503.3</v>
      </c>
      <c r="K28" s="95">
        <v>89.9</v>
      </c>
      <c r="L28" s="95">
        <v>178.8</v>
      </c>
      <c r="M28" s="93">
        <v>437.8</v>
      </c>
      <c r="N28" s="93">
        <v>506.6</v>
      </c>
      <c r="O28" s="93">
        <v>440.3</v>
      </c>
      <c r="P28" s="93">
        <v>185</v>
      </c>
      <c r="Q28" s="93">
        <v>130.80000000000001</v>
      </c>
      <c r="R28" s="93">
        <v>266.39999999999998</v>
      </c>
      <c r="S28" s="93">
        <v>333.8</v>
      </c>
      <c r="T28" s="93">
        <v>409.4</v>
      </c>
      <c r="U28" s="22">
        <v>495.8</v>
      </c>
      <c r="V28" s="22">
        <v>471.5</v>
      </c>
      <c r="W28" s="22">
        <v>140.19999999999999</v>
      </c>
      <c r="X28" s="22">
        <v>462.8</v>
      </c>
      <c r="Y28" s="22">
        <v>523.70000000000005</v>
      </c>
      <c r="Z28" s="22">
        <v>521.70000000000005</v>
      </c>
      <c r="AA28" s="22">
        <v>454.8</v>
      </c>
      <c r="AB28" s="22">
        <v>332.1</v>
      </c>
      <c r="AC28" s="22">
        <v>68.3</v>
      </c>
      <c r="AD28" s="22">
        <v>64.5</v>
      </c>
      <c r="AE28" s="22">
        <v>92.4</v>
      </c>
      <c r="AF28" s="22">
        <v>178</v>
      </c>
      <c r="AG28" s="22">
        <v>322.8</v>
      </c>
      <c r="AH28" s="96">
        <v>380.8</v>
      </c>
      <c r="AI28" s="97">
        <f t="shared" si="0"/>
        <v>10855.499999999998</v>
      </c>
      <c r="AJ28" s="28">
        <v>100</v>
      </c>
      <c r="AK28" s="66"/>
      <c r="AL28" s="98">
        <f t="shared" si="13"/>
        <v>0.18287499999999998</v>
      </c>
      <c r="AM28" s="99">
        <f t="shared" si="13"/>
        <v>0.20924999999999999</v>
      </c>
      <c r="AN28" s="99">
        <f t="shared" si="13"/>
        <v>0.21133333333333332</v>
      </c>
      <c r="AO28" s="99">
        <f t="shared" si="13"/>
        <v>0.18741666666666668</v>
      </c>
      <c r="AP28" s="99">
        <f t="shared" si="13"/>
        <v>0.19387499999999999</v>
      </c>
      <c r="AQ28" s="99">
        <f t="shared" si="13"/>
        <v>0.20858333333333334</v>
      </c>
      <c r="AR28" s="99">
        <f t="shared" si="13"/>
        <v>0.20970833333333333</v>
      </c>
      <c r="AS28" s="99">
        <f t="shared" si="13"/>
        <v>3.7458333333333337E-2</v>
      </c>
      <c r="AT28" s="99">
        <f t="shared" si="13"/>
        <v>7.4500000000000011E-2</v>
      </c>
      <c r="AU28" s="99">
        <f t="shared" si="13"/>
        <v>0.18241666666666667</v>
      </c>
      <c r="AV28" s="99">
        <f t="shared" si="13"/>
        <v>0.21108333333333335</v>
      </c>
      <c r="AW28" s="99">
        <f t="shared" si="13"/>
        <v>0.18345833333333333</v>
      </c>
      <c r="AX28" s="99">
        <f t="shared" si="13"/>
        <v>7.7083333333333337E-2</v>
      </c>
      <c r="AY28" s="99">
        <f t="shared" si="13"/>
        <v>5.4500000000000007E-2</v>
      </c>
      <c r="AZ28" s="99">
        <f t="shared" si="13"/>
        <v>0.11099999999999999</v>
      </c>
      <c r="BA28" s="99">
        <f t="shared" si="12"/>
        <v>0.13908333333333334</v>
      </c>
      <c r="BB28" s="99">
        <f t="shared" si="12"/>
        <v>0.17058333333333334</v>
      </c>
      <c r="BC28" s="99">
        <f t="shared" si="12"/>
        <v>0.20658333333333334</v>
      </c>
      <c r="BD28" s="99">
        <f t="shared" si="12"/>
        <v>0.19645833333333335</v>
      </c>
      <c r="BE28" s="99">
        <f t="shared" si="12"/>
        <v>5.8416666666666665E-2</v>
      </c>
      <c r="BF28" s="99">
        <f t="shared" si="12"/>
        <v>0.19283333333333333</v>
      </c>
      <c r="BG28" s="99">
        <f t="shared" si="12"/>
        <v>0.21820833333333337</v>
      </c>
      <c r="BH28" s="99">
        <f t="shared" si="12"/>
        <v>0.21737500000000001</v>
      </c>
      <c r="BI28" s="99">
        <f t="shared" si="12"/>
        <v>0.1895</v>
      </c>
      <c r="BJ28" s="99">
        <f t="shared" si="12"/>
        <v>0.138375</v>
      </c>
      <c r="BK28" s="99">
        <f t="shared" si="12"/>
        <v>2.8458333333333332E-2</v>
      </c>
      <c r="BL28" s="99">
        <f t="shared" si="12"/>
        <v>2.6875E-2</v>
      </c>
      <c r="BM28" s="99">
        <f t="shared" si="12"/>
        <v>3.85E-2</v>
      </c>
      <c r="BN28" s="99">
        <f t="shared" si="12"/>
        <v>7.4166666666666672E-2</v>
      </c>
      <c r="BO28" s="99">
        <f t="shared" si="12"/>
        <v>0.13450000000000001</v>
      </c>
      <c r="BP28" s="100">
        <f t="shared" si="12"/>
        <v>0.15866666666666668</v>
      </c>
      <c r="BQ28" s="101">
        <f t="shared" si="4"/>
        <v>0.1459072580645161</v>
      </c>
      <c r="BR28" s="76">
        <v>0.16900000000000001</v>
      </c>
      <c r="BS28" s="72">
        <f t="shared" si="10"/>
        <v>16.900000000000002</v>
      </c>
      <c r="BT28" s="73">
        <f t="shared" si="11"/>
        <v>4.2333333333333306E-2</v>
      </c>
      <c r="BU28" s="74">
        <f t="shared" si="7"/>
        <v>-2.3092741935483913E-2</v>
      </c>
      <c r="BV28" s="15" t="s">
        <v>112</v>
      </c>
      <c r="BW28" s="3"/>
      <c r="BX28" s="2"/>
      <c r="BY28" s="2"/>
    </row>
    <row r="29" spans="2:77" x14ac:dyDescent="0.3">
      <c r="B29" s="63" t="s">
        <v>113</v>
      </c>
      <c r="C29" s="102"/>
      <c r="D29" s="103">
        <f t="shared" ref="D29:AJ29" si="14">SUM(D5:D28)</f>
        <v>5593.7510000000002</v>
      </c>
      <c r="E29" s="103">
        <f t="shared" si="14"/>
        <v>7032.7019999999993</v>
      </c>
      <c r="F29" s="103">
        <f t="shared" si="14"/>
        <v>8017.0819999999994</v>
      </c>
      <c r="G29" s="103">
        <f t="shared" si="14"/>
        <v>8417.6990000000005</v>
      </c>
      <c r="H29" s="103">
        <f t="shared" si="14"/>
        <v>8288.1319999999996</v>
      </c>
      <c r="I29" s="103">
        <f t="shared" si="14"/>
        <v>8197.5709999999999</v>
      </c>
      <c r="J29" s="103">
        <f t="shared" si="14"/>
        <v>8587.3670000000002</v>
      </c>
      <c r="K29" s="103">
        <f t="shared" si="14"/>
        <v>5119.1219999999985</v>
      </c>
      <c r="L29" s="103">
        <f t="shared" si="14"/>
        <v>3546.0750000000003</v>
      </c>
      <c r="M29" s="103">
        <f t="shared" si="14"/>
        <v>5251.7969999999996</v>
      </c>
      <c r="N29" s="103">
        <f t="shared" si="14"/>
        <v>8685.6049999999996</v>
      </c>
      <c r="O29" s="103">
        <f t="shared" si="14"/>
        <v>7825.3690000000006</v>
      </c>
      <c r="P29" s="103">
        <f t="shared" si="14"/>
        <v>5487.6269999999995</v>
      </c>
      <c r="Q29" s="103">
        <f t="shared" si="14"/>
        <v>2589.4449999999997</v>
      </c>
      <c r="R29" s="103">
        <f t="shared" si="14"/>
        <v>4696.7839999999997</v>
      </c>
      <c r="S29" s="103">
        <f t="shared" si="14"/>
        <v>4945.9250000000011</v>
      </c>
      <c r="T29" s="103">
        <f t="shared" si="14"/>
        <v>5498.8709999999992</v>
      </c>
      <c r="U29" s="104">
        <f t="shared" si="14"/>
        <v>9475.7999999999975</v>
      </c>
      <c r="V29" s="104">
        <f t="shared" si="14"/>
        <v>8038.8</v>
      </c>
      <c r="W29" s="104">
        <f t="shared" si="14"/>
        <v>3986.0999999999995</v>
      </c>
      <c r="X29" s="104">
        <f t="shared" si="14"/>
        <v>7997.9999999999991</v>
      </c>
      <c r="Y29" s="104">
        <f t="shared" si="14"/>
        <v>9373.4</v>
      </c>
      <c r="Z29" s="104">
        <f t="shared" si="14"/>
        <v>9817.5</v>
      </c>
      <c r="AA29" s="104">
        <f t="shared" si="14"/>
        <v>9025.7999999999993</v>
      </c>
      <c r="AB29" s="104">
        <f t="shared" si="14"/>
        <v>8128.1000000000013</v>
      </c>
      <c r="AC29" s="104">
        <f t="shared" si="14"/>
        <v>2915.2000000000007</v>
      </c>
      <c r="AD29" s="104">
        <f t="shared" si="14"/>
        <v>1014.6200000000001</v>
      </c>
      <c r="AE29" s="104">
        <f t="shared" si="14"/>
        <v>1144.4700000000003</v>
      </c>
      <c r="AF29" s="104">
        <f t="shared" si="14"/>
        <v>2976.9</v>
      </c>
      <c r="AG29" s="104">
        <f t="shared" si="14"/>
        <v>6434.9000000000005</v>
      </c>
      <c r="AH29" s="104">
        <f t="shared" si="14"/>
        <v>9015.2000000000007</v>
      </c>
      <c r="AI29" s="15">
        <f t="shared" si="14"/>
        <v>197125.71399999998</v>
      </c>
      <c r="AJ29" s="15">
        <f t="shared" si="14"/>
        <v>2106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W29" s="2"/>
      <c r="BX29" s="2"/>
      <c r="BY29" s="2"/>
    </row>
    <row r="30" spans="2:77" ht="15" thickBot="1" x14ac:dyDescent="0.3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BQ30" s="4"/>
      <c r="BR30" s="9"/>
      <c r="BS30" s="9"/>
      <c r="BU30" s="2"/>
      <c r="BW30" s="2"/>
      <c r="BX30" s="2"/>
      <c r="BY30" s="2"/>
    </row>
    <row r="31" spans="2:77" ht="15" thickBot="1" x14ac:dyDescent="0.35">
      <c r="C31" s="105"/>
      <c r="D31" t="s">
        <v>36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BQ31" s="4"/>
      <c r="BR31" s="11"/>
      <c r="BS31" s="11"/>
      <c r="BU31" s="106"/>
      <c r="BV31" s="3" t="s">
        <v>114</v>
      </c>
    </row>
    <row r="32" spans="2:77" ht="15" thickBot="1" x14ac:dyDescent="0.35">
      <c r="C32" s="107"/>
      <c r="D32" t="s">
        <v>115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108"/>
      <c r="AJ32" s="2"/>
      <c r="BR32" s="2"/>
      <c r="BS32" s="2"/>
      <c r="BU32" s="109"/>
      <c r="BV32" s="5" t="s">
        <v>116</v>
      </c>
    </row>
    <row r="40" spans="2:32" x14ac:dyDescent="0.3">
      <c r="B40" s="141" t="s">
        <v>117</v>
      </c>
      <c r="C40" s="141" t="s">
        <v>118</v>
      </c>
      <c r="D40" s="140">
        <v>45141</v>
      </c>
      <c r="E40" s="140">
        <v>45142</v>
      </c>
      <c r="F40" s="140">
        <v>45143</v>
      </c>
      <c r="G40" s="140">
        <v>45144</v>
      </c>
      <c r="H40" s="140">
        <v>45145</v>
      </c>
      <c r="I40" s="140">
        <v>45146</v>
      </c>
      <c r="J40" s="140">
        <v>45147</v>
      </c>
      <c r="K40" s="140">
        <v>45148</v>
      </c>
      <c r="L40" s="140">
        <v>45149</v>
      </c>
      <c r="M40" s="140">
        <v>45150</v>
      </c>
      <c r="N40" s="140">
        <v>45151</v>
      </c>
      <c r="O40" s="140">
        <v>45152</v>
      </c>
      <c r="P40" s="140">
        <v>45153</v>
      </c>
      <c r="Q40" s="140">
        <v>45154</v>
      </c>
      <c r="R40" s="140">
        <v>45155</v>
      </c>
      <c r="S40" s="140">
        <v>45156</v>
      </c>
      <c r="T40" s="140">
        <v>45157</v>
      </c>
      <c r="U40" s="140">
        <v>45158</v>
      </c>
      <c r="V40" s="140">
        <v>45159</v>
      </c>
      <c r="W40" s="140">
        <v>45160</v>
      </c>
      <c r="X40" s="140">
        <v>45161</v>
      </c>
      <c r="Y40" s="140">
        <v>45162</v>
      </c>
      <c r="Z40" s="140">
        <v>45163</v>
      </c>
      <c r="AA40" s="140">
        <v>45164</v>
      </c>
      <c r="AB40" s="140">
        <v>45165</v>
      </c>
      <c r="AC40" s="140">
        <v>45166</v>
      </c>
      <c r="AD40" s="140">
        <v>45167</v>
      </c>
      <c r="AE40" s="140">
        <v>45168</v>
      </c>
      <c r="AF40" s="140">
        <v>45169</v>
      </c>
    </row>
    <row r="41" spans="2:32" x14ac:dyDescent="0.3">
      <c r="B41" s="751" t="s">
        <v>6</v>
      </c>
      <c r="C41" s="18" t="s">
        <v>7</v>
      </c>
      <c r="D41" s="15">
        <v>47730.6</v>
      </c>
      <c r="E41" s="139"/>
      <c r="F41" s="139"/>
      <c r="G41" s="139"/>
      <c r="H41" s="15" t="s">
        <v>119</v>
      </c>
      <c r="I41" s="15" t="s">
        <v>120</v>
      </c>
      <c r="J41" s="139">
        <v>48016.7</v>
      </c>
      <c r="K41" s="139">
        <v>48046.899999999994</v>
      </c>
      <c r="L41" s="139">
        <v>48104.2</v>
      </c>
      <c r="M41" s="139">
        <v>48156.299999999996</v>
      </c>
      <c r="N41" s="139">
        <v>48189.7</v>
      </c>
      <c r="O41" s="139">
        <v>48209.1</v>
      </c>
      <c r="P41" s="139"/>
      <c r="Q41" s="139"/>
      <c r="R41" s="139"/>
      <c r="S41" s="139"/>
      <c r="T41" s="139"/>
      <c r="U41" s="139"/>
      <c r="V41" s="142">
        <v>48455.4</v>
      </c>
      <c r="W41" s="142">
        <v>48543</v>
      </c>
      <c r="X41" s="142">
        <v>48604</v>
      </c>
      <c r="Y41" s="142">
        <v>48655.1</v>
      </c>
      <c r="Z41" s="142">
        <v>48703.8</v>
      </c>
      <c r="AA41" s="139"/>
      <c r="AB41" s="139"/>
      <c r="AC41" s="142">
        <v>48731.9</v>
      </c>
      <c r="AD41" s="142">
        <v>48751.6</v>
      </c>
      <c r="AE41" s="142">
        <v>48787.1</v>
      </c>
      <c r="AF41" s="145">
        <v>48842.400000000001</v>
      </c>
    </row>
    <row r="42" spans="2:32" x14ac:dyDescent="0.3">
      <c r="B42" s="752"/>
      <c r="C42" s="18" t="s">
        <v>8</v>
      </c>
      <c r="D42" s="15">
        <v>91669.9</v>
      </c>
      <c r="E42" s="139"/>
      <c r="F42" s="139"/>
      <c r="G42" s="139"/>
      <c r="H42" s="15">
        <v>93435.1</v>
      </c>
      <c r="I42" s="15">
        <v>93712.4</v>
      </c>
      <c r="J42" s="139">
        <v>93817.5</v>
      </c>
      <c r="K42" s="139">
        <v>93978.6</v>
      </c>
      <c r="L42" s="139">
        <v>94339.8</v>
      </c>
      <c r="M42" s="139">
        <v>94678.2</v>
      </c>
      <c r="N42" s="139">
        <v>94901.4</v>
      </c>
      <c r="O42" s="139">
        <v>95005.5</v>
      </c>
      <c r="P42" s="139"/>
      <c r="Q42" s="139"/>
      <c r="R42" s="139"/>
      <c r="S42" s="139"/>
      <c r="T42" s="139"/>
      <c r="U42" s="139"/>
      <c r="V42" s="142">
        <v>96451.1</v>
      </c>
      <c r="W42" s="142">
        <v>97006.5</v>
      </c>
      <c r="X42" s="142">
        <v>97383.4</v>
      </c>
      <c r="Y42" s="142">
        <v>97685.2</v>
      </c>
      <c r="Z42" s="142">
        <v>97966.7</v>
      </c>
      <c r="AA42" s="139"/>
      <c r="AB42" s="139"/>
      <c r="AC42" s="142">
        <v>98117.8</v>
      </c>
      <c r="AD42" s="142">
        <v>98234.8</v>
      </c>
      <c r="AE42" s="142">
        <v>98428.3</v>
      </c>
      <c r="AF42" s="145">
        <v>98770.6</v>
      </c>
    </row>
    <row r="43" spans="2:32" x14ac:dyDescent="0.3">
      <c r="B43" s="752"/>
      <c r="C43" s="18" t="s">
        <v>9</v>
      </c>
      <c r="D43" s="15">
        <v>65013.4</v>
      </c>
      <c r="E43" s="139"/>
      <c r="F43" s="139"/>
      <c r="G43" s="139"/>
      <c r="H43" s="15" t="s">
        <v>121</v>
      </c>
      <c r="I43" s="15" t="s">
        <v>122</v>
      </c>
      <c r="J43" s="139">
        <v>66237.399999999994</v>
      </c>
      <c r="K43" s="139">
        <v>66358.399999999994</v>
      </c>
      <c r="L43" s="139">
        <v>66603.099999999991</v>
      </c>
      <c r="M43" s="139">
        <v>66827.599999999991</v>
      </c>
      <c r="N43" s="139">
        <v>66972.899999999994</v>
      </c>
      <c r="O43" s="139">
        <v>67049.399999999994</v>
      </c>
      <c r="P43" s="139"/>
      <c r="Q43" s="139"/>
      <c r="R43" s="139"/>
      <c r="S43" s="139"/>
      <c r="T43" s="139"/>
      <c r="U43" s="139"/>
      <c r="V43" s="142">
        <v>68066.2</v>
      </c>
      <c r="W43" s="142">
        <v>68442.399999999994</v>
      </c>
      <c r="X43" s="142">
        <v>68700.2</v>
      </c>
      <c r="Y43" s="142">
        <v>68913.100000000006</v>
      </c>
      <c r="Z43" s="142">
        <v>69110</v>
      </c>
      <c r="AA43" s="139"/>
      <c r="AB43" s="139"/>
      <c r="AC43" s="142">
        <v>69214.7</v>
      </c>
      <c r="AD43" s="142">
        <v>69294.600000000006</v>
      </c>
      <c r="AE43" s="142">
        <v>69440.100000000006</v>
      </c>
      <c r="AF43" s="145">
        <v>69665.5</v>
      </c>
    </row>
    <row r="44" spans="2:32" x14ac:dyDescent="0.3">
      <c r="B44" s="752"/>
      <c r="C44" s="18" t="s">
        <v>10</v>
      </c>
      <c r="D44" s="15">
        <v>92467.8</v>
      </c>
      <c r="E44" s="139"/>
      <c r="F44" s="139"/>
      <c r="G44" s="139"/>
      <c r="H44" s="15" t="s">
        <v>123</v>
      </c>
      <c r="I44" s="15" t="s">
        <v>124</v>
      </c>
      <c r="J44" s="139">
        <v>93299.5</v>
      </c>
      <c r="K44" s="139">
        <v>93381.9</v>
      </c>
      <c r="L44" s="139">
        <v>93548.299999999988</v>
      </c>
      <c r="M44" s="139">
        <v>93701.599999999991</v>
      </c>
      <c r="N44" s="139">
        <v>93800.499999999985</v>
      </c>
      <c r="O44" s="139">
        <v>93853.799999999988</v>
      </c>
      <c r="P44" s="139"/>
      <c r="Q44" s="139"/>
      <c r="R44" s="139"/>
      <c r="S44" s="139"/>
      <c r="T44" s="139"/>
      <c r="U44" s="139"/>
      <c r="V44" s="142">
        <v>94539</v>
      </c>
      <c r="W44" s="142">
        <v>94791.6</v>
      </c>
      <c r="X44" s="142">
        <v>94966.5</v>
      </c>
      <c r="Y44" s="142">
        <v>95107.7</v>
      </c>
      <c r="Z44" s="142">
        <v>95242.1</v>
      </c>
      <c r="AA44" s="139"/>
      <c r="AB44" s="139"/>
      <c r="AC44" s="142">
        <v>95316.3</v>
      </c>
      <c r="AD44" s="142">
        <v>95373.2</v>
      </c>
      <c r="AE44" s="142">
        <v>95471.2</v>
      </c>
      <c r="AF44" s="145">
        <v>95621.7</v>
      </c>
    </row>
    <row r="45" spans="2:32" x14ac:dyDescent="0.3">
      <c r="B45" s="752"/>
      <c r="C45" s="18" t="s">
        <v>11</v>
      </c>
      <c r="D45" s="15">
        <v>17563</v>
      </c>
      <c r="E45" s="139"/>
      <c r="F45" s="139"/>
      <c r="G45" s="139"/>
      <c r="H45" s="15">
        <v>17815</v>
      </c>
      <c r="I45" s="15">
        <v>17867</v>
      </c>
      <c r="J45" s="139">
        <v>17884</v>
      </c>
      <c r="K45" s="139">
        <v>17917.2</v>
      </c>
      <c r="L45" s="139">
        <v>17981.3</v>
      </c>
      <c r="M45" s="139">
        <v>18040.899999999998</v>
      </c>
      <c r="N45" s="139">
        <v>18079.499999999996</v>
      </c>
      <c r="O45" s="139">
        <v>18097.899999999998</v>
      </c>
      <c r="P45" s="139"/>
      <c r="Q45" s="139"/>
      <c r="R45" s="139"/>
      <c r="S45" s="139"/>
      <c r="T45" s="139"/>
      <c r="U45" s="139"/>
      <c r="V45" s="142">
        <v>18345</v>
      </c>
      <c r="W45" s="142">
        <v>18443</v>
      </c>
      <c r="X45" s="142">
        <v>18509</v>
      </c>
      <c r="Y45" s="142">
        <v>18564</v>
      </c>
      <c r="Z45" s="142">
        <v>18616</v>
      </c>
      <c r="AA45" s="139"/>
      <c r="AB45" s="139"/>
      <c r="AC45" s="142">
        <v>18645</v>
      </c>
      <c r="AD45" s="142">
        <v>18660</v>
      </c>
      <c r="AE45" s="142">
        <v>18697</v>
      </c>
      <c r="AF45" s="145">
        <v>18755.5</v>
      </c>
    </row>
    <row r="46" spans="2:32" x14ac:dyDescent="0.3">
      <c r="B46" s="752"/>
      <c r="C46" s="18" t="s">
        <v>12</v>
      </c>
      <c r="D46" s="15">
        <v>56130.400000000001</v>
      </c>
      <c r="E46" s="139"/>
      <c r="F46" s="139"/>
      <c r="G46" s="139"/>
      <c r="H46" s="15" t="s">
        <v>125</v>
      </c>
      <c r="I46" s="15">
        <v>56381.9</v>
      </c>
      <c r="J46" s="139">
        <v>56419.199999999997</v>
      </c>
      <c r="K46" s="139">
        <v>56485.299999999996</v>
      </c>
      <c r="L46" s="139">
        <v>56618.1</v>
      </c>
      <c r="M46" s="139">
        <v>56741.599999999999</v>
      </c>
      <c r="N46" s="139">
        <v>56823.199999999997</v>
      </c>
      <c r="O46" s="139">
        <v>56862</v>
      </c>
      <c r="P46" s="139"/>
      <c r="Q46" s="139"/>
      <c r="R46" s="139"/>
      <c r="S46" s="139"/>
      <c r="T46" s="139"/>
      <c r="U46" s="139"/>
      <c r="V46" s="142">
        <v>57290.7</v>
      </c>
      <c r="W46" s="142">
        <v>57490</v>
      </c>
      <c r="X46" s="142">
        <v>57630</v>
      </c>
      <c r="Y46" s="142">
        <v>57740</v>
      </c>
      <c r="Z46" s="142">
        <v>57850</v>
      </c>
      <c r="AA46" s="139"/>
      <c r="AB46" s="139"/>
      <c r="AC46" s="142">
        <v>57927.6</v>
      </c>
      <c r="AD46" s="142">
        <v>57940</v>
      </c>
      <c r="AE46" s="142">
        <v>58020</v>
      </c>
      <c r="AF46" s="145">
        <v>58141.2</v>
      </c>
    </row>
    <row r="47" spans="2:32" x14ac:dyDescent="0.3">
      <c r="B47" s="752"/>
      <c r="C47" s="18" t="s">
        <v>13</v>
      </c>
      <c r="D47" s="15">
        <v>222790.1</v>
      </c>
      <c r="E47" s="139"/>
      <c r="F47" s="139"/>
      <c r="G47" s="139"/>
      <c r="H47" s="15" t="s">
        <v>126</v>
      </c>
      <c r="I47" s="15" t="s">
        <v>127</v>
      </c>
      <c r="J47" s="139">
        <v>224572.9</v>
      </c>
      <c r="K47" s="139">
        <v>224741.8</v>
      </c>
      <c r="L47" s="139">
        <v>225127.4</v>
      </c>
      <c r="M47" s="139">
        <v>225484.6</v>
      </c>
      <c r="N47" s="139">
        <v>225752.9</v>
      </c>
      <c r="O47" s="139">
        <v>225870.5</v>
      </c>
      <c r="P47" s="139"/>
      <c r="Q47" s="139"/>
      <c r="R47" s="139"/>
      <c r="S47" s="139"/>
      <c r="T47" s="139"/>
      <c r="U47" s="139"/>
      <c r="V47" s="142">
        <v>227304.9</v>
      </c>
      <c r="W47" s="142">
        <v>227907.7</v>
      </c>
      <c r="X47" s="142">
        <v>228319.8</v>
      </c>
      <c r="Y47" s="142">
        <v>228693.1</v>
      </c>
      <c r="Z47" s="142">
        <v>229002.4</v>
      </c>
      <c r="AA47" s="139"/>
      <c r="AB47" s="139"/>
      <c r="AC47" s="142">
        <v>229179.4</v>
      </c>
      <c r="AD47" s="142">
        <v>229333.2</v>
      </c>
      <c r="AE47" s="142">
        <v>229581.1</v>
      </c>
      <c r="AF47" s="145">
        <v>229955.20000000001</v>
      </c>
    </row>
    <row r="48" spans="2:32" x14ac:dyDescent="0.3">
      <c r="B48" s="753"/>
      <c r="C48" s="18" t="s">
        <v>14</v>
      </c>
      <c r="D48" s="143"/>
      <c r="E48" s="144"/>
      <c r="F48" s="144"/>
      <c r="G48" s="144"/>
      <c r="H48" s="143"/>
      <c r="I48" s="143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2"/>
      <c r="W48" s="142"/>
      <c r="X48" s="142"/>
      <c r="Y48" s="142"/>
      <c r="Z48" s="142">
        <v>1</v>
      </c>
      <c r="AA48" s="139"/>
      <c r="AB48" s="139"/>
      <c r="AC48" s="142">
        <v>122</v>
      </c>
      <c r="AD48" s="142">
        <v>215</v>
      </c>
      <c r="AE48" s="142">
        <v>367</v>
      </c>
      <c r="AF48" s="145">
        <v>604</v>
      </c>
    </row>
    <row r="49" spans="2:32" x14ac:dyDescent="0.3">
      <c r="B49" s="751" t="s">
        <v>16</v>
      </c>
      <c r="C49" s="18" t="s">
        <v>17</v>
      </c>
      <c r="D49" s="15">
        <v>126400</v>
      </c>
      <c r="E49" s="139"/>
      <c r="F49" s="139"/>
      <c r="G49" s="139"/>
      <c r="H49" s="15">
        <v>128967</v>
      </c>
      <c r="I49" s="15">
        <v>129422</v>
      </c>
      <c r="J49" s="139">
        <v>129577</v>
      </c>
      <c r="K49" s="139">
        <v>129847.7</v>
      </c>
      <c r="L49" s="139">
        <v>130373.2</v>
      </c>
      <c r="M49" s="139">
        <v>130876.09999999999</v>
      </c>
      <c r="N49" s="139">
        <v>131232.79999999999</v>
      </c>
      <c r="O49" s="139">
        <v>131386.29999999999</v>
      </c>
      <c r="P49" s="139"/>
      <c r="Q49" s="139"/>
      <c r="R49" s="139"/>
      <c r="S49" s="139"/>
      <c r="T49" s="139"/>
      <c r="U49" s="139"/>
      <c r="V49" s="142">
        <v>133516</v>
      </c>
      <c r="W49" s="142">
        <v>134304</v>
      </c>
      <c r="X49" s="142">
        <v>134848</v>
      </c>
      <c r="Y49" s="142">
        <v>135298</v>
      </c>
      <c r="Z49" s="142">
        <v>135712</v>
      </c>
      <c r="AA49" s="139"/>
      <c r="AB49" s="139"/>
      <c r="AC49" s="142">
        <v>135996</v>
      </c>
      <c r="AD49" s="142">
        <v>136140</v>
      </c>
      <c r="AE49" s="142">
        <v>136415</v>
      </c>
      <c r="AF49" s="145">
        <v>136932.6</v>
      </c>
    </row>
    <row r="50" spans="2:32" x14ac:dyDescent="0.3">
      <c r="B50" s="752"/>
      <c r="C50" s="18" t="s">
        <v>18</v>
      </c>
      <c r="D50" s="15">
        <v>117360</v>
      </c>
      <c r="E50" s="139"/>
      <c r="F50" s="139"/>
      <c r="G50" s="139"/>
      <c r="H50" s="15">
        <v>119415</v>
      </c>
      <c r="I50" s="15">
        <v>119870</v>
      </c>
      <c r="J50" s="139">
        <v>120088</v>
      </c>
      <c r="K50" s="139">
        <v>120308</v>
      </c>
      <c r="L50" s="139">
        <v>120822.5</v>
      </c>
      <c r="M50" s="139">
        <v>121302</v>
      </c>
      <c r="N50" s="139">
        <v>121666.3</v>
      </c>
      <c r="O50" s="139">
        <v>121815.2</v>
      </c>
      <c r="P50" s="139"/>
      <c r="Q50" s="139"/>
      <c r="R50" s="139"/>
      <c r="S50" s="139"/>
      <c r="T50" s="139"/>
      <c r="U50" s="139"/>
      <c r="V50" s="142">
        <v>123720</v>
      </c>
      <c r="W50" s="142">
        <v>124507</v>
      </c>
      <c r="X50" s="142">
        <v>125060</v>
      </c>
      <c r="Y50" s="142">
        <v>125565</v>
      </c>
      <c r="Z50" s="142">
        <v>125998</v>
      </c>
      <c r="AA50" s="139"/>
      <c r="AB50" s="139"/>
      <c r="AC50" s="142">
        <v>126216</v>
      </c>
      <c r="AD50" s="142">
        <v>126112</v>
      </c>
      <c r="AE50" s="142">
        <v>126758</v>
      </c>
      <c r="AF50" s="145">
        <v>127265.1</v>
      </c>
    </row>
    <row r="51" spans="2:32" x14ac:dyDescent="0.3">
      <c r="B51" s="752"/>
      <c r="C51" s="18" t="s">
        <v>19</v>
      </c>
      <c r="D51" s="15">
        <v>34988</v>
      </c>
      <c r="E51" s="139"/>
      <c r="F51" s="139"/>
      <c r="G51" s="139"/>
      <c r="H51" s="15">
        <v>35546</v>
      </c>
      <c r="I51" s="15">
        <v>35617</v>
      </c>
      <c r="J51" s="139">
        <v>35682</v>
      </c>
      <c r="K51" s="139">
        <v>35749.1</v>
      </c>
      <c r="L51" s="139">
        <v>35894.699999999997</v>
      </c>
      <c r="M51" s="139">
        <v>36028.5</v>
      </c>
      <c r="N51" s="139">
        <v>36128.800000000003</v>
      </c>
      <c r="O51" s="139">
        <v>36170.9</v>
      </c>
      <c r="P51" s="139"/>
      <c r="Q51" s="139"/>
      <c r="R51" s="139"/>
      <c r="S51" s="139"/>
      <c r="T51" s="139"/>
      <c r="U51" s="139"/>
      <c r="V51" s="142">
        <v>36703</v>
      </c>
      <c r="W51" s="142">
        <v>36926</v>
      </c>
      <c r="X51" s="142">
        <v>37079</v>
      </c>
      <c r="Y51" s="142">
        <v>37223</v>
      </c>
      <c r="Z51" s="142">
        <v>37345</v>
      </c>
      <c r="AA51" s="139"/>
      <c r="AB51" s="139"/>
      <c r="AC51" s="142">
        <v>37415</v>
      </c>
      <c r="AD51" s="142">
        <v>37457</v>
      </c>
      <c r="AE51" s="142">
        <v>37559</v>
      </c>
      <c r="AF51" s="145">
        <v>37699.9</v>
      </c>
    </row>
    <row r="52" spans="2:32" x14ac:dyDescent="0.3">
      <c r="B52" s="753"/>
      <c r="C52" s="18" t="s">
        <v>20</v>
      </c>
      <c r="D52" s="15">
        <v>86660</v>
      </c>
      <c r="E52" s="139"/>
      <c r="F52" s="139">
        <v>87740</v>
      </c>
      <c r="G52" s="139"/>
      <c r="H52" s="15">
        <v>88824</v>
      </c>
      <c r="I52" s="15">
        <v>89260</v>
      </c>
      <c r="J52" s="139">
        <v>89462</v>
      </c>
      <c r="K52" s="139">
        <v>89723.5</v>
      </c>
      <c r="L52" s="139">
        <v>90245.9</v>
      </c>
      <c r="M52" s="139">
        <v>90746</v>
      </c>
      <c r="N52" s="139">
        <v>91089.5</v>
      </c>
      <c r="O52" s="139">
        <v>91235</v>
      </c>
      <c r="P52" s="139"/>
      <c r="Q52" s="139"/>
      <c r="R52" s="139"/>
      <c r="S52" s="139"/>
      <c r="T52" s="139"/>
      <c r="U52" s="139"/>
      <c r="V52" s="142">
        <v>93420</v>
      </c>
      <c r="W52" s="142">
        <v>94237</v>
      </c>
      <c r="X52" s="142">
        <v>94806</v>
      </c>
      <c r="Y52" s="142">
        <v>95245</v>
      </c>
      <c r="Z52" s="142">
        <v>95669</v>
      </c>
      <c r="AA52" s="139"/>
      <c r="AB52" s="139"/>
      <c r="AC52" s="142">
        <v>95890</v>
      </c>
      <c r="AD52" s="142">
        <v>96053</v>
      </c>
      <c r="AE52" s="142">
        <v>96406</v>
      </c>
      <c r="AF52" s="145">
        <v>96901.9</v>
      </c>
    </row>
    <row r="53" spans="2:32" x14ac:dyDescent="0.3">
      <c r="B53" s="754" t="s">
        <v>21</v>
      </c>
      <c r="C53" s="18" t="s">
        <v>22</v>
      </c>
      <c r="D53" s="15">
        <v>56650</v>
      </c>
      <c r="E53" s="139"/>
      <c r="F53" s="139"/>
      <c r="G53" s="139"/>
      <c r="H53" s="15">
        <v>56651</v>
      </c>
      <c r="I53" s="15">
        <v>59573</v>
      </c>
      <c r="J53" s="139">
        <v>59773</v>
      </c>
      <c r="K53" s="139">
        <v>60072.3</v>
      </c>
      <c r="L53" s="139">
        <v>60552.600000000006</v>
      </c>
      <c r="M53" s="139">
        <v>60996.000000000007</v>
      </c>
      <c r="N53" s="139">
        <v>61333.000000000007</v>
      </c>
      <c r="O53" s="139">
        <v>61502.400000000009</v>
      </c>
      <c r="P53" s="139"/>
      <c r="Q53" s="139"/>
      <c r="R53" s="139"/>
      <c r="S53" s="139"/>
      <c r="T53" s="139"/>
      <c r="U53" s="139"/>
      <c r="V53" s="142">
        <v>63140</v>
      </c>
      <c r="W53" s="142">
        <v>63375</v>
      </c>
      <c r="X53" s="142">
        <v>63506</v>
      </c>
      <c r="Y53" s="142">
        <v>63972</v>
      </c>
      <c r="Z53" s="142">
        <v>64427</v>
      </c>
      <c r="AA53" s="139"/>
      <c r="AB53" s="139"/>
      <c r="AC53" s="142">
        <v>64717</v>
      </c>
      <c r="AD53" s="142">
        <v>64904</v>
      </c>
      <c r="AE53" s="142">
        <v>65223</v>
      </c>
      <c r="AF53" s="145">
        <v>65700.100000000006</v>
      </c>
    </row>
    <row r="54" spans="2:32" x14ac:dyDescent="0.3">
      <c r="B54" s="754"/>
      <c r="C54" s="18" t="s">
        <v>23</v>
      </c>
      <c r="D54" s="15">
        <v>63580</v>
      </c>
      <c r="E54" s="139"/>
      <c r="F54" s="139">
        <v>65230</v>
      </c>
      <c r="G54" s="139"/>
      <c r="H54" s="15">
        <v>66235</v>
      </c>
      <c r="I54" s="15">
        <v>66553</v>
      </c>
      <c r="J54" s="139">
        <v>66761</v>
      </c>
      <c r="K54" s="139">
        <v>67067.600000000006</v>
      </c>
      <c r="L54" s="139">
        <v>67558.100000000006</v>
      </c>
      <c r="M54" s="139">
        <v>68006.700000000012</v>
      </c>
      <c r="N54" s="139">
        <v>68347.900000000009</v>
      </c>
      <c r="O54" s="139">
        <v>68524.000000000015</v>
      </c>
      <c r="P54" s="139"/>
      <c r="Q54" s="139"/>
      <c r="R54" s="139"/>
      <c r="S54" s="139"/>
      <c r="T54" s="139"/>
      <c r="U54" s="139"/>
      <c r="V54" s="142">
        <v>70720</v>
      </c>
      <c r="W54" s="142">
        <v>71847</v>
      </c>
      <c r="X54" s="142">
        <v>72027</v>
      </c>
      <c r="Y54" s="142">
        <v>72502</v>
      </c>
      <c r="Z54" s="142">
        <v>72967</v>
      </c>
      <c r="AA54" s="139"/>
      <c r="AB54" s="139"/>
      <c r="AC54" s="142">
        <v>73262</v>
      </c>
      <c r="AD54" s="142">
        <v>73452</v>
      </c>
      <c r="AE54" s="142">
        <v>73780</v>
      </c>
      <c r="AF54" s="145">
        <v>74257.600000000006</v>
      </c>
    </row>
    <row r="55" spans="2:32" x14ac:dyDescent="0.3">
      <c r="B55" s="754"/>
      <c r="C55" s="18" t="s">
        <v>24</v>
      </c>
      <c r="D55" s="15">
        <v>127970</v>
      </c>
      <c r="E55" s="139"/>
      <c r="F55" s="139"/>
      <c r="G55" s="139"/>
      <c r="H55" s="15">
        <v>129598</v>
      </c>
      <c r="I55" s="15">
        <v>129707</v>
      </c>
      <c r="J55" s="139">
        <v>129876</v>
      </c>
      <c r="K55" s="139">
        <v>130124.6</v>
      </c>
      <c r="L55" s="139">
        <v>130527.5</v>
      </c>
      <c r="M55" s="139">
        <v>130898</v>
      </c>
      <c r="N55" s="139">
        <v>131189.4</v>
      </c>
      <c r="O55" s="139">
        <v>131331.69999999998</v>
      </c>
      <c r="P55" s="139"/>
      <c r="Q55" s="139"/>
      <c r="R55" s="139"/>
      <c r="S55" s="139"/>
      <c r="T55" s="139"/>
      <c r="U55" s="139"/>
      <c r="V55" s="142">
        <v>133120</v>
      </c>
      <c r="W55" s="142">
        <v>133737</v>
      </c>
      <c r="X55" s="142">
        <v>134165</v>
      </c>
      <c r="Y55" s="142">
        <v>134522</v>
      </c>
      <c r="Z55" s="142">
        <v>134923</v>
      </c>
      <c r="AA55" s="139"/>
      <c r="AB55" s="139"/>
      <c r="AC55" s="142">
        <v>135169</v>
      </c>
      <c r="AD55" s="142">
        <v>135342</v>
      </c>
      <c r="AE55" s="142">
        <v>135576</v>
      </c>
      <c r="AF55" s="145">
        <v>135980.70000000001</v>
      </c>
    </row>
    <row r="56" spans="2:32" x14ac:dyDescent="0.3">
      <c r="B56" s="754"/>
      <c r="C56" s="18" t="s">
        <v>25</v>
      </c>
      <c r="D56" s="15">
        <v>164010</v>
      </c>
      <c r="E56" s="139"/>
      <c r="F56" s="139"/>
      <c r="G56" s="139"/>
      <c r="H56" s="15">
        <v>166103</v>
      </c>
      <c r="I56" s="15">
        <v>166256</v>
      </c>
      <c r="J56" s="139">
        <v>166470</v>
      </c>
      <c r="K56" s="139">
        <v>166763.1</v>
      </c>
      <c r="L56" s="139">
        <v>167277.30000000002</v>
      </c>
      <c r="M56" s="139">
        <v>167759.80000000002</v>
      </c>
      <c r="N56" s="139">
        <v>168151.50000000003</v>
      </c>
      <c r="O56" s="139">
        <v>168332.10000000003</v>
      </c>
      <c r="P56" s="139"/>
      <c r="Q56" s="139"/>
      <c r="R56" s="139"/>
      <c r="S56" s="139"/>
      <c r="T56" s="139"/>
      <c r="U56" s="139"/>
      <c r="V56" s="142">
        <v>170610</v>
      </c>
      <c r="W56" s="142">
        <v>171408</v>
      </c>
      <c r="X56" s="142">
        <v>171973</v>
      </c>
      <c r="Y56" s="142">
        <v>172477</v>
      </c>
      <c r="Z56" s="142">
        <v>172968</v>
      </c>
      <c r="AA56" s="139"/>
      <c r="AB56" s="139"/>
      <c r="AC56" s="142">
        <v>173283</v>
      </c>
      <c r="AD56" s="142">
        <v>173508</v>
      </c>
      <c r="AE56" s="142">
        <v>173791</v>
      </c>
      <c r="AF56" s="145">
        <v>174331</v>
      </c>
    </row>
    <row r="57" spans="2:32" x14ac:dyDescent="0.3">
      <c r="B57" s="754"/>
      <c r="C57" s="18" t="s">
        <v>26</v>
      </c>
      <c r="D57" s="15">
        <v>73840</v>
      </c>
      <c r="E57" s="139"/>
      <c r="F57" s="139"/>
      <c r="G57" s="139"/>
      <c r="H57" s="15">
        <v>75497</v>
      </c>
      <c r="I57" s="15">
        <v>75621</v>
      </c>
      <c r="J57" s="139">
        <v>75796</v>
      </c>
      <c r="K57" s="139">
        <v>76033.2</v>
      </c>
      <c r="L57" s="139">
        <v>76447.899999999994</v>
      </c>
      <c r="M57" s="139">
        <v>76835.5</v>
      </c>
      <c r="N57" s="139">
        <v>77157.899999999994</v>
      </c>
      <c r="O57" s="139">
        <v>77306</v>
      </c>
      <c r="P57" s="139"/>
      <c r="Q57" s="139"/>
      <c r="R57" s="139"/>
      <c r="S57" s="139"/>
      <c r="T57" s="139"/>
      <c r="U57" s="139"/>
      <c r="V57" s="142">
        <v>79150</v>
      </c>
      <c r="W57" s="142">
        <v>79807</v>
      </c>
      <c r="X57" s="142">
        <v>80258</v>
      </c>
      <c r="Y57" s="142">
        <v>80666</v>
      </c>
      <c r="Z57" s="142">
        <v>81057</v>
      </c>
      <c r="AA57" s="139"/>
      <c r="AB57" s="139"/>
      <c r="AC57" s="142">
        <v>81308</v>
      </c>
      <c r="AD57" s="142">
        <v>81483</v>
      </c>
      <c r="AE57" s="142">
        <v>81705</v>
      </c>
      <c r="AF57" s="145">
        <v>82154.600000000006</v>
      </c>
    </row>
    <row r="58" spans="2:32" x14ac:dyDescent="0.3">
      <c r="B58" s="754"/>
      <c r="C58" s="18" t="s">
        <v>27</v>
      </c>
      <c r="D58" s="15">
        <v>51731</v>
      </c>
      <c r="E58" s="139"/>
      <c r="F58" s="139"/>
      <c r="G58" s="139"/>
      <c r="H58" s="15">
        <v>53650</v>
      </c>
      <c r="I58" s="15">
        <v>53739</v>
      </c>
      <c r="J58" s="139">
        <v>53918</v>
      </c>
      <c r="K58" s="139">
        <v>54366.1</v>
      </c>
      <c r="L58" s="139">
        <v>54864.299999999996</v>
      </c>
      <c r="M58" s="139">
        <v>55271.1</v>
      </c>
      <c r="N58" s="139">
        <v>55440.4</v>
      </c>
      <c r="O58" s="139">
        <v>55568.9</v>
      </c>
      <c r="P58" s="139"/>
      <c r="Q58" s="139"/>
      <c r="R58" s="139"/>
      <c r="S58" s="139"/>
      <c r="T58" s="139"/>
      <c r="U58" s="139"/>
      <c r="V58" s="142">
        <v>57855</v>
      </c>
      <c r="W58" s="142">
        <v>58657</v>
      </c>
      <c r="X58" s="142">
        <v>59183</v>
      </c>
      <c r="Y58" s="142">
        <v>59648</v>
      </c>
      <c r="Z58" s="142">
        <v>59974</v>
      </c>
      <c r="AA58" s="139"/>
      <c r="AB58" s="139"/>
      <c r="AC58" s="142">
        <v>59974</v>
      </c>
      <c r="AD58" s="142">
        <v>60390</v>
      </c>
      <c r="AE58" s="142">
        <v>60721</v>
      </c>
      <c r="AF58" s="145">
        <v>61109.599999999999</v>
      </c>
    </row>
    <row r="59" spans="2:32" x14ac:dyDescent="0.3">
      <c r="B59" s="754"/>
      <c r="C59" s="18" t="s">
        <v>28</v>
      </c>
      <c r="D59" s="15">
        <v>83281.89</v>
      </c>
      <c r="E59" s="139"/>
      <c r="F59" s="139"/>
      <c r="G59" s="139"/>
      <c r="H59" s="15" t="s">
        <v>128</v>
      </c>
      <c r="I59" s="15" t="s">
        <v>129</v>
      </c>
      <c r="J59" s="139"/>
      <c r="K59" s="139">
        <v>267.87</v>
      </c>
      <c r="L59" s="139">
        <v>704.52</v>
      </c>
      <c r="M59" s="139">
        <v>1077.72</v>
      </c>
      <c r="N59" s="139">
        <v>1366.16</v>
      </c>
      <c r="O59" s="139">
        <v>1450.27</v>
      </c>
      <c r="P59" s="139"/>
      <c r="Q59" s="139"/>
      <c r="R59" s="139"/>
      <c r="S59" s="139"/>
      <c r="T59" s="139"/>
      <c r="U59" s="139"/>
      <c r="V59" s="142">
        <v>87031.5</v>
      </c>
      <c r="W59" s="142">
        <v>87031.5</v>
      </c>
      <c r="X59" s="142">
        <v>87031.5</v>
      </c>
      <c r="Y59" s="142">
        <v>87031.5</v>
      </c>
      <c r="Z59" s="142">
        <v>87031.5</v>
      </c>
      <c r="AA59" s="139"/>
      <c r="AB59" s="139"/>
      <c r="AC59" s="142">
        <v>87058.84</v>
      </c>
      <c r="AD59" s="142">
        <v>87096.15</v>
      </c>
      <c r="AE59" s="142">
        <v>87176.97</v>
      </c>
      <c r="AF59" s="145">
        <v>87275.47</v>
      </c>
    </row>
    <row r="60" spans="2:32" x14ac:dyDescent="0.3">
      <c r="B60" s="754"/>
      <c r="C60" s="18" t="s">
        <v>29</v>
      </c>
      <c r="D60" s="15">
        <v>118381</v>
      </c>
      <c r="E60" s="139"/>
      <c r="F60" s="139"/>
      <c r="G60" s="139"/>
      <c r="H60" s="15">
        <v>120457</v>
      </c>
      <c r="I60" s="15">
        <v>120898</v>
      </c>
      <c r="J60" s="139">
        <v>121101</v>
      </c>
      <c r="K60" s="139">
        <v>121409.3</v>
      </c>
      <c r="L60" s="139">
        <v>121927.90000000001</v>
      </c>
      <c r="M60" s="139">
        <v>122372.70000000001</v>
      </c>
      <c r="N60" s="139">
        <v>122719.1</v>
      </c>
      <c r="O60" s="139">
        <v>122876.90000000001</v>
      </c>
      <c r="P60" s="139"/>
      <c r="Q60" s="139"/>
      <c r="R60" s="139"/>
      <c r="S60" s="139"/>
      <c r="T60" s="139"/>
      <c r="U60" s="139"/>
      <c r="V60" s="142">
        <v>125036</v>
      </c>
      <c r="W60" s="142">
        <v>125828</v>
      </c>
      <c r="X60" s="142">
        <v>126377</v>
      </c>
      <c r="Y60" s="142">
        <v>126845</v>
      </c>
      <c r="Z60" s="142">
        <v>127275</v>
      </c>
      <c r="AA60" s="139"/>
      <c r="AB60" s="139"/>
      <c r="AC60" s="142">
        <v>127532</v>
      </c>
      <c r="AD60" s="142">
        <v>127678</v>
      </c>
      <c r="AE60" s="142">
        <v>128057</v>
      </c>
      <c r="AF60" s="145">
        <v>128528.9</v>
      </c>
    </row>
    <row r="61" spans="2:32" x14ac:dyDescent="0.3">
      <c r="B61" s="754"/>
      <c r="C61" s="18" t="s">
        <v>30</v>
      </c>
      <c r="D61" s="15"/>
      <c r="E61" s="139"/>
      <c r="F61" s="139"/>
      <c r="G61" s="139"/>
      <c r="H61" s="15"/>
      <c r="I61" s="15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42"/>
      <c r="W61" s="142">
        <v>9174</v>
      </c>
      <c r="X61" s="142">
        <v>11043</v>
      </c>
      <c r="Y61" s="142">
        <v>12698</v>
      </c>
      <c r="Z61" s="142">
        <v>14275</v>
      </c>
      <c r="AA61" s="139"/>
      <c r="AB61" s="139"/>
      <c r="AC61" s="142">
        <v>11207</v>
      </c>
      <c r="AD61" s="142">
        <v>11738</v>
      </c>
      <c r="AE61" s="142">
        <v>12788</v>
      </c>
      <c r="AF61" s="145">
        <v>14078</v>
      </c>
    </row>
    <row r="62" spans="2:32" x14ac:dyDescent="0.3">
      <c r="B62" s="754"/>
      <c r="C62" s="18" t="s">
        <v>111</v>
      </c>
      <c r="D62" s="15">
        <v>34920</v>
      </c>
      <c r="E62" s="139"/>
      <c r="F62" s="139"/>
      <c r="G62" s="139"/>
      <c r="H62" s="15">
        <v>36992</v>
      </c>
      <c r="I62" s="15">
        <v>37119</v>
      </c>
      <c r="J62" s="139">
        <v>37119</v>
      </c>
      <c r="K62" s="139">
        <v>37515.800000000003</v>
      </c>
      <c r="L62" s="139">
        <v>38037.4</v>
      </c>
      <c r="M62" s="139">
        <v>38439.1</v>
      </c>
      <c r="N62" s="139">
        <v>38702.1</v>
      </c>
      <c r="O62" s="139">
        <v>38821.9</v>
      </c>
      <c r="P62" s="139"/>
      <c r="Q62" s="139"/>
      <c r="R62" s="139"/>
      <c r="S62" s="139"/>
      <c r="T62" s="139"/>
      <c r="U62" s="139"/>
      <c r="V62" s="142">
        <v>41270</v>
      </c>
      <c r="W62" s="142">
        <v>42082</v>
      </c>
      <c r="X62" s="142">
        <v>42640</v>
      </c>
      <c r="Y62" s="142">
        <v>43163</v>
      </c>
      <c r="Z62" s="142">
        <v>43517</v>
      </c>
      <c r="AA62" s="139"/>
      <c r="AB62" s="139"/>
      <c r="AC62" s="142">
        <v>43710</v>
      </c>
      <c r="AD62" s="142">
        <v>43984</v>
      </c>
      <c r="AE62" s="142">
        <v>44383</v>
      </c>
      <c r="AF62" s="145">
        <v>44825.9</v>
      </c>
    </row>
    <row r="63" spans="2:32" x14ac:dyDescent="0.3">
      <c r="B63" s="754"/>
      <c r="C63" s="18" t="s">
        <v>32</v>
      </c>
      <c r="D63" s="15">
        <v>24</v>
      </c>
      <c r="E63" s="139"/>
      <c r="F63" s="139"/>
      <c r="G63" s="139"/>
      <c r="H63" s="15">
        <v>1884</v>
      </c>
      <c r="I63" s="15">
        <v>2127</v>
      </c>
      <c r="J63" s="139">
        <v>2337</v>
      </c>
      <c r="K63" s="139">
        <v>2697.8</v>
      </c>
      <c r="L63" s="139">
        <v>3158.5</v>
      </c>
      <c r="M63" s="139">
        <v>3552.8</v>
      </c>
      <c r="N63" s="139">
        <v>3832.9</v>
      </c>
      <c r="O63" s="139">
        <v>3973.1</v>
      </c>
      <c r="P63" s="139"/>
      <c r="Q63" s="139"/>
      <c r="R63" s="139"/>
      <c r="S63" s="139"/>
      <c r="T63" s="139"/>
      <c r="U63" s="139"/>
      <c r="V63" s="142">
        <v>6010</v>
      </c>
      <c r="W63" s="142">
        <v>6717</v>
      </c>
      <c r="X63" s="142">
        <v>7204</v>
      </c>
      <c r="Y63" s="142">
        <v>7655</v>
      </c>
      <c r="Z63" s="142">
        <v>8079</v>
      </c>
      <c r="AA63" s="139"/>
      <c r="AB63" s="139"/>
      <c r="AC63" s="142">
        <v>8257</v>
      </c>
      <c r="AD63" s="142">
        <v>8447</v>
      </c>
      <c r="AE63" s="142">
        <v>8784</v>
      </c>
      <c r="AF63" s="145">
        <v>9151.7000000000007</v>
      </c>
    </row>
    <row r="64" spans="2:32" x14ac:dyDescent="0.3">
      <c r="B64" s="754"/>
      <c r="C64" s="18" t="s">
        <v>112</v>
      </c>
      <c r="D64" s="15">
        <v>9253.9</v>
      </c>
      <c r="E64" s="139"/>
      <c r="F64" s="139"/>
      <c r="G64" s="139"/>
      <c r="H64" s="15">
        <v>9322.2000000000007</v>
      </c>
      <c r="I64" s="15" t="s">
        <v>130</v>
      </c>
      <c r="J64" s="139">
        <v>9322.2000000000007</v>
      </c>
      <c r="K64" s="139">
        <v>9760</v>
      </c>
      <c r="L64" s="139">
        <v>10266.6</v>
      </c>
      <c r="M64" s="139">
        <v>10706.9</v>
      </c>
      <c r="N64" s="139">
        <v>10891.9</v>
      </c>
      <c r="O64" s="139">
        <v>11022.699999999999</v>
      </c>
      <c r="P64" s="139"/>
      <c r="Q64" s="139"/>
      <c r="R64" s="139"/>
      <c r="S64" s="139"/>
      <c r="T64" s="139"/>
      <c r="U64" s="139"/>
      <c r="V64" s="142">
        <v>15370.2</v>
      </c>
      <c r="W64" s="142">
        <v>16179.2</v>
      </c>
      <c r="X64" s="142">
        <v>16708.3</v>
      </c>
      <c r="Y64" s="142">
        <v>17164</v>
      </c>
      <c r="Z64" s="142">
        <v>17498.5</v>
      </c>
      <c r="AA64" s="139"/>
      <c r="AB64" s="139"/>
      <c r="AC64" s="142">
        <v>17649.599999999999</v>
      </c>
      <c r="AD64" s="142">
        <v>17901.8</v>
      </c>
      <c r="AE64" s="142">
        <v>18225</v>
      </c>
      <c r="AF64" s="145">
        <v>18605.8</v>
      </c>
    </row>
    <row r="65" spans="2:25" x14ac:dyDescent="0.3">
      <c r="B65" s="756" t="s">
        <v>131</v>
      </c>
      <c r="C65" s="756"/>
      <c r="D65" s="756"/>
      <c r="E65" s="756"/>
      <c r="P65" s="63">
        <v>252.9</v>
      </c>
      <c r="Q65" s="63">
        <v>212.3</v>
      </c>
      <c r="R65" s="63">
        <v>256.5</v>
      </c>
      <c r="S65" s="15">
        <v>518.1</v>
      </c>
      <c r="T65" s="15">
        <v>0</v>
      </c>
      <c r="U65" s="15">
        <v>249.3</v>
      </c>
      <c r="V65">
        <v>1637.5999999999913</v>
      </c>
    </row>
    <row r="66" spans="2:25" x14ac:dyDescent="0.3">
      <c r="B66" s="757" t="s">
        <v>132</v>
      </c>
      <c r="C66" s="757"/>
      <c r="D66" s="757"/>
      <c r="E66" s="757"/>
      <c r="P66" s="63">
        <v>271.39999999999998</v>
      </c>
      <c r="Q66" s="63">
        <v>220.5</v>
      </c>
      <c r="R66" s="63">
        <v>273.5</v>
      </c>
      <c r="S66" s="15">
        <v>526.4</v>
      </c>
      <c r="T66" s="15">
        <v>497</v>
      </c>
      <c r="U66" s="15">
        <v>263.39999999999998</v>
      </c>
      <c r="V66">
        <v>2195.9999999999854</v>
      </c>
    </row>
    <row r="69" spans="2:25" x14ac:dyDescent="0.3">
      <c r="P69" s="102">
        <v>1489.1000000000001</v>
      </c>
      <c r="Q69">
        <v>1471.9999999999914</v>
      </c>
      <c r="R69">
        <v>165.6</v>
      </c>
      <c r="V69" s="756" t="s">
        <v>131</v>
      </c>
      <c r="W69" s="756"/>
      <c r="X69" s="756"/>
      <c r="Y69" s="756"/>
    </row>
    <row r="70" spans="2:25" x14ac:dyDescent="0.3">
      <c r="P70" s="102">
        <v>2052.1999999999998</v>
      </c>
      <c r="Q70">
        <v>2032.8999999999855</v>
      </c>
      <c r="R70">
        <v>163.1</v>
      </c>
    </row>
  </sheetData>
  <mergeCells count="10">
    <mergeCell ref="B4:C4"/>
    <mergeCell ref="B5:B12"/>
    <mergeCell ref="B13:B16"/>
    <mergeCell ref="B17:B28"/>
    <mergeCell ref="B41:B48"/>
    <mergeCell ref="B49:B52"/>
    <mergeCell ref="B53:B64"/>
    <mergeCell ref="V69:Y69"/>
    <mergeCell ref="B65:E65"/>
    <mergeCell ref="B66:E66"/>
  </mergeCells>
  <conditionalFormatting sqref="AL5:BP28">
    <cfRule type="cellIs" dxfId="178" priority="2" operator="equal">
      <formula>"VAZIO"</formula>
    </cfRule>
  </conditionalFormatting>
  <conditionalFormatting sqref="AL5:BQ28">
    <cfRule type="expression" dxfId="177" priority="6">
      <formula>AL5&gt;$BR5</formula>
    </cfRule>
    <cfRule type="expression" dxfId="176" priority="7">
      <formula>AL5&lt;($BR5-0.01)</formula>
    </cfRule>
  </conditionalFormatting>
  <conditionalFormatting sqref="AM8:BP8 AM16:BP16 AM24:BP25">
    <cfRule type="cellIs" dxfId="175" priority="3" operator="equal">
      <formula>"""VAZIO"""</formula>
    </cfRule>
  </conditionalFormatting>
  <conditionalFormatting sqref="AP5:BP28">
    <cfRule type="expression" dxfId="174" priority="1">
      <formula>AP5=0</formula>
    </cfRule>
  </conditionalFormatting>
  <conditionalFormatting sqref="BU5:BU28">
    <cfRule type="cellIs" dxfId="173" priority="4" operator="greaterThan">
      <formula>0</formula>
    </cfRule>
    <cfRule type="cellIs" dxfId="172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19D88-ED97-46BD-AE06-C7C209F3B3D8}">
  <dimension ref="B3:BW66"/>
  <sheetViews>
    <sheetView zoomScaleNormal="100" workbookViewId="0">
      <pane xSplit="3" ySplit="4" topLeftCell="D28" activePane="bottomRight" state="frozen"/>
      <selection pane="topRight" activeCell="D1" sqref="D1"/>
      <selection pane="bottomLeft" activeCell="A5" sqref="A5"/>
      <selection pane="bottomRight" activeCell="AH23" sqref="AH23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23" width="16.44140625" customWidth="1"/>
    <col min="24" max="24" width="17.109375" customWidth="1"/>
    <col min="25" max="25" width="17.5546875" customWidth="1"/>
    <col min="26" max="29" width="16.44140625" customWidth="1"/>
    <col min="30" max="31" width="18.33203125" customWidth="1"/>
    <col min="32" max="32" width="17.6640625" customWidth="1"/>
    <col min="33" max="33" width="16.33203125" customWidth="1"/>
    <col min="34" max="34" width="19.6640625" customWidth="1"/>
    <col min="35" max="35" width="15.6640625" customWidth="1"/>
    <col min="36" max="36" width="15.88671875" hidden="1" customWidth="1"/>
    <col min="37" max="66" width="11.88671875" customWidth="1"/>
    <col min="67" max="67" width="17.6640625" customWidth="1"/>
    <col min="68" max="68" width="14.33203125" hidden="1" customWidth="1"/>
    <col min="69" max="70" width="9.109375" hidden="1" customWidth="1"/>
    <col min="71" max="71" width="19" customWidth="1"/>
    <col min="72" max="72" width="18.88671875" customWidth="1"/>
    <col min="73" max="73" width="15.109375" customWidth="1"/>
  </cols>
  <sheetData>
    <row r="3" spans="2:75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</row>
    <row r="4" spans="2:75" ht="44.25" customHeight="1" x14ac:dyDescent="0.3">
      <c r="B4" s="764" t="s">
        <v>133</v>
      </c>
      <c r="C4" s="765"/>
      <c r="D4" s="167" t="s">
        <v>134</v>
      </c>
      <c r="E4" s="52" t="s">
        <v>135</v>
      </c>
      <c r="F4" s="52" t="s">
        <v>136</v>
      </c>
      <c r="G4" s="52" t="s">
        <v>137</v>
      </c>
      <c r="H4" s="52" t="s">
        <v>138</v>
      </c>
      <c r="I4" s="52" t="s">
        <v>139</v>
      </c>
      <c r="J4" s="52" t="s">
        <v>140</v>
      </c>
      <c r="K4" s="52" t="s">
        <v>141</v>
      </c>
      <c r="L4" s="52" t="s">
        <v>142</v>
      </c>
      <c r="M4" s="52" t="s">
        <v>143</v>
      </c>
      <c r="N4" s="52" t="s">
        <v>144</v>
      </c>
      <c r="O4" s="52" t="s">
        <v>145</v>
      </c>
      <c r="P4" s="52" t="s">
        <v>146</v>
      </c>
      <c r="Q4" s="52" t="s">
        <v>147</v>
      </c>
      <c r="R4" s="52" t="s">
        <v>148</v>
      </c>
      <c r="S4" s="52" t="s">
        <v>149</v>
      </c>
      <c r="T4" s="52" t="s">
        <v>150</v>
      </c>
      <c r="U4" s="52" t="s">
        <v>151</v>
      </c>
      <c r="V4" s="52" t="s">
        <v>152</v>
      </c>
      <c r="W4" s="52" t="s">
        <v>153</v>
      </c>
      <c r="X4" s="52" t="s">
        <v>154</v>
      </c>
      <c r="Y4" s="52" t="s">
        <v>155</v>
      </c>
      <c r="Z4" s="52" t="s">
        <v>156</v>
      </c>
      <c r="AA4" s="52" t="s">
        <v>157</v>
      </c>
      <c r="AB4" s="52" t="s">
        <v>158</v>
      </c>
      <c r="AC4" s="52" t="s">
        <v>159</v>
      </c>
      <c r="AD4" s="52" t="s">
        <v>160</v>
      </c>
      <c r="AE4" s="52" t="s">
        <v>161</v>
      </c>
      <c r="AF4" s="52" t="s">
        <v>162</v>
      </c>
      <c r="AG4" s="117" t="s">
        <v>163</v>
      </c>
      <c r="AH4" s="26" t="s">
        <v>69</v>
      </c>
      <c r="AI4" s="26" t="s">
        <v>2</v>
      </c>
      <c r="AJ4" s="120" t="s">
        <v>70</v>
      </c>
      <c r="AK4" s="56" t="s">
        <v>164</v>
      </c>
      <c r="AL4" s="57" t="s">
        <v>165</v>
      </c>
      <c r="AM4" s="57" t="s">
        <v>166</v>
      </c>
      <c r="AN4" s="57" t="s">
        <v>167</v>
      </c>
      <c r="AO4" s="57" t="s">
        <v>168</v>
      </c>
      <c r="AP4" s="57" t="s">
        <v>169</v>
      </c>
      <c r="AQ4" s="57" t="s">
        <v>170</v>
      </c>
      <c r="AR4" s="57" t="s">
        <v>171</v>
      </c>
      <c r="AS4" s="57" t="s">
        <v>172</v>
      </c>
      <c r="AT4" s="57" t="s">
        <v>173</v>
      </c>
      <c r="AU4" s="57" t="s">
        <v>174</v>
      </c>
      <c r="AV4" s="57" t="s">
        <v>175</v>
      </c>
      <c r="AW4" s="57" t="s">
        <v>176</v>
      </c>
      <c r="AX4" s="57" t="s">
        <v>177</v>
      </c>
      <c r="AY4" s="57" t="s">
        <v>178</v>
      </c>
      <c r="AZ4" s="57" t="s">
        <v>179</v>
      </c>
      <c r="BA4" s="57" t="s">
        <v>180</v>
      </c>
      <c r="BB4" s="57" t="s">
        <v>181</v>
      </c>
      <c r="BC4" s="57" t="s">
        <v>182</v>
      </c>
      <c r="BD4" s="57" t="s">
        <v>183</v>
      </c>
      <c r="BE4" s="57" t="s">
        <v>184</v>
      </c>
      <c r="BF4" s="57" t="s">
        <v>185</v>
      </c>
      <c r="BG4" s="57" t="s">
        <v>186</v>
      </c>
      <c r="BH4" s="57" t="s">
        <v>187</v>
      </c>
      <c r="BI4" s="57" t="s">
        <v>188</v>
      </c>
      <c r="BJ4" s="57" t="s">
        <v>189</v>
      </c>
      <c r="BK4" s="57" t="s">
        <v>190</v>
      </c>
      <c r="BL4" s="57" t="s">
        <v>191</v>
      </c>
      <c r="BM4" s="57" t="s">
        <v>192</v>
      </c>
      <c r="BN4" s="57" t="s">
        <v>193</v>
      </c>
      <c r="BO4" s="59" t="s">
        <v>102</v>
      </c>
      <c r="BP4" s="54" t="s">
        <v>103</v>
      </c>
      <c r="BQ4" s="60" t="s">
        <v>104</v>
      </c>
      <c r="BR4" s="33" t="s">
        <v>105</v>
      </c>
      <c r="BS4" s="33" t="s">
        <v>106</v>
      </c>
      <c r="BU4" s="3"/>
      <c r="BV4" s="2"/>
      <c r="BW4" s="2"/>
    </row>
    <row r="5" spans="2:75" x14ac:dyDescent="0.3">
      <c r="B5" s="759" t="s">
        <v>6</v>
      </c>
      <c r="C5" s="61" t="s">
        <v>7</v>
      </c>
      <c r="D5" s="62">
        <v>53.4</v>
      </c>
      <c r="E5" s="63">
        <v>25.2</v>
      </c>
      <c r="F5" s="63">
        <v>56</v>
      </c>
      <c r="G5" s="63">
        <v>59</v>
      </c>
      <c r="H5" s="63">
        <v>39.200000000000003</v>
      </c>
      <c r="I5" s="63">
        <v>23.1</v>
      </c>
      <c r="J5" s="63">
        <v>36.5</v>
      </c>
      <c r="K5" s="63">
        <v>66</v>
      </c>
      <c r="L5" s="63">
        <v>66.099999999999994</v>
      </c>
      <c r="M5" s="63">
        <v>66.5</v>
      </c>
      <c r="N5" s="63">
        <v>66.7</v>
      </c>
      <c r="O5" s="63">
        <v>67.5</v>
      </c>
      <c r="P5" s="63">
        <v>66.599999999999994</v>
      </c>
      <c r="Q5" s="63">
        <v>60.7</v>
      </c>
      <c r="R5" s="63">
        <v>19.7</v>
      </c>
      <c r="S5" s="63">
        <v>44</v>
      </c>
      <c r="T5" s="63">
        <v>67.2</v>
      </c>
      <c r="U5" s="15">
        <v>69.900000000000006</v>
      </c>
      <c r="V5" s="15">
        <v>69.2</v>
      </c>
      <c r="W5" s="15">
        <v>64.900000000000006</v>
      </c>
      <c r="X5" s="15">
        <v>52.6</v>
      </c>
      <c r="Y5" s="15">
        <v>67.5</v>
      </c>
      <c r="Z5" s="15">
        <v>67</v>
      </c>
      <c r="AA5" s="15">
        <v>66</v>
      </c>
      <c r="AB5" s="143">
        <v>63.8</v>
      </c>
      <c r="AC5" s="143">
        <v>44</v>
      </c>
      <c r="AD5" s="207">
        <v>36.799999999999997</v>
      </c>
      <c r="AE5" s="143">
        <v>47.7</v>
      </c>
      <c r="AF5" s="215">
        <v>20.5</v>
      </c>
      <c r="AG5" s="217">
        <v>21.1</v>
      </c>
      <c r="AH5" s="155">
        <f>SUM(D5:AG5)</f>
        <v>1574.4</v>
      </c>
      <c r="AI5" s="118">
        <v>12</v>
      </c>
      <c r="AJ5" s="121">
        <f t="shared" ref="AJ5:AJ11" si="0">F5/(AI5*432)</f>
        <v>1.0802469135802469E-2</v>
      </c>
      <c r="AK5" s="67">
        <f t="shared" ref="AK5:AK28" si="1">IF(OR(D5="",D5="Sem monitoramento"),"VAZIO",IFERROR(D5/($AI5*24),"-"))</f>
        <v>0.18541666666666667</v>
      </c>
      <c r="AL5" s="68">
        <f t="shared" ref="AL5:AL28" si="2">IF(OR(E5="",E5="Sem monitoramento"),"VAZIO",IFERROR(E5/($AI5*24),"-"))</f>
        <v>8.7499999999999994E-2</v>
      </c>
      <c r="AM5" s="68">
        <f t="shared" ref="AM5:AM28" si="3">IF(OR(F5="",F5="Sem monitoramento"),"VAZIO",IFERROR(F5/($AI5*24),"-"))</f>
        <v>0.19444444444444445</v>
      </c>
      <c r="AN5" s="68">
        <f t="shared" ref="AN5:AN28" si="4">IF(OR(G5="",G5="Sem monitoramento"),"VAZIO",IFERROR(G5/($AI5*24),"-"))</f>
        <v>0.2048611111111111</v>
      </c>
      <c r="AO5" s="68">
        <f t="shared" ref="AO5:AO28" si="5">IF(OR(H5="",H5="Sem monitoramento"),"VAZIO",IFERROR(H5/($AI5*24),"-"))</f>
        <v>0.13611111111111113</v>
      </c>
      <c r="AP5" s="68">
        <f t="shared" ref="AP5:AP28" si="6">IF(OR(I5="",I5="Sem monitoramento"),"VAZIO",IFERROR(I5/($AI5*24),"-"))</f>
        <v>8.020833333333334E-2</v>
      </c>
      <c r="AQ5" s="68">
        <f t="shared" ref="AQ5:AQ28" si="7">IF(OR(J5="",J5="Sem monitoramento"),"VAZIO",IFERROR(J5/($AI5*24),"-"))</f>
        <v>0.1267361111111111</v>
      </c>
      <c r="AR5" s="68">
        <f t="shared" ref="AR5:AR28" si="8">IF(OR(K5="",K5="Sem monitoramento"),"VAZIO",IFERROR(K5/($AI5*24),"-"))</f>
        <v>0.22916666666666666</v>
      </c>
      <c r="AS5" s="68">
        <f t="shared" ref="AS5:AS28" si="9">IF(OR(L5="",L5="Sem monitoramento"),"VAZIO",IFERROR(L5/($AI5*24),"-"))</f>
        <v>0.22951388888888888</v>
      </c>
      <c r="AT5" s="68">
        <f t="shared" ref="AT5:AT28" si="10">IF(OR(M5="",M5="Sem monitoramento"),"VAZIO",IFERROR(M5/($AI5*24),"-"))</f>
        <v>0.23090277777777779</v>
      </c>
      <c r="AU5" s="68">
        <f t="shared" ref="AU5:AU28" si="11">IF(OR(N5="",N5="Sem monitoramento"),"VAZIO",IFERROR(N5/($AI5*24),"-"))</f>
        <v>0.23159722222222223</v>
      </c>
      <c r="AV5" s="68">
        <f t="shared" ref="AV5:AV28" si="12">IF(OR(O5="",O5="Sem monitoramento"),"VAZIO",IFERROR(O5/($AI5*24),"-"))</f>
        <v>0.234375</v>
      </c>
      <c r="AW5" s="68">
        <f t="shared" ref="AW5:AW28" si="13">IF(OR(P5="",P5="Sem monitoramento"),"VAZIO",IFERROR(P5/($AI5*24),"-"))</f>
        <v>0.23124999999999998</v>
      </c>
      <c r="AX5" s="68">
        <f t="shared" ref="AX5:AX28" si="14">IF(OR(Q5="",Q5="Sem monitoramento"),"VAZIO",IFERROR(Q5/($AI5*24),"-"))</f>
        <v>0.21076388888888889</v>
      </c>
      <c r="AY5" s="68">
        <f t="shared" ref="AY5:AY28" si="15">IF(OR(R5="",R5="Sem monitoramento"),"VAZIO",IFERROR(R5/($AI5*24),"-"))</f>
        <v>6.8402777777777771E-2</v>
      </c>
      <c r="AZ5" s="68">
        <f t="shared" ref="AZ5:AZ28" si="16">IF(OR(S5="",S5="Sem monitoramento"),"VAZIO",IFERROR(S5/($AI5*24),"-"))</f>
        <v>0.15277777777777779</v>
      </c>
      <c r="BA5" s="68">
        <f t="shared" ref="BA5:BA28" si="17">IF(OR(T5="",T5="Sem monitoramento"),"VAZIO",IFERROR(T5/($AI5*24),"-"))</f>
        <v>0.23333333333333334</v>
      </c>
      <c r="BB5" s="68">
        <f t="shared" ref="BB5:BB28" si="18">IF(OR(U5="",U5="Sem monitoramento"),"VAZIO",IFERROR(U5/($AI5*24),"-"))</f>
        <v>0.24270833333333336</v>
      </c>
      <c r="BC5" s="68">
        <f t="shared" ref="BC5:BC28" si="19">IF(OR(V5="",V5="Sem monitoramento"),"VAZIO",IFERROR(V5/($AI5*24),"-"))</f>
        <v>0.24027777777777778</v>
      </c>
      <c r="BD5" s="68">
        <f t="shared" ref="BD5:BD28" si="20">IF(OR(W5="",W5="Sem monitoramento"),"VAZIO",IFERROR(W5/($AI5*24),"-"))</f>
        <v>0.22534722222222225</v>
      </c>
      <c r="BE5" s="68">
        <f t="shared" ref="BE5:BE28" si="21">IF(OR(X5="",X5="Sem monitoramento"),"VAZIO",IFERROR(X5/($AI5*24),"-"))</f>
        <v>0.18263888888888891</v>
      </c>
      <c r="BF5" s="68">
        <f t="shared" ref="BF5:BF28" si="22">IF(OR(Y5="",Y5="Sem monitoramento"),"VAZIO",IFERROR(Y5/($AI5*24),"-"))</f>
        <v>0.234375</v>
      </c>
      <c r="BG5" s="68">
        <f t="shared" ref="BG5:BG28" si="23">IF(OR(Z5="",Z5="Sem monitoramento"),"VAZIO",IFERROR(Z5/($AI5*24),"-"))</f>
        <v>0.2326388888888889</v>
      </c>
      <c r="BH5" s="68">
        <f t="shared" ref="BH5:BH28" si="24">IF(OR(AA5="",AA5="Sem monitoramento"),"VAZIO",IFERROR(AA5/($AI5*24),"-"))</f>
        <v>0.22916666666666666</v>
      </c>
      <c r="BI5" s="68">
        <f t="shared" ref="BI5:BI28" si="25">IF(OR(AB5="",AB5="Sem monitoramento"),"VAZIO",IFERROR(AB5/($AI5*24),"-"))</f>
        <v>0.22152777777777777</v>
      </c>
      <c r="BJ5" s="68">
        <f t="shared" ref="BJ5:BJ28" si="26">IF(OR(AC5="",AC5="Sem monitoramento"),"VAZIO",IFERROR(AC5/($AI5*24),"-"))</f>
        <v>0.15277777777777779</v>
      </c>
      <c r="BK5" s="68">
        <f t="shared" ref="BK5:BK28" si="27">IF(OR(AD5="",AD5="Sem monitoramento"),"VAZIO",IFERROR(AD5/($AI5*24),"-"))</f>
        <v>0.12777777777777777</v>
      </c>
      <c r="BL5" s="68">
        <f t="shared" ref="BL5:BL28" si="28">IF(OR(AE5="",AE5="Sem monitoramento"),"VAZIO",IFERROR(AE5/($AI5*24),"-"))</f>
        <v>0.16562500000000002</v>
      </c>
      <c r="BM5" s="68">
        <f t="shared" ref="BM5:BM28" si="29">IF(OR(AF5="",AF5="Sem monitoramento"),"VAZIO",IFERROR(AF5/($AI5*24),"-"))</f>
        <v>7.1180555555555552E-2</v>
      </c>
      <c r="BN5" s="68">
        <f t="shared" ref="BN5:BN28" si="30">IF(OR(AG5="",AG5="Sem monitoramento"),"VAZIO",IFERROR(AG5/($AI5*24),"-"))</f>
        <v>7.3263888888888892E-2</v>
      </c>
      <c r="BO5" s="70">
        <f t="shared" ref="BO5:BO28" si="31">AH5/(AI5*(COUNTA(D5:AG5)*24))</f>
        <v>0.18222222222222223</v>
      </c>
      <c r="BP5" s="180">
        <f>'FCs estimados em PVsyst'!Y3</f>
        <v>0.1804398148148148</v>
      </c>
      <c r="BQ5" s="72">
        <f t="shared" ref="BQ5:BQ11" si="32">AI5*BP5</f>
        <v>2.1652777777777779</v>
      </c>
      <c r="BR5" s="73">
        <f t="shared" ref="BR5:BR11" si="33">AM5-BP5</f>
        <v>1.4004629629629645E-2</v>
      </c>
      <c r="BS5" s="74">
        <f t="shared" ref="BS5:BS28" si="34">BO5-BP5</f>
        <v>1.782407407407427E-3</v>
      </c>
      <c r="BT5" s="15" t="s">
        <v>7</v>
      </c>
      <c r="BU5" s="75" t="s">
        <v>107</v>
      </c>
      <c r="BV5" s="7">
        <f>COUNTIF(BS5:BS28,"&gt;0")</f>
        <v>15</v>
      </c>
      <c r="BW5" s="2"/>
    </row>
    <row r="6" spans="2:75" x14ac:dyDescent="0.3">
      <c r="B6" s="760"/>
      <c r="C6" s="214" t="s">
        <v>8</v>
      </c>
      <c r="D6" s="62">
        <f>243.4+60.3</f>
        <v>303.7</v>
      </c>
      <c r="E6" s="63">
        <f>114.9+27.8</f>
        <v>142.70000000000002</v>
      </c>
      <c r="F6" s="63">
        <f>258.8+62.5</f>
        <v>321.3</v>
      </c>
      <c r="G6" s="63">
        <f>69.6+288.3</f>
        <v>357.9</v>
      </c>
      <c r="H6" s="63">
        <f>12.65+197.8</f>
        <v>210.45000000000002</v>
      </c>
      <c r="I6" s="63">
        <f>110.6+26.4</f>
        <v>137</v>
      </c>
      <c r="J6" s="63">
        <f>172.6+41.7</f>
        <v>214.3</v>
      </c>
      <c r="K6" s="63">
        <f>288.1+70.9</f>
        <v>359</v>
      </c>
      <c r="L6" s="63">
        <f>317.2+77.2</f>
        <v>394.4</v>
      </c>
      <c r="M6" s="63">
        <f>318.1+77.4</f>
        <v>395.5</v>
      </c>
      <c r="N6" s="63">
        <f>78+316.2</f>
        <v>394.2</v>
      </c>
      <c r="O6" s="63">
        <f>323.6+78.7</f>
        <v>402.3</v>
      </c>
      <c r="P6" s="63">
        <f>76.1+308.9</f>
        <v>385</v>
      </c>
      <c r="Q6" s="63">
        <f>71.3+294</f>
        <v>365.3</v>
      </c>
      <c r="R6" s="63">
        <v>109.2</v>
      </c>
      <c r="S6" s="63">
        <f>48.6+196.5</f>
        <v>245.1</v>
      </c>
      <c r="T6" s="63">
        <f>287.9+73.4</f>
        <v>361.29999999999995</v>
      </c>
      <c r="U6" s="15">
        <f>80.3+329.4</f>
        <v>409.7</v>
      </c>
      <c r="V6" s="15">
        <f>79.1+323.3</f>
        <v>402.4</v>
      </c>
      <c r="W6" s="15">
        <f>79+322.2</f>
        <v>401.2</v>
      </c>
      <c r="X6" s="15">
        <f>227.1+58.1</f>
        <v>285.2</v>
      </c>
      <c r="Y6" s="15">
        <f>313.4+74.7</f>
        <v>388.09999999999997</v>
      </c>
      <c r="Z6" s="15">
        <v>386.2</v>
      </c>
      <c r="AA6" s="15">
        <f>75.1+309.5</f>
        <v>384.6</v>
      </c>
      <c r="AB6" s="143">
        <f>290.2+72.7</f>
        <v>362.9</v>
      </c>
      <c r="AC6" s="143">
        <f>176.3+41.7</f>
        <v>218</v>
      </c>
      <c r="AD6" s="143">
        <f>173.6+42.1</f>
        <v>215.7</v>
      </c>
      <c r="AE6" s="143">
        <v>216.6</v>
      </c>
      <c r="AF6" s="215">
        <f>22.3+93.9</f>
        <v>116.2</v>
      </c>
      <c r="AG6" s="217">
        <f>89.6+21.4</f>
        <v>111</v>
      </c>
      <c r="AH6" s="155">
        <f t="shared" ref="AH6:AH28" si="35">SUM(D6:AG6)</f>
        <v>8996.4500000000025</v>
      </c>
      <c r="AI6" s="118">
        <v>67</v>
      </c>
      <c r="AJ6" s="121">
        <f t="shared" si="0"/>
        <v>1.1100746268656717E-2</v>
      </c>
      <c r="AK6" s="67">
        <f t="shared" si="1"/>
        <v>0.18886815920398009</v>
      </c>
      <c r="AL6" s="68">
        <f t="shared" si="2"/>
        <v>8.874378109452738E-2</v>
      </c>
      <c r="AM6" s="68">
        <f t="shared" si="3"/>
        <v>0.1998134328358209</v>
      </c>
      <c r="AN6" s="68">
        <f t="shared" si="4"/>
        <v>0.22257462686567162</v>
      </c>
      <c r="AO6" s="68">
        <f t="shared" si="5"/>
        <v>0.13087686567164181</v>
      </c>
      <c r="AP6" s="68">
        <f t="shared" si="6"/>
        <v>8.5199004975124379E-2</v>
      </c>
      <c r="AQ6" s="68">
        <f t="shared" si="7"/>
        <v>0.13327114427860698</v>
      </c>
      <c r="AR6" s="68">
        <f t="shared" si="8"/>
        <v>0.22325870646766169</v>
      </c>
      <c r="AS6" s="68">
        <f t="shared" si="9"/>
        <v>0.24527363184079601</v>
      </c>
      <c r="AT6" s="68">
        <f t="shared" si="10"/>
        <v>0.24595771144278608</v>
      </c>
      <c r="AU6" s="68">
        <f t="shared" si="11"/>
        <v>0.24514925373134328</v>
      </c>
      <c r="AV6" s="68">
        <f t="shared" si="12"/>
        <v>0.25018656716417909</v>
      </c>
      <c r="AW6" s="68">
        <f t="shared" si="13"/>
        <v>0.23942786069651742</v>
      </c>
      <c r="AX6" s="68">
        <f>IF(OR(Q6="",Q6="Sem monitoramento"),"VAZIO",IFERROR(Q6/($AI6*24),"-"))</f>
        <v>0.2271766169154229</v>
      </c>
      <c r="AY6" s="68">
        <f t="shared" si="15"/>
        <v>6.7910447761194037E-2</v>
      </c>
      <c r="AZ6" s="68">
        <f t="shared" si="16"/>
        <v>0.15242537313432836</v>
      </c>
      <c r="BA6" s="68">
        <f t="shared" si="17"/>
        <v>0.22468905472636813</v>
      </c>
      <c r="BB6" s="68">
        <f t="shared" si="18"/>
        <v>0.25478855721393034</v>
      </c>
      <c r="BC6" s="68">
        <f t="shared" si="19"/>
        <v>0.25024875621890547</v>
      </c>
      <c r="BD6" s="68">
        <f t="shared" si="20"/>
        <v>0.24950248756218904</v>
      </c>
      <c r="BE6" s="68">
        <f t="shared" si="21"/>
        <v>0.17736318407960197</v>
      </c>
      <c r="BF6" s="68">
        <f t="shared" si="22"/>
        <v>0.24135572139303479</v>
      </c>
      <c r="BG6" s="68">
        <f t="shared" si="23"/>
        <v>0.24017412935323382</v>
      </c>
      <c r="BH6" s="68">
        <f t="shared" si="24"/>
        <v>0.23917910447761195</v>
      </c>
      <c r="BI6" s="68">
        <f t="shared" si="25"/>
        <v>0.22568407960199002</v>
      </c>
      <c r="BJ6" s="68">
        <f t="shared" si="26"/>
        <v>0.13557213930348258</v>
      </c>
      <c r="BK6" s="68">
        <f t="shared" si="27"/>
        <v>0.13414179104477611</v>
      </c>
      <c r="BL6" s="68">
        <f t="shared" si="28"/>
        <v>0.13470149253731342</v>
      </c>
      <c r="BM6" s="68">
        <f t="shared" si="29"/>
        <v>7.2263681592039802E-2</v>
      </c>
      <c r="BN6" s="68">
        <f t="shared" si="30"/>
        <v>6.9029850746268662E-2</v>
      </c>
      <c r="BO6" s="70">
        <f t="shared" si="31"/>
        <v>0.18649357379767834</v>
      </c>
      <c r="BP6" s="180">
        <f>'FCs estimados em PVsyst'!Y4</f>
        <v>0.1868988391376451</v>
      </c>
      <c r="BQ6" s="72">
        <f t="shared" si="32"/>
        <v>12.522222222222222</v>
      </c>
      <c r="BR6" s="73">
        <f t="shared" si="33"/>
        <v>1.2914593698175797E-2</v>
      </c>
      <c r="BS6" s="74">
        <f t="shared" si="34"/>
        <v>-4.0526533996676495E-4</v>
      </c>
      <c r="BT6" s="15" t="s">
        <v>8</v>
      </c>
      <c r="BU6" s="77" t="s">
        <v>108</v>
      </c>
      <c r="BV6" s="78">
        <f>(COUNTA(BT5:BT28)-BV5-BV7)</f>
        <v>4</v>
      </c>
      <c r="BW6" s="2"/>
    </row>
    <row r="7" spans="2:75" x14ac:dyDescent="0.3">
      <c r="B7" s="760"/>
      <c r="C7" s="61" t="s">
        <v>9</v>
      </c>
      <c r="D7" s="62">
        <v>209.6</v>
      </c>
      <c r="E7" s="63">
        <v>107.4</v>
      </c>
      <c r="F7" s="63">
        <v>230.3</v>
      </c>
      <c r="G7" s="63">
        <v>242.4</v>
      </c>
      <c r="H7" s="63">
        <v>155.5</v>
      </c>
      <c r="I7" s="63">
        <v>95.4</v>
      </c>
      <c r="J7" s="63">
        <v>156.80000000000001</v>
      </c>
      <c r="K7" s="63">
        <v>160.9</v>
      </c>
      <c r="L7" s="63">
        <v>269.2</v>
      </c>
      <c r="M7" s="63">
        <v>270.2</v>
      </c>
      <c r="N7" s="63">
        <v>270.89999999999998</v>
      </c>
      <c r="O7" s="63">
        <v>275.3</v>
      </c>
      <c r="P7" s="63">
        <v>271.5</v>
      </c>
      <c r="Q7" s="63">
        <v>244.1</v>
      </c>
      <c r="R7" s="63">
        <v>82.2</v>
      </c>
      <c r="S7" s="63">
        <v>186</v>
      </c>
      <c r="T7" s="63">
        <v>272.10000000000002</v>
      </c>
      <c r="U7" s="15">
        <v>237</v>
      </c>
      <c r="V7" s="15">
        <v>241.7</v>
      </c>
      <c r="W7" s="15">
        <v>262.10000000000002</v>
      </c>
      <c r="X7" s="15">
        <v>211.9</v>
      </c>
      <c r="Y7" s="15">
        <v>272.60000000000002</v>
      </c>
      <c r="Z7" s="15">
        <v>268.5</v>
      </c>
      <c r="AA7" s="15">
        <v>267.2</v>
      </c>
      <c r="AB7" s="143">
        <v>256.39999999999998</v>
      </c>
      <c r="AC7" s="143">
        <v>182.9</v>
      </c>
      <c r="AD7" s="207">
        <v>143.30000000000001</v>
      </c>
      <c r="AE7" s="143">
        <v>192.3</v>
      </c>
      <c r="AF7" s="215">
        <v>80.7</v>
      </c>
      <c r="AG7" s="217">
        <v>85.9</v>
      </c>
      <c r="AH7" s="155">
        <f>SUM(D7:AG7)</f>
        <v>6202.2999999999984</v>
      </c>
      <c r="AI7" s="118">
        <v>49</v>
      </c>
      <c r="AJ7" s="121">
        <f t="shared" si="0"/>
        <v>1.087962962962963E-2</v>
      </c>
      <c r="AK7" s="67">
        <f t="shared" si="1"/>
        <v>0.17823129251700678</v>
      </c>
      <c r="AL7" s="68">
        <f t="shared" si="2"/>
        <v>9.1326530612244897E-2</v>
      </c>
      <c r="AM7" s="68">
        <f t="shared" si="3"/>
        <v>0.19583333333333333</v>
      </c>
      <c r="AN7" s="68">
        <f t="shared" si="4"/>
        <v>0.20612244897959184</v>
      </c>
      <c r="AO7" s="68">
        <f t="shared" si="5"/>
        <v>0.13222789115646258</v>
      </c>
      <c r="AP7" s="68">
        <f t="shared" si="6"/>
        <v>8.1122448979591838E-2</v>
      </c>
      <c r="AQ7" s="68">
        <f t="shared" si="7"/>
        <v>0.13333333333333333</v>
      </c>
      <c r="AR7" s="68">
        <f t="shared" si="8"/>
        <v>0.13681972789115646</v>
      </c>
      <c r="AS7" s="68">
        <f t="shared" si="9"/>
        <v>0.22891156462585033</v>
      </c>
      <c r="AT7" s="68">
        <f t="shared" si="10"/>
        <v>0.22976190476190475</v>
      </c>
      <c r="AU7" s="68">
        <f t="shared" si="11"/>
        <v>0.23035714285714284</v>
      </c>
      <c r="AV7" s="68">
        <f t="shared" si="12"/>
        <v>0.23409863945578233</v>
      </c>
      <c r="AW7" s="68">
        <f t="shared" si="13"/>
        <v>0.2308673469387755</v>
      </c>
      <c r="AX7" s="68">
        <f>IF(OR(Q7="",Q7="Sem monitoramento"),"VAZIO",IFERROR(Q7/($AI7*24),"-"))</f>
        <v>0.20756802721088435</v>
      </c>
      <c r="AY7" s="68">
        <f t="shared" si="15"/>
        <v>6.9897959183673475E-2</v>
      </c>
      <c r="AZ7" s="68">
        <f t="shared" si="16"/>
        <v>0.15816326530612246</v>
      </c>
      <c r="BA7" s="68">
        <f t="shared" si="17"/>
        <v>0.23137755102040819</v>
      </c>
      <c r="BB7" s="68">
        <f t="shared" si="18"/>
        <v>0.20153061224489796</v>
      </c>
      <c r="BC7" s="68">
        <f t="shared" si="19"/>
        <v>0.20552721088435374</v>
      </c>
      <c r="BD7" s="68">
        <f t="shared" si="20"/>
        <v>0.22287414965986396</v>
      </c>
      <c r="BE7" s="68">
        <f t="shared" si="21"/>
        <v>0.18018707482993199</v>
      </c>
      <c r="BF7" s="68">
        <f t="shared" si="22"/>
        <v>0.23180272108843539</v>
      </c>
      <c r="BG7" s="68">
        <f t="shared" si="23"/>
        <v>0.22831632653061223</v>
      </c>
      <c r="BH7" s="68">
        <f t="shared" si="24"/>
        <v>0.22721088435374148</v>
      </c>
      <c r="BI7" s="68">
        <f t="shared" si="25"/>
        <v>0.21802721088435373</v>
      </c>
      <c r="BJ7" s="68">
        <f t="shared" si="26"/>
        <v>0.15552721088435376</v>
      </c>
      <c r="BK7" s="68">
        <f t="shared" si="27"/>
        <v>0.12185374149659865</v>
      </c>
      <c r="BL7" s="68">
        <f t="shared" si="28"/>
        <v>0.16352040816326532</v>
      </c>
      <c r="BM7" s="68">
        <f t="shared" si="29"/>
        <v>6.8622448979591841E-2</v>
      </c>
      <c r="BN7" s="68" t="e">
        <f>IF(OR(#REF!="",#REF!="Sem monitoramento"),"VAZIO",IFERROR(#REF!/($AI7*24),"-"))</f>
        <v>#REF!</v>
      </c>
      <c r="BO7" s="70">
        <f>AH7/(AI7*(COUNTA(D7:AG7)*24))</f>
        <v>0.1758021541950113</v>
      </c>
      <c r="BP7" s="180">
        <f>'FCs estimados em PVsyst'!Y5</f>
        <v>0.17987528344671203</v>
      </c>
      <c r="BQ7" s="72">
        <f t="shared" si="32"/>
        <v>8.81388888888889</v>
      </c>
      <c r="BR7" s="73">
        <f t="shared" si="33"/>
        <v>1.5958049886621306E-2</v>
      </c>
      <c r="BS7" s="74">
        <f t="shared" si="34"/>
        <v>-4.0731292517007245E-3</v>
      </c>
      <c r="BT7" s="15" t="s">
        <v>9</v>
      </c>
      <c r="BU7" s="79" t="s">
        <v>109</v>
      </c>
      <c r="BV7" s="80">
        <f>COUNTIF(BS5:BS28,"&lt;-0,01")</f>
        <v>5</v>
      </c>
      <c r="BW7" s="2"/>
    </row>
    <row r="8" spans="2:75" x14ac:dyDescent="0.3">
      <c r="B8" s="760"/>
      <c r="C8" s="61" t="s">
        <v>10</v>
      </c>
      <c r="D8" s="62">
        <v>138.6</v>
      </c>
      <c r="E8" s="63">
        <v>41.5</v>
      </c>
      <c r="F8" s="63">
        <v>154.19999999999999</v>
      </c>
      <c r="G8" s="63">
        <v>163.6</v>
      </c>
      <c r="H8" s="63">
        <v>106.5</v>
      </c>
      <c r="I8" s="63">
        <v>65.7</v>
      </c>
      <c r="J8" s="63">
        <v>107.2</v>
      </c>
      <c r="K8" s="63">
        <v>105.4</v>
      </c>
      <c r="L8" s="63">
        <v>178.8</v>
      </c>
      <c r="M8" s="63">
        <v>180.6</v>
      </c>
      <c r="N8" s="63">
        <v>178.9</v>
      </c>
      <c r="O8" s="63">
        <v>182.1</v>
      </c>
      <c r="P8" s="63">
        <v>180.5</v>
      </c>
      <c r="Q8" s="63">
        <v>163.9</v>
      </c>
      <c r="R8" s="63">
        <v>57.3</v>
      </c>
      <c r="S8" s="63">
        <v>127.4</v>
      </c>
      <c r="T8" s="63">
        <v>180</v>
      </c>
      <c r="U8" s="15">
        <v>157</v>
      </c>
      <c r="V8" s="15">
        <v>155.04</v>
      </c>
      <c r="W8" s="15">
        <v>174.8</v>
      </c>
      <c r="X8" s="15">
        <v>140.69999999999999</v>
      </c>
      <c r="Y8" s="15">
        <v>182</v>
      </c>
      <c r="Z8" s="15">
        <v>179.6</v>
      </c>
      <c r="AA8" s="15">
        <v>179</v>
      </c>
      <c r="AB8" s="143">
        <v>173.7</v>
      </c>
      <c r="AC8" s="143">
        <v>124.4</v>
      </c>
      <c r="AD8" s="207">
        <v>97.8</v>
      </c>
      <c r="AE8" s="143">
        <v>129</v>
      </c>
      <c r="AF8" s="215">
        <v>56</v>
      </c>
      <c r="AG8" s="217">
        <v>59.8</v>
      </c>
      <c r="AH8" s="155">
        <f>SUM(D8:AG8)</f>
        <v>4121.04</v>
      </c>
      <c r="AI8" s="118">
        <v>33</v>
      </c>
      <c r="AJ8" s="121">
        <f t="shared" si="0"/>
        <v>1.0816498316498316E-2</v>
      </c>
      <c r="AK8" s="67">
        <f t="shared" si="1"/>
        <v>0.17499999999999999</v>
      </c>
      <c r="AL8" s="68">
        <f t="shared" si="2"/>
        <v>5.2398989898989896E-2</v>
      </c>
      <c r="AM8" s="68">
        <f t="shared" si="3"/>
        <v>0.19469696969696967</v>
      </c>
      <c r="AN8" s="68">
        <f t="shared" si="4"/>
        <v>0.20656565656565656</v>
      </c>
      <c r="AO8" s="68">
        <f t="shared" si="5"/>
        <v>0.13446969696969696</v>
      </c>
      <c r="AP8" s="68">
        <f t="shared" si="6"/>
        <v>8.2954545454545461E-2</v>
      </c>
      <c r="AQ8" s="68">
        <f t="shared" si="7"/>
        <v>0.13535353535353536</v>
      </c>
      <c r="AR8" s="68">
        <f t="shared" si="8"/>
        <v>0.13308080808080808</v>
      </c>
      <c r="AS8" s="68">
        <f t="shared" si="9"/>
        <v>0.22575757575757577</v>
      </c>
      <c r="AT8" s="68">
        <f t="shared" si="10"/>
        <v>0.22803030303030303</v>
      </c>
      <c r="AU8" s="68">
        <f t="shared" si="11"/>
        <v>0.22588383838383838</v>
      </c>
      <c r="AV8" s="68">
        <f t="shared" si="12"/>
        <v>0.22992424242424242</v>
      </c>
      <c r="AW8" s="68">
        <f t="shared" si="13"/>
        <v>0.22790404040404041</v>
      </c>
      <c r="AX8" s="68">
        <f t="shared" si="14"/>
        <v>0.20694444444444446</v>
      </c>
      <c r="AY8" s="68">
        <f t="shared" si="15"/>
        <v>7.2348484848484843E-2</v>
      </c>
      <c r="AZ8" s="68">
        <f t="shared" si="16"/>
        <v>0.16085858585858587</v>
      </c>
      <c r="BA8" s="68">
        <f t="shared" si="17"/>
        <v>0.22727272727272727</v>
      </c>
      <c r="BB8" s="68">
        <f t="shared" si="18"/>
        <v>0.19823232323232323</v>
      </c>
      <c r="BC8" s="68">
        <f t="shared" si="19"/>
        <v>0.19575757575757574</v>
      </c>
      <c r="BD8" s="68">
        <f t="shared" si="20"/>
        <v>0.22070707070707071</v>
      </c>
      <c r="BE8" s="68">
        <f t="shared" si="21"/>
        <v>0.17765151515151514</v>
      </c>
      <c r="BF8" s="68">
        <f t="shared" si="22"/>
        <v>0.22979797979797981</v>
      </c>
      <c r="BG8" s="68">
        <f t="shared" si="23"/>
        <v>0.22676767676767676</v>
      </c>
      <c r="BH8" s="68">
        <f t="shared" si="24"/>
        <v>0.22601010101010102</v>
      </c>
      <c r="BI8" s="68">
        <f>IF(OR(AB8="",AB8="Sem monitoramento"),"VAZIO",IFERROR(AB8/($AI8*24),"-"))</f>
        <v>0.2193181818181818</v>
      </c>
      <c r="BJ8" s="68">
        <f t="shared" si="26"/>
        <v>0.15707070707070708</v>
      </c>
      <c r="BK8" s="68">
        <f t="shared" si="27"/>
        <v>0.12348484848484848</v>
      </c>
      <c r="BL8" s="68">
        <f t="shared" si="28"/>
        <v>0.16287878787878787</v>
      </c>
      <c r="BM8" s="68">
        <f t="shared" si="29"/>
        <v>7.0707070707070704E-2</v>
      </c>
      <c r="BN8" s="68" t="e">
        <f>IF(OR(#REF!="",#REF!="Sem monitoramento"),"VAZIO",IFERROR(#REF!/($AI8*24),"-"))</f>
        <v>#REF!</v>
      </c>
      <c r="BO8" s="70">
        <f>AH8/(AI8*(COUNTA(D8:AG8)*24))</f>
        <v>0.17344444444444446</v>
      </c>
      <c r="BP8" s="180">
        <f>'FCs estimados em PVsyst'!Y6</f>
        <v>0.18501683501683502</v>
      </c>
      <c r="BQ8" s="72">
        <f t="shared" si="32"/>
        <v>6.1055555555555561</v>
      </c>
      <c r="BR8" s="73">
        <f t="shared" si="33"/>
        <v>9.6801346801346499E-3</v>
      </c>
      <c r="BS8" s="74">
        <f t="shared" si="34"/>
        <v>-1.1572390572390567E-2</v>
      </c>
      <c r="BT8" s="15" t="s">
        <v>10</v>
      </c>
      <c r="BU8" s="3"/>
      <c r="BV8" s="2"/>
      <c r="BW8" s="2"/>
    </row>
    <row r="9" spans="2:75" x14ac:dyDescent="0.3">
      <c r="B9" s="760"/>
      <c r="C9" s="61" t="s">
        <v>11</v>
      </c>
      <c r="D9" s="62">
        <v>57.5</v>
      </c>
      <c r="E9" s="63">
        <v>22.4</v>
      </c>
      <c r="F9" s="63">
        <v>58.1</v>
      </c>
      <c r="G9" s="82">
        <v>63</v>
      </c>
      <c r="H9" s="82">
        <v>40.9</v>
      </c>
      <c r="I9" s="82">
        <v>21.8</v>
      </c>
      <c r="J9" s="63">
        <v>34.4</v>
      </c>
      <c r="K9" s="63">
        <v>64</v>
      </c>
      <c r="L9" s="63">
        <v>69.3</v>
      </c>
      <c r="M9" s="63">
        <v>68.8</v>
      </c>
      <c r="N9" s="63">
        <v>63.9</v>
      </c>
      <c r="O9" s="63">
        <v>70.3</v>
      </c>
      <c r="P9" s="63">
        <v>67.900000000000006</v>
      </c>
      <c r="Q9" s="63">
        <v>63.4</v>
      </c>
      <c r="R9" s="63">
        <v>17.7</v>
      </c>
      <c r="S9" s="63">
        <v>39</v>
      </c>
      <c r="T9" s="63">
        <v>67.7</v>
      </c>
      <c r="U9" s="15">
        <v>68.3</v>
      </c>
      <c r="V9" s="15">
        <v>68.7</v>
      </c>
      <c r="W9" s="15">
        <v>64.900000000000006</v>
      </c>
      <c r="X9" s="15">
        <v>51.2</v>
      </c>
      <c r="Y9" s="194">
        <v>66.3</v>
      </c>
      <c r="Z9" s="15">
        <v>65.8</v>
      </c>
      <c r="AA9" s="15">
        <v>64.8</v>
      </c>
      <c r="AB9" s="203">
        <v>32.799999999999997</v>
      </c>
      <c r="AC9" s="143">
        <v>42.3</v>
      </c>
      <c r="AD9" s="207">
        <v>35.299999999999997</v>
      </c>
      <c r="AE9" s="143">
        <v>43.2</v>
      </c>
      <c r="AF9" s="215">
        <v>19.100000000000001</v>
      </c>
      <c r="AG9" s="219">
        <v>17.7</v>
      </c>
      <c r="AH9" s="155">
        <f t="shared" si="35"/>
        <v>1530.4999999999998</v>
      </c>
      <c r="AI9" s="118">
        <v>12</v>
      </c>
      <c r="AJ9" s="121">
        <f t="shared" si="0"/>
        <v>1.1207561728395063E-2</v>
      </c>
      <c r="AK9" s="67">
        <f t="shared" si="1"/>
        <v>0.19965277777777779</v>
      </c>
      <c r="AL9" s="68">
        <f t="shared" si="2"/>
        <v>7.7777777777777779E-2</v>
      </c>
      <c r="AM9" s="68">
        <f t="shared" si="3"/>
        <v>0.20173611111111112</v>
      </c>
      <c r="AN9" s="68">
        <f t="shared" si="4"/>
        <v>0.21875</v>
      </c>
      <c r="AO9" s="68">
        <f t="shared" si="5"/>
        <v>0.14201388888888888</v>
      </c>
      <c r="AP9" s="68">
        <f t="shared" si="6"/>
        <v>7.5694444444444453E-2</v>
      </c>
      <c r="AQ9" s="68">
        <f t="shared" si="7"/>
        <v>0.11944444444444444</v>
      </c>
      <c r="AR9" s="68">
        <f t="shared" si="8"/>
        <v>0.22222222222222221</v>
      </c>
      <c r="AS9" s="68">
        <f t="shared" si="9"/>
        <v>0.24062499999999998</v>
      </c>
      <c r="AT9" s="68">
        <f t="shared" si="10"/>
        <v>0.23888888888888887</v>
      </c>
      <c r="AU9" s="68">
        <f t="shared" si="11"/>
        <v>0.22187499999999999</v>
      </c>
      <c r="AV9" s="68">
        <f t="shared" si="12"/>
        <v>0.24409722222222222</v>
      </c>
      <c r="AW9" s="68">
        <f t="shared" si="13"/>
        <v>0.23576388888888891</v>
      </c>
      <c r="AX9" s="68">
        <f t="shared" si="14"/>
        <v>0.22013888888888888</v>
      </c>
      <c r="AY9" s="68">
        <f t="shared" si="15"/>
        <v>6.145833333333333E-2</v>
      </c>
      <c r="AZ9" s="68">
        <f t="shared" si="16"/>
        <v>0.13541666666666666</v>
      </c>
      <c r="BA9" s="68">
        <f t="shared" si="17"/>
        <v>0.23506944444444444</v>
      </c>
      <c r="BB9" s="68">
        <f t="shared" si="18"/>
        <v>0.23715277777777777</v>
      </c>
      <c r="BC9" s="68">
        <f t="shared" si="19"/>
        <v>0.23854166666666668</v>
      </c>
      <c r="BD9" s="68">
        <f t="shared" si="20"/>
        <v>0.22534722222222225</v>
      </c>
      <c r="BE9" s="68">
        <f t="shared" si="21"/>
        <v>0.17777777777777778</v>
      </c>
      <c r="BF9" s="68">
        <f t="shared" si="22"/>
        <v>0.23020833333333332</v>
      </c>
      <c r="BG9" s="68">
        <f t="shared" si="23"/>
        <v>0.22847222222222222</v>
      </c>
      <c r="BH9" s="68">
        <f t="shared" si="24"/>
        <v>0.22499999999999998</v>
      </c>
      <c r="BI9" s="68">
        <f t="shared" si="25"/>
        <v>0.11388888888888887</v>
      </c>
      <c r="BJ9" s="68">
        <f t="shared" si="26"/>
        <v>0.14687499999999998</v>
      </c>
      <c r="BK9" s="68">
        <f t="shared" si="27"/>
        <v>0.12256944444444444</v>
      </c>
      <c r="BL9" s="68">
        <f t="shared" si="28"/>
        <v>0.15000000000000002</v>
      </c>
      <c r="BM9" s="68">
        <f t="shared" si="29"/>
        <v>6.6319444444444445E-2</v>
      </c>
      <c r="BN9" s="68">
        <f>IF(OR(AG7="",AG7="Sem monitoramento"),"VAZIO",IFERROR(AG7/($AI9*24),"-"))</f>
        <v>0.29826388888888888</v>
      </c>
      <c r="BO9" s="70">
        <f t="shared" si="31"/>
        <v>0.17714120370370368</v>
      </c>
      <c r="BP9" s="180">
        <f>'FCs estimados em PVsyst'!Y7</f>
        <v>0.18333333333333332</v>
      </c>
      <c r="BQ9" s="72">
        <f t="shared" si="32"/>
        <v>2.1999999999999997</v>
      </c>
      <c r="BR9" s="73">
        <f t="shared" si="33"/>
        <v>1.8402777777777796E-2</v>
      </c>
      <c r="BS9" s="74">
        <f t="shared" si="34"/>
        <v>-6.1921296296296446E-3</v>
      </c>
      <c r="BT9" s="15" t="s">
        <v>11</v>
      </c>
      <c r="BU9" s="3"/>
      <c r="BV9" s="2"/>
      <c r="BW9" s="2"/>
    </row>
    <row r="10" spans="2:75" x14ac:dyDescent="0.3">
      <c r="B10" s="760"/>
      <c r="C10" s="61" t="s">
        <v>12</v>
      </c>
      <c r="D10" s="62">
        <v>116.6</v>
      </c>
      <c r="E10" s="63">
        <v>47.5</v>
      </c>
      <c r="F10" s="63">
        <v>117.4</v>
      </c>
      <c r="G10" s="82">
        <v>129.5</v>
      </c>
      <c r="H10" s="82">
        <v>86.9</v>
      </c>
      <c r="I10" s="63">
        <v>47.2</v>
      </c>
      <c r="J10" s="63">
        <v>70.900000000000006</v>
      </c>
      <c r="K10" s="63">
        <v>124.9</v>
      </c>
      <c r="L10" s="63">
        <v>140.69999999999999</v>
      </c>
      <c r="M10" s="63">
        <v>141.5</v>
      </c>
      <c r="N10" s="63">
        <v>141.1</v>
      </c>
      <c r="O10" s="63">
        <v>141.1</v>
      </c>
      <c r="P10" s="63">
        <v>140.6</v>
      </c>
      <c r="Q10" s="63">
        <v>133.4</v>
      </c>
      <c r="R10" s="63">
        <v>37.700000000000003</v>
      </c>
      <c r="S10" s="63">
        <v>82.4</v>
      </c>
      <c r="T10" s="63">
        <v>139.1</v>
      </c>
      <c r="U10" s="15">
        <v>141.6</v>
      </c>
      <c r="V10" s="15">
        <v>146</v>
      </c>
      <c r="W10" s="15">
        <v>134.4</v>
      </c>
      <c r="X10" s="15">
        <v>101.9</v>
      </c>
      <c r="Y10" s="15">
        <v>141.9</v>
      </c>
      <c r="Z10" s="15">
        <v>142.69999999999999</v>
      </c>
      <c r="AA10" s="15">
        <v>141</v>
      </c>
      <c r="AB10" s="203">
        <v>73.400000000000006</v>
      </c>
      <c r="AC10" s="143">
        <v>89.3</v>
      </c>
      <c r="AD10" s="207">
        <v>75.8</v>
      </c>
      <c r="AE10" s="143">
        <v>61.3</v>
      </c>
      <c r="AF10" s="215">
        <v>41.8</v>
      </c>
      <c r="AG10" s="215">
        <v>38.5</v>
      </c>
      <c r="AH10" s="155">
        <f t="shared" si="35"/>
        <v>3168.1000000000004</v>
      </c>
      <c r="AI10" s="118">
        <v>25</v>
      </c>
      <c r="AJ10" s="121">
        <f t="shared" si="0"/>
        <v>1.0870370370370371E-2</v>
      </c>
      <c r="AK10" s="67">
        <f t="shared" si="1"/>
        <v>0.19433333333333333</v>
      </c>
      <c r="AL10" s="68">
        <f t="shared" si="2"/>
        <v>7.9166666666666663E-2</v>
      </c>
      <c r="AM10" s="68">
        <f t="shared" si="3"/>
        <v>0.19566666666666668</v>
      </c>
      <c r="AN10" s="68">
        <f t="shared" si="4"/>
        <v>0.21583333333333332</v>
      </c>
      <c r="AO10" s="68">
        <f t="shared" si="5"/>
        <v>0.14483333333333334</v>
      </c>
      <c r="AP10" s="68">
        <f t="shared" si="6"/>
        <v>7.8666666666666676E-2</v>
      </c>
      <c r="AQ10" s="68">
        <f t="shared" si="7"/>
        <v>0.11816666666666667</v>
      </c>
      <c r="AR10" s="68">
        <f t="shared" si="8"/>
        <v>0.20816666666666667</v>
      </c>
      <c r="AS10" s="68">
        <f t="shared" si="9"/>
        <v>0.23449999999999999</v>
      </c>
      <c r="AT10" s="68">
        <f t="shared" si="10"/>
        <v>0.23583333333333334</v>
      </c>
      <c r="AU10" s="68">
        <f t="shared" si="11"/>
        <v>0.23516666666666666</v>
      </c>
      <c r="AV10" s="68">
        <f t="shared" si="12"/>
        <v>0.23516666666666666</v>
      </c>
      <c r="AW10" s="68">
        <f t="shared" si="13"/>
        <v>0.23433333333333331</v>
      </c>
      <c r="AX10" s="68">
        <f t="shared" si="14"/>
        <v>0.22233333333333336</v>
      </c>
      <c r="AY10" s="68">
        <f t="shared" si="15"/>
        <v>6.2833333333333338E-2</v>
      </c>
      <c r="AZ10" s="68">
        <f t="shared" si="16"/>
        <v>0.13733333333333334</v>
      </c>
      <c r="BA10" s="68">
        <f t="shared" si="17"/>
        <v>0.23183333333333334</v>
      </c>
      <c r="BB10" s="68">
        <f t="shared" si="18"/>
        <v>0.23599999999999999</v>
      </c>
      <c r="BC10" s="68">
        <f t="shared" si="19"/>
        <v>0.24333333333333335</v>
      </c>
      <c r="BD10" s="68">
        <f t="shared" si="20"/>
        <v>0.224</v>
      </c>
      <c r="BE10" s="68">
        <f t="shared" si="21"/>
        <v>0.16983333333333334</v>
      </c>
      <c r="BF10" s="68">
        <f t="shared" si="22"/>
        <v>0.23650000000000002</v>
      </c>
      <c r="BG10" s="68">
        <f t="shared" si="23"/>
        <v>0.23783333333333331</v>
      </c>
      <c r="BH10" s="68">
        <f t="shared" si="24"/>
        <v>0.23499999999999999</v>
      </c>
      <c r="BI10" s="68">
        <f t="shared" si="25"/>
        <v>0.12233333333333335</v>
      </c>
      <c r="BJ10" s="68">
        <f t="shared" si="26"/>
        <v>0.14883333333333332</v>
      </c>
      <c r="BK10" s="68">
        <f t="shared" si="27"/>
        <v>0.12633333333333333</v>
      </c>
      <c r="BL10" s="68">
        <f t="shared" si="28"/>
        <v>0.10216666666666666</v>
      </c>
      <c r="BM10" s="68">
        <f t="shared" si="29"/>
        <v>6.9666666666666668E-2</v>
      </c>
      <c r="BN10" s="68">
        <f>IF(OR(AG8="",AG8="Sem monitoramento"),"VAZIO",IFERROR(AG8/($AI10*24),"-"))</f>
        <v>9.9666666666666667E-2</v>
      </c>
      <c r="BO10" s="70">
        <f t="shared" si="31"/>
        <v>0.17600555555555558</v>
      </c>
      <c r="BP10" s="180">
        <f>'FCs estimados em PVsyst'!Y8</f>
        <v>0.185</v>
      </c>
      <c r="BQ10" s="72">
        <f t="shared" si="32"/>
        <v>4.625</v>
      </c>
      <c r="BR10" s="73">
        <f t="shared" si="33"/>
        <v>1.0666666666666685E-2</v>
      </c>
      <c r="BS10" s="74">
        <f t="shared" si="34"/>
        <v>-8.994444444444416E-3</v>
      </c>
      <c r="BT10" s="15" t="s">
        <v>12</v>
      </c>
      <c r="BU10" s="3"/>
      <c r="BV10" s="2"/>
      <c r="BW10" s="2"/>
    </row>
    <row r="11" spans="2:75" x14ac:dyDescent="0.3">
      <c r="B11" s="760"/>
      <c r="C11" s="83" t="s">
        <v>13</v>
      </c>
      <c r="D11" s="62">
        <v>308.2</v>
      </c>
      <c r="E11" s="63">
        <v>153.30000000000001</v>
      </c>
      <c r="F11" s="63">
        <v>340.3</v>
      </c>
      <c r="G11" s="63">
        <v>390.8</v>
      </c>
      <c r="H11" s="63">
        <v>167.1</v>
      </c>
      <c r="I11" s="63">
        <v>212.6</v>
      </c>
      <c r="J11" s="63">
        <v>245.1</v>
      </c>
      <c r="K11" s="63">
        <v>403.3</v>
      </c>
      <c r="L11" s="63">
        <v>437.8</v>
      </c>
      <c r="M11" s="63">
        <v>445.2</v>
      </c>
      <c r="N11" s="63">
        <v>436.1</v>
      </c>
      <c r="O11" s="63">
        <v>450.1</v>
      </c>
      <c r="P11" s="63">
        <v>431.2</v>
      </c>
      <c r="Q11" s="63">
        <v>375.6</v>
      </c>
      <c r="R11" s="63">
        <v>151.30000000000001</v>
      </c>
      <c r="S11" s="63">
        <v>280.89999999999998</v>
      </c>
      <c r="T11" s="63">
        <v>366.5</v>
      </c>
      <c r="U11" s="15">
        <v>460.3</v>
      </c>
      <c r="V11" s="15">
        <v>457.6</v>
      </c>
      <c r="W11" s="15">
        <v>438.9</v>
      </c>
      <c r="X11" s="15">
        <v>298.39999999999998</v>
      </c>
      <c r="Y11" s="15">
        <v>441.2</v>
      </c>
      <c r="Z11" s="15">
        <v>438.2</v>
      </c>
      <c r="AA11" s="15">
        <v>438.4</v>
      </c>
      <c r="AB11" s="204">
        <v>210.8</v>
      </c>
      <c r="AC11" s="203">
        <v>0</v>
      </c>
      <c r="AD11" s="207">
        <v>262</v>
      </c>
      <c r="AE11" s="143">
        <v>237.3</v>
      </c>
      <c r="AF11" s="215">
        <v>160.9</v>
      </c>
      <c r="AG11" s="217">
        <v>152.9</v>
      </c>
      <c r="AH11" s="155">
        <f t="shared" si="35"/>
        <v>9592.2999999999975</v>
      </c>
      <c r="AI11" s="118">
        <v>78</v>
      </c>
      <c r="AJ11" s="121">
        <f t="shared" si="0"/>
        <v>1.009912155745489E-2</v>
      </c>
      <c r="AK11" s="67">
        <f t="shared" si="1"/>
        <v>0.16463675213675213</v>
      </c>
      <c r="AL11" s="68">
        <f t="shared" si="2"/>
        <v>8.1891025641025642E-2</v>
      </c>
      <c r="AM11" s="68">
        <f t="shared" si="3"/>
        <v>0.18178418803418803</v>
      </c>
      <c r="AN11" s="68">
        <f t="shared" si="4"/>
        <v>0.20876068376068377</v>
      </c>
      <c r="AO11" s="68">
        <f t="shared" si="5"/>
        <v>8.9262820512820515E-2</v>
      </c>
      <c r="AP11" s="68">
        <f t="shared" si="6"/>
        <v>0.11356837606837607</v>
      </c>
      <c r="AQ11" s="68">
        <f t="shared" si="7"/>
        <v>0.13092948717948719</v>
      </c>
      <c r="AR11" s="68">
        <f t="shared" si="8"/>
        <v>0.2154380341880342</v>
      </c>
      <c r="AS11" s="68">
        <f t="shared" si="9"/>
        <v>0.23386752136752137</v>
      </c>
      <c r="AT11" s="68">
        <f t="shared" si="10"/>
        <v>0.23782051282051281</v>
      </c>
      <c r="AU11" s="68">
        <f t="shared" si="11"/>
        <v>0.23295940170940171</v>
      </c>
      <c r="AV11" s="68">
        <f t="shared" si="12"/>
        <v>0.24043803418803419</v>
      </c>
      <c r="AW11" s="68">
        <f t="shared" si="13"/>
        <v>0.23034188034188033</v>
      </c>
      <c r="AX11" s="68">
        <f t="shared" si="14"/>
        <v>0.20064102564102565</v>
      </c>
      <c r="AY11" s="68">
        <f t="shared" si="15"/>
        <v>8.0822649572649577E-2</v>
      </c>
      <c r="AZ11" s="68">
        <f t="shared" si="16"/>
        <v>0.1500534188034188</v>
      </c>
      <c r="BA11" s="68">
        <f t="shared" si="17"/>
        <v>0.19577991452991453</v>
      </c>
      <c r="BB11" s="68">
        <f t="shared" si="18"/>
        <v>0.24588675213675215</v>
      </c>
      <c r="BC11" s="68">
        <f t="shared" si="19"/>
        <v>0.24444444444444446</v>
      </c>
      <c r="BD11" s="68">
        <f t="shared" si="20"/>
        <v>0.2344551282051282</v>
      </c>
      <c r="BE11" s="68">
        <f t="shared" si="21"/>
        <v>0.15940170940170939</v>
      </c>
      <c r="BF11" s="68">
        <f t="shared" si="22"/>
        <v>0.23568376068376068</v>
      </c>
      <c r="BG11" s="68">
        <f t="shared" si="23"/>
        <v>0.23408119658119658</v>
      </c>
      <c r="BH11" s="68">
        <f t="shared" si="24"/>
        <v>0.23418803418803419</v>
      </c>
      <c r="BI11" s="68">
        <f>IF(OR(AB9="",AB9="Sem monitoramento"),"VAZIO",IFERROR(AB9/($AI11*24),"-"))</f>
        <v>1.7521367521367522E-2</v>
      </c>
      <c r="BJ11" s="68">
        <f t="shared" si="26"/>
        <v>0</v>
      </c>
      <c r="BK11" s="68">
        <f t="shared" si="27"/>
        <v>0.13995726495726496</v>
      </c>
      <c r="BL11" s="68">
        <f t="shared" si="28"/>
        <v>0.12676282051282051</v>
      </c>
      <c r="BM11" s="68">
        <f t="shared" si="29"/>
        <v>8.5950854700854701E-2</v>
      </c>
      <c r="BN11" s="68">
        <f t="shared" si="30"/>
        <v>8.1677350427350429E-2</v>
      </c>
      <c r="BO11" s="70">
        <f t="shared" si="31"/>
        <v>0.17080306267806264</v>
      </c>
      <c r="BP11" s="198">
        <f>BP19</f>
        <v>0.168125</v>
      </c>
      <c r="BQ11" s="72">
        <f t="shared" si="32"/>
        <v>13.11375</v>
      </c>
      <c r="BR11" s="73">
        <f t="shared" si="33"/>
        <v>1.365918803418803E-2</v>
      </c>
      <c r="BS11" s="74">
        <f t="shared" si="34"/>
        <v>2.6780626780626426E-3</v>
      </c>
      <c r="BT11" s="15" t="s">
        <v>13</v>
      </c>
      <c r="BU11" s="3"/>
      <c r="BV11" s="2"/>
      <c r="BW11" s="2"/>
    </row>
    <row r="12" spans="2:75" x14ac:dyDescent="0.3">
      <c r="B12" s="761"/>
      <c r="C12" s="61" t="s">
        <v>14</v>
      </c>
      <c r="D12" s="114">
        <v>242.8</v>
      </c>
      <c r="E12" s="82">
        <v>98.5</v>
      </c>
      <c r="F12" s="82">
        <v>241</v>
      </c>
      <c r="G12" s="82">
        <v>252</v>
      </c>
      <c r="H12" s="82">
        <v>180.3</v>
      </c>
      <c r="I12" s="82">
        <v>102</v>
      </c>
      <c r="J12" s="82">
        <v>159.1</v>
      </c>
      <c r="K12" s="82">
        <v>260.10000000000002</v>
      </c>
      <c r="L12" s="82">
        <v>278.89999999999998</v>
      </c>
      <c r="M12" s="82">
        <v>278</v>
      </c>
      <c r="N12" s="82">
        <v>284.8</v>
      </c>
      <c r="O12" s="82">
        <v>285.7</v>
      </c>
      <c r="P12" s="82">
        <v>280.39999999999998</v>
      </c>
      <c r="Q12" s="82">
        <v>263.3</v>
      </c>
      <c r="R12" s="82">
        <v>81.099999999999994</v>
      </c>
      <c r="S12" s="82">
        <v>182.2</v>
      </c>
      <c r="T12" s="82">
        <v>274.8</v>
      </c>
      <c r="U12" s="16">
        <v>295</v>
      </c>
      <c r="V12" s="16">
        <v>293</v>
      </c>
      <c r="W12" s="16">
        <v>275.2</v>
      </c>
      <c r="X12" s="16">
        <v>217.1</v>
      </c>
      <c r="Y12" s="16">
        <v>289.5</v>
      </c>
      <c r="Z12" s="16">
        <v>287.10000000000002</v>
      </c>
      <c r="AA12" s="16">
        <v>283.39999999999998</v>
      </c>
      <c r="AB12" s="200">
        <v>155.19999999999999</v>
      </c>
      <c r="AC12" s="60">
        <v>179.7</v>
      </c>
      <c r="AD12" s="210">
        <v>164.4</v>
      </c>
      <c r="AE12" s="60">
        <v>201.6</v>
      </c>
      <c r="AF12" s="213">
        <v>90.4</v>
      </c>
      <c r="AG12" s="218">
        <v>83.5</v>
      </c>
      <c r="AH12" s="155">
        <f t="shared" si="35"/>
        <v>6560.0999999999995</v>
      </c>
      <c r="AI12" s="123">
        <v>61</v>
      </c>
      <c r="AJ12" s="121" t="s">
        <v>31</v>
      </c>
      <c r="AK12" s="67">
        <f t="shared" si="1"/>
        <v>0.16584699453551913</v>
      </c>
      <c r="AL12" s="68">
        <f t="shared" si="2"/>
        <v>6.7281420765027328E-2</v>
      </c>
      <c r="AM12" s="68">
        <f t="shared" si="3"/>
        <v>0.1646174863387978</v>
      </c>
      <c r="AN12" s="68">
        <f t="shared" si="4"/>
        <v>0.1721311475409836</v>
      </c>
      <c r="AO12" s="68">
        <f t="shared" si="5"/>
        <v>0.12315573770491804</v>
      </c>
      <c r="AP12" s="68">
        <f t="shared" si="6"/>
        <v>6.9672131147540978E-2</v>
      </c>
      <c r="AQ12" s="68">
        <f t="shared" si="7"/>
        <v>0.10867486338797813</v>
      </c>
      <c r="AR12" s="68">
        <f t="shared" si="8"/>
        <v>0.17766393442622952</v>
      </c>
      <c r="AS12" s="68">
        <f t="shared" si="9"/>
        <v>0.1905054644808743</v>
      </c>
      <c r="AT12" s="68">
        <f t="shared" si="10"/>
        <v>0.18989071038251365</v>
      </c>
      <c r="AU12" s="68">
        <f t="shared" si="11"/>
        <v>0.19453551912568307</v>
      </c>
      <c r="AV12" s="68">
        <f t="shared" si="12"/>
        <v>0.19515027322404371</v>
      </c>
      <c r="AW12" s="68">
        <f t="shared" si="13"/>
        <v>0.19153005464480874</v>
      </c>
      <c r="AX12" s="68">
        <f t="shared" si="14"/>
        <v>0.17984972677595629</v>
      </c>
      <c r="AY12" s="68">
        <f t="shared" si="15"/>
        <v>5.5396174863387972E-2</v>
      </c>
      <c r="AZ12" s="68">
        <f t="shared" si="16"/>
        <v>0.12445355191256829</v>
      </c>
      <c r="BA12" s="68">
        <f t="shared" si="17"/>
        <v>0.18770491803278688</v>
      </c>
      <c r="BB12" s="68">
        <f t="shared" si="18"/>
        <v>0.20150273224043716</v>
      </c>
      <c r="BC12" s="68">
        <f t="shared" si="19"/>
        <v>0.20013661202185792</v>
      </c>
      <c r="BD12" s="68">
        <f t="shared" si="20"/>
        <v>0.18797814207650274</v>
      </c>
      <c r="BE12" s="68">
        <f t="shared" si="21"/>
        <v>0.14829234972677596</v>
      </c>
      <c r="BF12" s="68">
        <f t="shared" si="22"/>
        <v>0.19774590163934427</v>
      </c>
      <c r="BG12" s="68">
        <f t="shared" si="23"/>
        <v>0.19610655737704918</v>
      </c>
      <c r="BH12" s="68">
        <f t="shared" si="24"/>
        <v>0.19357923497267757</v>
      </c>
      <c r="BI12" s="68">
        <f t="shared" si="25"/>
        <v>0.10601092896174863</v>
      </c>
      <c r="BJ12" s="68">
        <f t="shared" si="26"/>
        <v>0.12274590163934425</v>
      </c>
      <c r="BK12" s="68">
        <f t="shared" si="27"/>
        <v>0.11229508196721312</v>
      </c>
      <c r="BL12" s="68">
        <f t="shared" si="28"/>
        <v>0.13770491803278689</v>
      </c>
      <c r="BM12" s="68">
        <f t="shared" si="29"/>
        <v>6.1748633879781425E-2</v>
      </c>
      <c r="BN12" s="68">
        <f t="shared" si="30"/>
        <v>5.7035519125683061E-2</v>
      </c>
      <c r="BO12" s="70">
        <f t="shared" si="31"/>
        <v>0.14936475409836064</v>
      </c>
      <c r="BP12" s="180">
        <f>'FCs estimados em PVsyst'!Y10</f>
        <v>0.18465391621129326</v>
      </c>
      <c r="BQ12" s="72" t="s">
        <v>31</v>
      </c>
      <c r="BR12" s="73" t="s">
        <v>31</v>
      </c>
      <c r="BS12" s="74">
        <f t="shared" si="34"/>
        <v>-3.5289162112932621E-2</v>
      </c>
      <c r="BT12" s="15" t="s">
        <v>14</v>
      </c>
      <c r="BU12" s="3"/>
      <c r="BV12" s="2"/>
      <c r="BW12" s="2"/>
    </row>
    <row r="13" spans="2:75" x14ac:dyDescent="0.3">
      <c r="B13" s="759" t="s">
        <v>16</v>
      </c>
      <c r="C13" s="88" t="s">
        <v>17</v>
      </c>
      <c r="D13" s="62">
        <v>457.8</v>
      </c>
      <c r="E13" s="63">
        <v>188.4</v>
      </c>
      <c r="F13" s="63">
        <v>443.6</v>
      </c>
      <c r="G13" s="63">
        <v>520.79999999999995</v>
      </c>
      <c r="H13" s="63">
        <v>390.2</v>
      </c>
      <c r="I13" s="63">
        <v>216.5</v>
      </c>
      <c r="J13" s="63">
        <v>320.10000000000002</v>
      </c>
      <c r="K13" s="63">
        <v>454</v>
      </c>
      <c r="L13" s="63">
        <v>566.6</v>
      </c>
      <c r="M13" s="63">
        <v>574.1</v>
      </c>
      <c r="N13" s="63">
        <v>570.5</v>
      </c>
      <c r="O13" s="63">
        <v>578</v>
      </c>
      <c r="P13" s="63">
        <v>561.29999999999995</v>
      </c>
      <c r="Q13" s="63">
        <v>545.5</v>
      </c>
      <c r="R13" s="63">
        <v>156.9</v>
      </c>
      <c r="S13" s="63">
        <v>350.7</v>
      </c>
      <c r="T13" s="63">
        <v>534.6</v>
      </c>
      <c r="U13" s="15">
        <v>586.20000000000005</v>
      </c>
      <c r="V13" s="15">
        <v>583.1</v>
      </c>
      <c r="W13" s="15">
        <v>547.29999999999995</v>
      </c>
      <c r="X13" s="15">
        <v>367.9</v>
      </c>
      <c r="Y13" s="194">
        <v>548.70000000000005</v>
      </c>
      <c r="Z13" s="15">
        <v>571.5</v>
      </c>
      <c r="AA13" s="15">
        <v>563.79999999999995</v>
      </c>
      <c r="AB13" s="203">
        <v>333</v>
      </c>
      <c r="AC13" s="143">
        <v>317.8</v>
      </c>
      <c r="AD13" s="207">
        <v>328.9</v>
      </c>
      <c r="AE13" s="143">
        <v>391.8</v>
      </c>
      <c r="AF13" s="215">
        <v>182.5</v>
      </c>
      <c r="AG13" s="217">
        <v>165</v>
      </c>
      <c r="AH13" s="155">
        <f t="shared" si="35"/>
        <v>12917.099999999997</v>
      </c>
      <c r="AI13" s="118">
        <v>100</v>
      </c>
      <c r="AJ13" s="121">
        <f t="shared" ref="AJ13:AJ25" si="36">F13/(AI13*432)</f>
        <v>1.0268518518518519E-2</v>
      </c>
      <c r="AK13" s="67">
        <f t="shared" si="1"/>
        <v>0.19075</v>
      </c>
      <c r="AL13" s="68">
        <f t="shared" si="2"/>
        <v>7.85E-2</v>
      </c>
      <c r="AM13" s="68">
        <f t="shared" si="3"/>
        <v>0.18483333333333335</v>
      </c>
      <c r="AN13" s="68">
        <f t="shared" si="4"/>
        <v>0.21699999999999997</v>
      </c>
      <c r="AO13" s="68">
        <f t="shared" si="5"/>
        <v>0.16258333333333333</v>
      </c>
      <c r="AP13" s="68">
        <f t="shared" si="6"/>
        <v>9.0208333333333335E-2</v>
      </c>
      <c r="AQ13" s="68">
        <f t="shared" si="7"/>
        <v>0.13337500000000002</v>
      </c>
      <c r="AR13" s="68">
        <f t="shared" si="8"/>
        <v>0.18916666666666668</v>
      </c>
      <c r="AS13" s="68">
        <f t="shared" si="9"/>
        <v>0.23608333333333334</v>
      </c>
      <c r="AT13" s="68">
        <f t="shared" si="10"/>
        <v>0.23920833333333336</v>
      </c>
      <c r="AU13" s="68">
        <f t="shared" si="11"/>
        <v>0.23770833333333333</v>
      </c>
      <c r="AV13" s="68">
        <f t="shared" si="12"/>
        <v>0.24083333333333334</v>
      </c>
      <c r="AW13" s="68">
        <f t="shared" si="13"/>
        <v>0.23387499999999997</v>
      </c>
      <c r="AX13" s="68">
        <f t="shared" si="14"/>
        <v>0.22729166666666667</v>
      </c>
      <c r="AY13" s="68">
        <f t="shared" si="15"/>
        <v>6.5375000000000003E-2</v>
      </c>
      <c r="AZ13" s="68">
        <f t="shared" si="16"/>
        <v>0.146125</v>
      </c>
      <c r="BA13" s="68">
        <f t="shared" si="17"/>
        <v>0.22275</v>
      </c>
      <c r="BB13" s="68">
        <f t="shared" si="18"/>
        <v>0.24425000000000002</v>
      </c>
      <c r="BC13" s="68">
        <f t="shared" si="19"/>
        <v>0.24295833333333333</v>
      </c>
      <c r="BD13" s="68">
        <f t="shared" si="20"/>
        <v>0.22804166666666664</v>
      </c>
      <c r="BE13" s="68">
        <f t="shared" si="21"/>
        <v>0.15329166666666666</v>
      </c>
      <c r="BF13" s="68">
        <f t="shared" si="22"/>
        <v>0.22862500000000002</v>
      </c>
      <c r="BG13" s="68">
        <f t="shared" si="23"/>
        <v>0.238125</v>
      </c>
      <c r="BH13" s="68">
        <f t="shared" si="24"/>
        <v>0.23491666666666663</v>
      </c>
      <c r="BI13" s="68">
        <f t="shared" si="25"/>
        <v>0.13875000000000001</v>
      </c>
      <c r="BJ13" s="68">
        <f t="shared" si="26"/>
        <v>0.13241666666666668</v>
      </c>
      <c r="BK13" s="68">
        <f t="shared" si="27"/>
        <v>0.13704166666666664</v>
      </c>
      <c r="BL13" s="68">
        <f t="shared" si="28"/>
        <v>0.16325000000000001</v>
      </c>
      <c r="BM13" s="68">
        <f t="shared" si="29"/>
        <v>7.604166666666666E-2</v>
      </c>
      <c r="BN13" s="68">
        <f t="shared" si="30"/>
        <v>6.8750000000000006E-2</v>
      </c>
      <c r="BO13" s="70">
        <f t="shared" si="31"/>
        <v>0.17940416666666661</v>
      </c>
      <c r="BP13" s="198">
        <f>BP19</f>
        <v>0.168125</v>
      </c>
      <c r="BQ13" s="72">
        <f t="shared" ref="BQ13:BQ28" si="37">AI13*BP13</f>
        <v>16.8125</v>
      </c>
      <c r="BR13" s="73">
        <f t="shared" ref="BR13:BR28" si="38">AM13-BP13</f>
        <v>1.6708333333333353E-2</v>
      </c>
      <c r="BS13" s="74">
        <f t="shared" si="34"/>
        <v>1.1279166666666618E-2</v>
      </c>
      <c r="BT13" s="15" t="s">
        <v>17</v>
      </c>
      <c r="BU13" s="3"/>
      <c r="BV13" s="2"/>
      <c r="BW13" s="2"/>
    </row>
    <row r="14" spans="2:75" x14ac:dyDescent="0.3">
      <c r="B14" s="760"/>
      <c r="C14" s="61" t="s">
        <v>18</v>
      </c>
      <c r="D14" s="62">
        <v>426.9</v>
      </c>
      <c r="E14" s="63">
        <v>201</v>
      </c>
      <c r="F14" s="63">
        <v>456.5</v>
      </c>
      <c r="G14" s="63">
        <v>526.79999999999995</v>
      </c>
      <c r="H14" s="63">
        <v>230.5</v>
      </c>
      <c r="I14" s="63">
        <v>295.3</v>
      </c>
      <c r="J14" s="63">
        <v>329.4</v>
      </c>
      <c r="K14" s="63">
        <v>540.1</v>
      </c>
      <c r="L14" s="63">
        <v>576.1</v>
      </c>
      <c r="M14" s="63">
        <v>589.70000000000005</v>
      </c>
      <c r="N14" s="63">
        <v>580</v>
      </c>
      <c r="O14" s="63">
        <v>589</v>
      </c>
      <c r="P14" s="63">
        <v>574.29999999999995</v>
      </c>
      <c r="Q14" s="63">
        <v>512</v>
      </c>
      <c r="R14" s="63">
        <v>195.6</v>
      </c>
      <c r="S14" s="63">
        <v>395.1</v>
      </c>
      <c r="T14" s="63">
        <v>486.5</v>
      </c>
      <c r="U14" s="15">
        <v>602.6</v>
      </c>
      <c r="V14" s="15">
        <v>599.9</v>
      </c>
      <c r="W14" s="15">
        <v>580.79999999999995</v>
      </c>
      <c r="X14" s="15">
        <v>398.9</v>
      </c>
      <c r="Y14" s="194">
        <v>585</v>
      </c>
      <c r="Z14" s="15">
        <v>583.79999999999995</v>
      </c>
      <c r="AA14" s="15">
        <v>583</v>
      </c>
      <c r="AB14" s="202">
        <v>296.60000000000002</v>
      </c>
      <c r="AC14" s="203">
        <v>0</v>
      </c>
      <c r="AD14" s="207">
        <v>355.1</v>
      </c>
      <c r="AE14" s="207">
        <v>316.7</v>
      </c>
      <c r="AF14" s="215">
        <v>215.3</v>
      </c>
      <c r="AG14" s="217">
        <v>203.3</v>
      </c>
      <c r="AH14" s="155">
        <f t="shared" si="35"/>
        <v>12825.8</v>
      </c>
      <c r="AI14" s="118">
        <v>100</v>
      </c>
      <c r="AJ14" s="121">
        <f t="shared" si="36"/>
        <v>1.0567129629629629E-2</v>
      </c>
      <c r="AK14" s="67">
        <f t="shared" si="1"/>
        <v>0.17787499999999998</v>
      </c>
      <c r="AL14" s="68">
        <f t="shared" si="2"/>
        <v>8.3750000000000005E-2</v>
      </c>
      <c r="AM14" s="68">
        <f t="shared" si="3"/>
        <v>0.19020833333333334</v>
      </c>
      <c r="AN14" s="68">
        <f t="shared" si="4"/>
        <v>0.21949999999999997</v>
      </c>
      <c r="AO14" s="68">
        <f t="shared" si="5"/>
        <v>9.6041666666666664E-2</v>
      </c>
      <c r="AP14" s="68">
        <f t="shared" si="6"/>
        <v>0.12304166666666667</v>
      </c>
      <c r="AQ14" s="68">
        <f t="shared" si="7"/>
        <v>0.13724999999999998</v>
      </c>
      <c r="AR14" s="68">
        <f t="shared" si="8"/>
        <v>0.22504166666666667</v>
      </c>
      <c r="AS14" s="68">
        <f t="shared" si="9"/>
        <v>0.24004166666666668</v>
      </c>
      <c r="AT14" s="68">
        <f t="shared" si="10"/>
        <v>0.24570833333333336</v>
      </c>
      <c r="AU14" s="68">
        <f t="shared" si="11"/>
        <v>0.24166666666666667</v>
      </c>
      <c r="AV14" s="68">
        <f t="shared" si="12"/>
        <v>0.24541666666666667</v>
      </c>
      <c r="AW14" s="68">
        <f t="shared" si="13"/>
        <v>0.23929166666666665</v>
      </c>
      <c r="AX14" s="68">
        <f t="shared" si="14"/>
        <v>0.21333333333333335</v>
      </c>
      <c r="AY14" s="68">
        <f t="shared" si="15"/>
        <v>8.1500000000000003E-2</v>
      </c>
      <c r="AZ14" s="68">
        <f t="shared" si="16"/>
        <v>0.16462500000000002</v>
      </c>
      <c r="BA14" s="68">
        <f t="shared" si="17"/>
        <v>0.20270833333333332</v>
      </c>
      <c r="BB14" s="68">
        <f t="shared" si="18"/>
        <v>0.25108333333333333</v>
      </c>
      <c r="BC14" s="68">
        <f t="shared" si="19"/>
        <v>0.24995833333333331</v>
      </c>
      <c r="BD14" s="68">
        <f t="shared" si="20"/>
        <v>0.24199999999999999</v>
      </c>
      <c r="BE14" s="68">
        <f t="shared" si="21"/>
        <v>0.16620833333333332</v>
      </c>
      <c r="BF14" s="68">
        <f t="shared" si="22"/>
        <v>0.24374999999999999</v>
      </c>
      <c r="BG14" s="68">
        <f t="shared" si="23"/>
        <v>0.24324999999999999</v>
      </c>
      <c r="BH14" s="68">
        <f t="shared" si="24"/>
        <v>0.24291666666666667</v>
      </c>
      <c r="BI14" s="68">
        <f t="shared" si="25"/>
        <v>0.12358333333333334</v>
      </c>
      <c r="BJ14" s="68">
        <f t="shared" si="26"/>
        <v>0</v>
      </c>
      <c r="BK14" s="68">
        <f t="shared" si="27"/>
        <v>0.14795833333333333</v>
      </c>
      <c r="BL14" s="68">
        <f t="shared" si="28"/>
        <v>0.13195833333333332</v>
      </c>
      <c r="BM14" s="68">
        <f t="shared" si="29"/>
        <v>8.9708333333333334E-2</v>
      </c>
      <c r="BN14" s="68">
        <f t="shared" si="30"/>
        <v>8.4708333333333344E-2</v>
      </c>
      <c r="BO14" s="70">
        <f t="shared" si="31"/>
        <v>0.17813611111111111</v>
      </c>
      <c r="BP14" s="198">
        <f>$BP$19</f>
        <v>0.168125</v>
      </c>
      <c r="BQ14" s="72">
        <f t="shared" si="37"/>
        <v>16.8125</v>
      </c>
      <c r="BR14" s="73">
        <f t="shared" si="38"/>
        <v>2.2083333333333344E-2</v>
      </c>
      <c r="BS14" s="74">
        <f t="shared" si="34"/>
        <v>1.001111111111111E-2</v>
      </c>
      <c r="BT14" s="15" t="s">
        <v>18</v>
      </c>
      <c r="BU14" s="3"/>
      <c r="BV14" s="2"/>
      <c r="BW14" s="2"/>
    </row>
    <row r="15" spans="2:75" x14ac:dyDescent="0.3">
      <c r="B15" s="760"/>
      <c r="C15" s="61" t="s">
        <v>110</v>
      </c>
      <c r="D15" s="62">
        <v>125.7</v>
      </c>
      <c r="E15" s="63">
        <v>56.3</v>
      </c>
      <c r="F15" s="63">
        <v>131.30000000000001</v>
      </c>
      <c r="G15" s="63">
        <v>146.30000000000001</v>
      </c>
      <c r="H15" s="63">
        <v>61.7</v>
      </c>
      <c r="I15" s="63">
        <v>77</v>
      </c>
      <c r="J15" s="63">
        <v>95.4</v>
      </c>
      <c r="K15" s="63">
        <v>162.80000000000001</v>
      </c>
      <c r="L15" s="63">
        <v>163.19999999999999</v>
      </c>
      <c r="M15" s="63">
        <v>165.3</v>
      </c>
      <c r="N15" s="63">
        <v>166.5</v>
      </c>
      <c r="O15" s="63">
        <v>167.5</v>
      </c>
      <c r="P15" s="63">
        <v>161.9</v>
      </c>
      <c r="Q15" s="63">
        <v>138.80000000000001</v>
      </c>
      <c r="R15" s="63">
        <v>55.4</v>
      </c>
      <c r="S15" s="63">
        <v>114.1</v>
      </c>
      <c r="T15" s="63">
        <v>143.19999999999999</v>
      </c>
      <c r="U15" s="15">
        <v>171.6</v>
      </c>
      <c r="V15" s="15">
        <v>169.4</v>
      </c>
      <c r="W15" s="15">
        <v>164.3</v>
      </c>
      <c r="X15" s="15">
        <v>122.3</v>
      </c>
      <c r="Y15" s="194">
        <v>163</v>
      </c>
      <c r="Z15" s="15">
        <v>161.80000000000001</v>
      </c>
      <c r="AA15" s="15">
        <v>162</v>
      </c>
      <c r="AB15" s="203">
        <v>76.8</v>
      </c>
      <c r="AC15" s="203">
        <v>0</v>
      </c>
      <c r="AD15" s="209">
        <v>98.8</v>
      </c>
      <c r="AE15" s="207">
        <v>88.8</v>
      </c>
      <c r="AF15" s="215">
        <v>58.3</v>
      </c>
      <c r="AG15" s="217">
        <v>55.6</v>
      </c>
      <c r="AH15" s="155">
        <f t="shared" si="35"/>
        <v>3625.1000000000013</v>
      </c>
      <c r="AI15" s="118">
        <v>29</v>
      </c>
      <c r="AJ15" s="121">
        <f t="shared" si="36"/>
        <v>1.0480523627075352E-2</v>
      </c>
      <c r="AK15" s="67">
        <f t="shared" si="1"/>
        <v>0.18060344827586208</v>
      </c>
      <c r="AL15" s="68">
        <f t="shared" si="2"/>
        <v>8.0890804597701149E-2</v>
      </c>
      <c r="AM15" s="68">
        <f t="shared" si="3"/>
        <v>0.18864942528735634</v>
      </c>
      <c r="AN15" s="68">
        <f t="shared" si="4"/>
        <v>0.21020114942528736</v>
      </c>
      <c r="AO15" s="68">
        <f t="shared" si="5"/>
        <v>8.8649425287356323E-2</v>
      </c>
      <c r="AP15" s="68">
        <f t="shared" si="6"/>
        <v>0.11063218390804598</v>
      </c>
      <c r="AQ15" s="68">
        <f t="shared" si="7"/>
        <v>0.13706896551724138</v>
      </c>
      <c r="AR15" s="68">
        <f t="shared" si="8"/>
        <v>0.23390804597701151</v>
      </c>
      <c r="AS15" s="68">
        <f t="shared" si="9"/>
        <v>0.23448275862068965</v>
      </c>
      <c r="AT15" s="68">
        <f t="shared" si="10"/>
        <v>0.23750000000000002</v>
      </c>
      <c r="AU15" s="68">
        <f t="shared" si="11"/>
        <v>0.23922413793103448</v>
      </c>
      <c r="AV15" s="68">
        <f t="shared" si="12"/>
        <v>0.24066091954022989</v>
      </c>
      <c r="AW15" s="68">
        <f t="shared" si="13"/>
        <v>0.23261494252873563</v>
      </c>
      <c r="AX15" s="68">
        <f t="shared" si="14"/>
        <v>0.19942528735632187</v>
      </c>
      <c r="AY15" s="68">
        <f t="shared" si="15"/>
        <v>7.9597701149425285E-2</v>
      </c>
      <c r="AZ15" s="68">
        <f t="shared" si="16"/>
        <v>0.16393678160919539</v>
      </c>
      <c r="BA15" s="68">
        <f t="shared" si="17"/>
        <v>0.20574712643678159</v>
      </c>
      <c r="BB15" s="68">
        <f t="shared" si="18"/>
        <v>0.24655172413793103</v>
      </c>
      <c r="BC15" s="68">
        <f t="shared" si="19"/>
        <v>0.24339080459770115</v>
      </c>
      <c r="BD15" s="68">
        <f t="shared" si="20"/>
        <v>0.2360632183908046</v>
      </c>
      <c r="BE15" s="68">
        <f t="shared" si="21"/>
        <v>0.1757183908045977</v>
      </c>
      <c r="BF15" s="68">
        <f t="shared" si="22"/>
        <v>0.23419540229885058</v>
      </c>
      <c r="BG15" s="68">
        <f t="shared" si="23"/>
        <v>0.23247126436781612</v>
      </c>
      <c r="BH15" s="68">
        <f t="shared" si="24"/>
        <v>0.23275862068965517</v>
      </c>
      <c r="BI15" s="68">
        <f t="shared" si="25"/>
        <v>0.1103448275862069</v>
      </c>
      <c r="BJ15" s="68">
        <f t="shared" si="26"/>
        <v>0</v>
      </c>
      <c r="BK15" s="68">
        <f t="shared" si="27"/>
        <v>0.14195402298850573</v>
      </c>
      <c r="BL15" s="68">
        <f t="shared" si="28"/>
        <v>0.12758620689655173</v>
      </c>
      <c r="BM15" s="68">
        <f t="shared" si="29"/>
        <v>8.376436781609195E-2</v>
      </c>
      <c r="BN15" s="68">
        <f t="shared" si="30"/>
        <v>7.988505747126437E-2</v>
      </c>
      <c r="BO15" s="70">
        <f t="shared" si="31"/>
        <v>0.17361590038314181</v>
      </c>
      <c r="BP15" s="180">
        <f>'FCs estimados em PVsyst'!Y13</f>
        <v>0.1850095785440613</v>
      </c>
      <c r="BQ15" s="72">
        <f t="shared" si="37"/>
        <v>5.365277777777778</v>
      </c>
      <c r="BR15" s="73">
        <f t="shared" si="38"/>
        <v>3.6398467432950388E-3</v>
      </c>
      <c r="BS15" s="74">
        <f t="shared" si="34"/>
        <v>-1.139367816091949E-2</v>
      </c>
      <c r="BT15" s="15" t="s">
        <v>110</v>
      </c>
      <c r="BU15" s="3"/>
      <c r="BV15" s="2"/>
      <c r="BW15" s="2"/>
    </row>
    <row r="16" spans="2:75" x14ac:dyDescent="0.3">
      <c r="B16" s="762"/>
      <c r="C16" s="61" t="s">
        <v>20</v>
      </c>
      <c r="D16" s="62">
        <v>378</v>
      </c>
      <c r="E16" s="63">
        <v>273.8</v>
      </c>
      <c r="F16" s="63">
        <v>437.9</v>
      </c>
      <c r="G16" s="63">
        <v>518.79999999999995</v>
      </c>
      <c r="H16" s="63">
        <v>295.10000000000002</v>
      </c>
      <c r="I16" s="63">
        <v>228.2</v>
      </c>
      <c r="J16" s="63">
        <v>302.3</v>
      </c>
      <c r="K16" s="63">
        <v>504.2</v>
      </c>
      <c r="L16" s="63">
        <v>574.9</v>
      </c>
      <c r="M16" s="63">
        <v>572.20000000000005</v>
      </c>
      <c r="N16" s="63">
        <v>580.5</v>
      </c>
      <c r="O16" s="63">
        <v>570.9</v>
      </c>
      <c r="P16" s="63">
        <v>573.9</v>
      </c>
      <c r="Q16" s="63">
        <v>456.4</v>
      </c>
      <c r="R16" s="63">
        <v>183.6</v>
      </c>
      <c r="S16" s="63">
        <v>364.7</v>
      </c>
      <c r="T16" s="63">
        <v>511.7</v>
      </c>
      <c r="U16" s="15">
        <v>597.79999999999995</v>
      </c>
      <c r="V16" s="15">
        <v>596.1</v>
      </c>
      <c r="W16" s="15">
        <v>588.29999999999995</v>
      </c>
      <c r="X16" s="15">
        <v>470.5</v>
      </c>
      <c r="Y16" s="194">
        <v>576</v>
      </c>
      <c r="Z16" s="15">
        <v>579.4</v>
      </c>
      <c r="AA16" s="15">
        <v>577.6</v>
      </c>
      <c r="AB16" s="202">
        <v>336.8</v>
      </c>
      <c r="AC16" s="143">
        <v>445.9</v>
      </c>
      <c r="AD16" s="207">
        <v>344.9</v>
      </c>
      <c r="AE16" s="207">
        <v>209.7</v>
      </c>
      <c r="AF16" s="207">
        <v>252.4</v>
      </c>
      <c r="AG16" s="217">
        <v>219.1</v>
      </c>
      <c r="AH16" s="155">
        <f t="shared" si="35"/>
        <v>13121.599999999997</v>
      </c>
      <c r="AI16" s="118">
        <v>100</v>
      </c>
      <c r="AJ16" s="121">
        <f t="shared" si="36"/>
        <v>1.0136574074074074E-2</v>
      </c>
      <c r="AK16" s="67">
        <f t="shared" si="1"/>
        <v>0.1575</v>
      </c>
      <c r="AL16" s="68">
        <f t="shared" si="2"/>
        <v>0.11408333333333334</v>
      </c>
      <c r="AM16" s="68">
        <f t="shared" si="3"/>
        <v>0.18245833333333333</v>
      </c>
      <c r="AN16" s="68">
        <f t="shared" si="4"/>
        <v>0.21616666666666665</v>
      </c>
      <c r="AO16" s="68">
        <f t="shared" si="5"/>
        <v>0.12295833333333334</v>
      </c>
      <c r="AP16" s="68">
        <f t="shared" si="6"/>
        <v>9.5083333333333325E-2</v>
      </c>
      <c r="AQ16" s="68">
        <f t="shared" si="7"/>
        <v>0.12595833333333334</v>
      </c>
      <c r="AR16" s="68">
        <f t="shared" si="8"/>
        <v>0.21008333333333332</v>
      </c>
      <c r="AS16" s="68">
        <f t="shared" si="9"/>
        <v>0.23954166666666665</v>
      </c>
      <c r="AT16" s="68">
        <f t="shared" si="10"/>
        <v>0.23841666666666669</v>
      </c>
      <c r="AU16" s="68">
        <f t="shared" si="11"/>
        <v>0.24187500000000001</v>
      </c>
      <c r="AV16" s="68">
        <f t="shared" si="12"/>
        <v>0.237875</v>
      </c>
      <c r="AW16" s="68">
        <f t="shared" si="13"/>
        <v>0.239125</v>
      </c>
      <c r="AX16" s="68">
        <f t="shared" si="14"/>
        <v>0.19016666666666665</v>
      </c>
      <c r="AY16" s="68">
        <f t="shared" si="15"/>
        <v>7.6499999999999999E-2</v>
      </c>
      <c r="AZ16" s="68">
        <f t="shared" si="16"/>
        <v>0.15195833333333333</v>
      </c>
      <c r="BA16" s="68">
        <f t="shared" si="17"/>
        <v>0.21320833333333333</v>
      </c>
      <c r="BB16" s="68">
        <f t="shared" si="18"/>
        <v>0.24908333333333332</v>
      </c>
      <c r="BC16" s="68">
        <f t="shared" si="19"/>
        <v>0.24837500000000001</v>
      </c>
      <c r="BD16" s="68">
        <f t="shared" si="20"/>
        <v>0.24512499999999998</v>
      </c>
      <c r="BE16" s="68">
        <f t="shared" si="21"/>
        <v>0.19604166666666667</v>
      </c>
      <c r="BF16" s="68">
        <f t="shared" si="22"/>
        <v>0.24</v>
      </c>
      <c r="BG16" s="68">
        <f t="shared" si="23"/>
        <v>0.24141666666666667</v>
      </c>
      <c r="BH16" s="68">
        <f t="shared" si="24"/>
        <v>0.24066666666666667</v>
      </c>
      <c r="BI16" s="68">
        <f t="shared" si="25"/>
        <v>0.14033333333333334</v>
      </c>
      <c r="BJ16" s="68">
        <f t="shared" si="26"/>
        <v>0.18579166666666666</v>
      </c>
      <c r="BK16" s="68">
        <f t="shared" si="27"/>
        <v>0.14370833333333333</v>
      </c>
      <c r="BL16" s="68">
        <f t="shared" si="28"/>
        <v>8.7374999999999994E-2</v>
      </c>
      <c r="BM16" s="68">
        <f t="shared" si="29"/>
        <v>0.10516666666666667</v>
      </c>
      <c r="BN16" s="68">
        <f t="shared" si="30"/>
        <v>9.129166666666666E-2</v>
      </c>
      <c r="BO16" s="70">
        <f t="shared" si="31"/>
        <v>0.1822444444444444</v>
      </c>
      <c r="BP16" s="180">
        <f>'FCs estimados em PVsyst'!Y14</f>
        <v>0.16425000000000001</v>
      </c>
      <c r="BQ16" s="72">
        <f t="shared" si="37"/>
        <v>16.425000000000001</v>
      </c>
      <c r="BR16" s="73">
        <f t="shared" si="38"/>
        <v>1.8208333333333326E-2</v>
      </c>
      <c r="BS16" s="74">
        <f t="shared" si="34"/>
        <v>1.7994444444444396E-2</v>
      </c>
      <c r="BT16" s="15" t="s">
        <v>20</v>
      </c>
      <c r="BU16" s="3"/>
      <c r="BV16" s="2"/>
      <c r="BW16" s="2"/>
    </row>
    <row r="17" spans="2:75" x14ac:dyDescent="0.3">
      <c r="B17" s="763" t="s">
        <v>21</v>
      </c>
      <c r="C17" s="61" t="s">
        <v>22</v>
      </c>
      <c r="D17" s="62">
        <v>456.5</v>
      </c>
      <c r="E17" s="63">
        <v>204.7</v>
      </c>
      <c r="F17" s="82">
        <v>453.1</v>
      </c>
      <c r="G17" s="82">
        <v>476.8</v>
      </c>
      <c r="H17" s="82">
        <v>424.1</v>
      </c>
      <c r="I17" s="82">
        <v>166.5</v>
      </c>
      <c r="J17" s="82">
        <v>358.4</v>
      </c>
      <c r="K17" s="63">
        <v>496.1</v>
      </c>
      <c r="L17" s="63">
        <v>553.6</v>
      </c>
      <c r="M17" s="63">
        <v>547.4</v>
      </c>
      <c r="N17" s="63">
        <v>555</v>
      </c>
      <c r="O17" s="63">
        <v>560</v>
      </c>
      <c r="P17" s="63">
        <v>512.5</v>
      </c>
      <c r="Q17" s="63">
        <v>523.29999999999995</v>
      </c>
      <c r="R17" s="91">
        <f>1165/2</f>
        <v>582.5</v>
      </c>
      <c r="S17" s="91">
        <f>1165/2</f>
        <v>582.5</v>
      </c>
      <c r="T17" s="63">
        <f>318.6+106.58</f>
        <v>425.18</v>
      </c>
      <c r="U17" s="15">
        <v>568.6</v>
      </c>
      <c r="V17" s="15">
        <v>162</v>
      </c>
      <c r="W17" s="15">
        <v>541.20000000000005</v>
      </c>
      <c r="X17" s="15">
        <v>383.8</v>
      </c>
      <c r="Y17" s="194">
        <v>549.79999999999995</v>
      </c>
      <c r="Z17" s="15">
        <v>549</v>
      </c>
      <c r="AA17" s="15">
        <v>530.20000000000005</v>
      </c>
      <c r="AB17" s="201">
        <v>530.79999999999995</v>
      </c>
      <c r="AC17" s="143">
        <v>424.6</v>
      </c>
      <c r="AD17" s="208">
        <v>231.8</v>
      </c>
      <c r="AE17" s="207">
        <v>381.2</v>
      </c>
      <c r="AF17" s="215">
        <v>214.1</v>
      </c>
      <c r="AG17" s="217">
        <v>156.1</v>
      </c>
      <c r="AH17" s="155">
        <f t="shared" si="35"/>
        <v>13101.380000000001</v>
      </c>
      <c r="AI17" s="118">
        <v>100</v>
      </c>
      <c r="AJ17" s="122">
        <f t="shared" si="36"/>
        <v>1.0488425925925927E-2</v>
      </c>
      <c r="AK17" s="67">
        <f t="shared" si="1"/>
        <v>0.19020833333333334</v>
      </c>
      <c r="AL17" s="68">
        <f t="shared" si="2"/>
        <v>8.5291666666666668E-2</v>
      </c>
      <c r="AM17" s="68">
        <f t="shared" si="3"/>
        <v>0.18879166666666666</v>
      </c>
      <c r="AN17" s="68">
        <f t="shared" si="4"/>
        <v>0.19866666666666666</v>
      </c>
      <c r="AO17" s="68">
        <f t="shared" si="5"/>
        <v>0.17670833333333336</v>
      </c>
      <c r="AP17" s="68">
        <f t="shared" si="6"/>
        <v>6.9375000000000006E-2</v>
      </c>
      <c r="AQ17" s="68">
        <f t="shared" si="7"/>
        <v>0.14933333333333332</v>
      </c>
      <c r="AR17" s="68">
        <f t="shared" si="8"/>
        <v>0.20670833333333336</v>
      </c>
      <c r="AS17" s="68">
        <f t="shared" si="9"/>
        <v>0.23066666666666669</v>
      </c>
      <c r="AT17" s="68">
        <f t="shared" si="10"/>
        <v>0.22808333333333333</v>
      </c>
      <c r="AU17" s="68">
        <f t="shared" si="11"/>
        <v>0.23125000000000001</v>
      </c>
      <c r="AV17" s="68">
        <f t="shared" si="12"/>
        <v>0.23333333333333334</v>
      </c>
      <c r="AW17" s="68">
        <f t="shared" si="13"/>
        <v>0.21354166666666666</v>
      </c>
      <c r="AX17" s="68">
        <f t="shared" si="14"/>
        <v>0.21804166666666666</v>
      </c>
      <c r="AY17" s="68">
        <f t="shared" si="15"/>
        <v>0.24270833333333333</v>
      </c>
      <c r="AZ17" s="68">
        <f t="shared" si="16"/>
        <v>0.24270833333333333</v>
      </c>
      <c r="BA17" s="68">
        <f t="shared" si="17"/>
        <v>0.17715833333333333</v>
      </c>
      <c r="BB17" s="68">
        <f t="shared" si="18"/>
        <v>0.23691666666666666</v>
      </c>
      <c r="BC17" s="68">
        <f t="shared" si="19"/>
        <v>6.7500000000000004E-2</v>
      </c>
      <c r="BD17" s="68">
        <f t="shared" si="20"/>
        <v>0.22550000000000001</v>
      </c>
      <c r="BE17" s="68">
        <f t="shared" si="21"/>
        <v>0.15991666666666668</v>
      </c>
      <c r="BF17" s="68">
        <f t="shared" si="22"/>
        <v>0.22908333333333331</v>
      </c>
      <c r="BG17" s="68">
        <f t="shared" si="23"/>
        <v>0.22875000000000001</v>
      </c>
      <c r="BH17" s="68">
        <f t="shared" si="24"/>
        <v>0.22091666666666668</v>
      </c>
      <c r="BI17" s="68">
        <f t="shared" si="25"/>
        <v>0.22116666666666665</v>
      </c>
      <c r="BJ17" s="68">
        <f t="shared" si="26"/>
        <v>0.17691666666666667</v>
      </c>
      <c r="BK17" s="68">
        <f t="shared" si="27"/>
        <v>9.658333333333334E-2</v>
      </c>
      <c r="BL17" s="68">
        <f t="shared" si="28"/>
        <v>0.15883333333333333</v>
      </c>
      <c r="BM17" s="68">
        <f t="shared" si="29"/>
        <v>8.9208333333333334E-2</v>
      </c>
      <c r="BN17" s="68">
        <f t="shared" si="30"/>
        <v>6.5041666666666664E-2</v>
      </c>
      <c r="BO17" s="70">
        <f t="shared" si="31"/>
        <v>0.18196361111111112</v>
      </c>
      <c r="BP17" s="198">
        <f>$BP$19</f>
        <v>0.168125</v>
      </c>
      <c r="BQ17" s="90">
        <f t="shared" si="37"/>
        <v>16.8125</v>
      </c>
      <c r="BR17" s="73">
        <f t="shared" si="38"/>
        <v>2.0666666666666667E-2</v>
      </c>
      <c r="BS17" s="74">
        <f t="shared" si="34"/>
        <v>1.3838611111111121E-2</v>
      </c>
      <c r="BT17" s="15" t="s">
        <v>22</v>
      </c>
      <c r="BU17" s="3"/>
      <c r="BV17" s="2"/>
      <c r="BW17" s="2"/>
    </row>
    <row r="18" spans="2:75" x14ac:dyDescent="0.3">
      <c r="B18" s="763"/>
      <c r="C18" s="61" t="s">
        <v>23</v>
      </c>
      <c r="D18" s="62">
        <v>460.4</v>
      </c>
      <c r="E18" s="63">
        <v>213.5</v>
      </c>
      <c r="F18" s="82">
        <v>469.1</v>
      </c>
      <c r="G18" s="63">
        <v>491.3</v>
      </c>
      <c r="H18" s="63">
        <v>429</v>
      </c>
      <c r="I18" s="63">
        <v>172.3</v>
      </c>
      <c r="J18" s="63">
        <v>373.3</v>
      </c>
      <c r="K18" s="63">
        <v>508.9</v>
      </c>
      <c r="L18" s="63">
        <v>564.70000000000005</v>
      </c>
      <c r="M18" s="63">
        <v>559</v>
      </c>
      <c r="N18" s="63">
        <v>569.1</v>
      </c>
      <c r="O18" s="63">
        <v>575.9</v>
      </c>
      <c r="P18" s="63">
        <v>519.9</v>
      </c>
      <c r="Q18" s="63">
        <v>534.9</v>
      </c>
      <c r="R18" s="63">
        <v>40.200000000000003</v>
      </c>
      <c r="S18" s="63">
        <v>353.5</v>
      </c>
      <c r="T18" s="63">
        <v>540.20000000000005</v>
      </c>
      <c r="U18" s="15">
        <v>581.1</v>
      </c>
      <c r="V18" s="15">
        <v>577.29999999999995</v>
      </c>
      <c r="W18" s="15">
        <v>550.20000000000005</v>
      </c>
      <c r="X18" s="15">
        <v>397.2</v>
      </c>
      <c r="Y18" s="143">
        <v>569.20000000000005</v>
      </c>
      <c r="Z18" s="15">
        <v>568.70000000000005</v>
      </c>
      <c r="AA18" s="15">
        <v>553.29999999999995</v>
      </c>
      <c r="AB18" s="201">
        <v>557.70000000000005</v>
      </c>
      <c r="AC18" s="143">
        <v>451</v>
      </c>
      <c r="AD18" s="208">
        <v>246.4</v>
      </c>
      <c r="AE18" s="207">
        <v>412.9</v>
      </c>
      <c r="AF18" s="215">
        <v>227.9</v>
      </c>
      <c r="AG18" s="217">
        <v>166.9</v>
      </c>
      <c r="AH18" s="155">
        <f t="shared" si="35"/>
        <v>13235.000000000002</v>
      </c>
      <c r="AI18" s="118">
        <v>100</v>
      </c>
      <c r="AJ18" s="122">
        <f t="shared" si="36"/>
        <v>1.0858796296296297E-2</v>
      </c>
      <c r="AK18" s="67">
        <f t="shared" si="1"/>
        <v>0.19183333333333333</v>
      </c>
      <c r="AL18" s="68">
        <f t="shared" si="2"/>
        <v>8.8958333333333334E-2</v>
      </c>
      <c r="AM18" s="68">
        <f t="shared" si="3"/>
        <v>0.19545833333333335</v>
      </c>
      <c r="AN18" s="68">
        <f t="shared" si="4"/>
        <v>0.20470833333333333</v>
      </c>
      <c r="AO18" s="68">
        <f t="shared" si="5"/>
        <v>0.17874999999999999</v>
      </c>
      <c r="AP18" s="68">
        <f t="shared" si="6"/>
        <v>7.179166666666667E-2</v>
      </c>
      <c r="AQ18" s="68">
        <f t="shared" si="7"/>
        <v>0.15554166666666666</v>
      </c>
      <c r="AR18" s="68">
        <f t="shared" si="8"/>
        <v>0.21204166666666666</v>
      </c>
      <c r="AS18" s="68">
        <f t="shared" si="9"/>
        <v>0.23529166666666668</v>
      </c>
      <c r="AT18" s="68">
        <f t="shared" si="10"/>
        <v>0.23291666666666666</v>
      </c>
      <c r="AU18" s="68">
        <f t="shared" si="11"/>
        <v>0.237125</v>
      </c>
      <c r="AV18" s="68">
        <f t="shared" si="12"/>
        <v>0.23995833333333333</v>
      </c>
      <c r="AW18" s="68">
        <f t="shared" si="13"/>
        <v>0.21662499999999998</v>
      </c>
      <c r="AX18" s="68">
        <f t="shared" si="14"/>
        <v>0.22287499999999999</v>
      </c>
      <c r="AY18" s="68">
        <f t="shared" si="15"/>
        <v>1.6750000000000001E-2</v>
      </c>
      <c r="AZ18" s="68">
        <f t="shared" si="16"/>
        <v>0.14729166666666665</v>
      </c>
      <c r="BA18" s="68">
        <f t="shared" si="17"/>
        <v>0.22508333333333336</v>
      </c>
      <c r="BB18" s="68">
        <f t="shared" si="18"/>
        <v>0.24212500000000001</v>
      </c>
      <c r="BC18" s="68">
        <f t="shared" si="19"/>
        <v>0.24054166666666665</v>
      </c>
      <c r="BD18" s="68">
        <f t="shared" si="20"/>
        <v>0.22925000000000001</v>
      </c>
      <c r="BE18" s="68">
        <f t="shared" si="21"/>
        <v>0.16550000000000001</v>
      </c>
      <c r="BF18" s="68">
        <f t="shared" si="22"/>
        <v>0.23716666666666669</v>
      </c>
      <c r="BG18" s="68">
        <f t="shared" si="23"/>
        <v>0.23695833333333335</v>
      </c>
      <c r="BH18" s="68">
        <f t="shared" si="24"/>
        <v>0.23054166666666664</v>
      </c>
      <c r="BI18" s="68">
        <f t="shared" si="25"/>
        <v>0.23237500000000003</v>
      </c>
      <c r="BJ18" s="68">
        <f t="shared" si="26"/>
        <v>0.18791666666666668</v>
      </c>
      <c r="BK18" s="68">
        <f t="shared" si="27"/>
        <v>0.10266666666666667</v>
      </c>
      <c r="BL18" s="68">
        <f t="shared" si="28"/>
        <v>0.17204166666666665</v>
      </c>
      <c r="BM18" s="68">
        <f t="shared" si="29"/>
        <v>9.4958333333333339E-2</v>
      </c>
      <c r="BN18" s="68">
        <f t="shared" si="30"/>
        <v>6.9541666666666668E-2</v>
      </c>
      <c r="BO18" s="70">
        <f t="shared" si="31"/>
        <v>0.18381944444444448</v>
      </c>
      <c r="BP18" s="198">
        <f>$BP$19</f>
        <v>0.168125</v>
      </c>
      <c r="BQ18" s="90">
        <f t="shared" si="37"/>
        <v>16.8125</v>
      </c>
      <c r="BR18" s="73">
        <f t="shared" si="38"/>
        <v>2.7333333333333348E-2</v>
      </c>
      <c r="BS18" s="74">
        <f t="shared" si="34"/>
        <v>1.5694444444444483E-2</v>
      </c>
      <c r="BT18" s="15" t="s">
        <v>23</v>
      </c>
      <c r="BU18" s="3"/>
      <c r="BV18" s="2"/>
      <c r="BW18" s="2"/>
    </row>
    <row r="19" spans="2:75" x14ac:dyDescent="0.3">
      <c r="B19" s="763"/>
      <c r="C19" s="61" t="s">
        <v>24</v>
      </c>
      <c r="D19" s="62">
        <v>385.2</v>
      </c>
      <c r="E19" s="63">
        <v>175.7</v>
      </c>
      <c r="F19" s="63">
        <v>358.6</v>
      </c>
      <c r="G19" s="63">
        <v>388.9</v>
      </c>
      <c r="H19" s="63">
        <v>369.4</v>
      </c>
      <c r="I19" s="63">
        <v>120.8</v>
      </c>
      <c r="J19" s="63">
        <v>307</v>
      </c>
      <c r="K19" s="63">
        <v>396.2</v>
      </c>
      <c r="L19" s="63">
        <v>466</v>
      </c>
      <c r="M19" s="63">
        <v>466.2</v>
      </c>
      <c r="N19" s="63">
        <v>478.9</v>
      </c>
      <c r="O19" s="63">
        <v>469.7</v>
      </c>
      <c r="P19" s="63">
        <v>448.8</v>
      </c>
      <c r="Q19" s="63">
        <v>443.8</v>
      </c>
      <c r="R19" s="63">
        <v>115</v>
      </c>
      <c r="S19" s="63">
        <v>309.2</v>
      </c>
      <c r="T19" s="63">
        <v>435.2</v>
      </c>
      <c r="U19" s="15">
        <v>483.6</v>
      </c>
      <c r="V19" s="15">
        <v>478.9</v>
      </c>
      <c r="W19" s="15">
        <v>468</v>
      </c>
      <c r="X19" s="15">
        <v>322.5</v>
      </c>
      <c r="Y19" s="15">
        <v>461.8</v>
      </c>
      <c r="Z19" s="15">
        <v>468.9</v>
      </c>
      <c r="AA19" s="15">
        <v>464.7</v>
      </c>
      <c r="AB19" s="15">
        <v>454.1</v>
      </c>
      <c r="AC19" s="143">
        <v>307.10000000000002</v>
      </c>
      <c r="AD19" s="207">
        <v>248.3</v>
      </c>
      <c r="AE19" s="208">
        <v>243.1</v>
      </c>
      <c r="AF19" s="215">
        <v>202.9</v>
      </c>
      <c r="AG19" s="217">
        <v>139.69999999999999</v>
      </c>
      <c r="AH19" s="155">
        <f t="shared" si="35"/>
        <v>10878.2</v>
      </c>
      <c r="AI19" s="118">
        <v>80</v>
      </c>
      <c r="AJ19" s="121">
        <f t="shared" si="36"/>
        <v>1.0376157407407409E-2</v>
      </c>
      <c r="AK19" s="67">
        <f t="shared" si="1"/>
        <v>0.200625</v>
      </c>
      <c r="AL19" s="68">
        <f t="shared" si="2"/>
        <v>9.1510416666666664E-2</v>
      </c>
      <c r="AM19" s="68">
        <f t="shared" si="3"/>
        <v>0.18677083333333336</v>
      </c>
      <c r="AN19" s="68">
        <f t="shared" si="4"/>
        <v>0.20255208333333333</v>
      </c>
      <c r="AO19" s="68">
        <f t="shared" si="5"/>
        <v>0.19239583333333332</v>
      </c>
      <c r="AP19" s="68">
        <f t="shared" si="6"/>
        <v>6.2916666666666662E-2</v>
      </c>
      <c r="AQ19" s="68">
        <f t="shared" si="7"/>
        <v>0.15989583333333332</v>
      </c>
      <c r="AR19" s="68">
        <f t="shared" si="8"/>
        <v>0.20635416666666667</v>
      </c>
      <c r="AS19" s="68">
        <f t="shared" si="9"/>
        <v>0.24270833333333333</v>
      </c>
      <c r="AT19" s="68">
        <f t="shared" si="10"/>
        <v>0.24281249999999999</v>
      </c>
      <c r="AU19" s="68">
        <f t="shared" si="11"/>
        <v>0.24942708333333333</v>
      </c>
      <c r="AV19" s="68">
        <f t="shared" si="12"/>
        <v>0.24463541666666666</v>
      </c>
      <c r="AW19" s="68">
        <f t="shared" si="13"/>
        <v>0.23375000000000001</v>
      </c>
      <c r="AX19" s="68">
        <f t="shared" si="14"/>
        <v>0.23114583333333333</v>
      </c>
      <c r="AY19" s="68">
        <f t="shared" si="15"/>
        <v>5.9895833333333336E-2</v>
      </c>
      <c r="AZ19" s="68">
        <f t="shared" si="16"/>
        <v>0.16104166666666667</v>
      </c>
      <c r="BA19" s="68">
        <f t="shared" si="17"/>
        <v>0.22666666666666666</v>
      </c>
      <c r="BB19" s="68">
        <f t="shared" si="18"/>
        <v>0.25187500000000002</v>
      </c>
      <c r="BC19" s="68">
        <f t="shared" si="19"/>
        <v>0.24942708333333333</v>
      </c>
      <c r="BD19" s="68">
        <f t="shared" si="20"/>
        <v>0.24374999999999999</v>
      </c>
      <c r="BE19" s="68">
        <f t="shared" si="21"/>
        <v>0.16796875</v>
      </c>
      <c r="BF19" s="68">
        <f t="shared" si="22"/>
        <v>0.24052083333333335</v>
      </c>
      <c r="BG19" s="68">
        <f t="shared" si="23"/>
        <v>0.24421874999999998</v>
      </c>
      <c r="BH19" s="68">
        <f t="shared" si="24"/>
        <v>0.24203125</v>
      </c>
      <c r="BI19" s="68">
        <f t="shared" si="25"/>
        <v>0.23651041666666667</v>
      </c>
      <c r="BJ19" s="68">
        <f t="shared" si="26"/>
        <v>0.15994791666666669</v>
      </c>
      <c r="BK19" s="68">
        <f t="shared" si="27"/>
        <v>0.12932291666666668</v>
      </c>
      <c r="BL19" s="68">
        <f t="shared" si="28"/>
        <v>0.12661458333333334</v>
      </c>
      <c r="BM19" s="68">
        <f t="shared" si="29"/>
        <v>0.10567708333333334</v>
      </c>
      <c r="BN19" s="68">
        <f t="shared" si="30"/>
        <v>7.2760416666666661E-2</v>
      </c>
      <c r="BO19" s="70">
        <f t="shared" si="31"/>
        <v>0.1888576388888889</v>
      </c>
      <c r="BP19" s="180">
        <f>'FCs estimados em PVsyst'!Y17</f>
        <v>0.168125</v>
      </c>
      <c r="BQ19" s="72">
        <f t="shared" si="37"/>
        <v>13.45</v>
      </c>
      <c r="BR19" s="73">
        <f t="shared" si="38"/>
        <v>1.8645833333333361E-2</v>
      </c>
      <c r="BS19" s="74">
        <f t="shared" si="34"/>
        <v>2.0732638888888905E-2</v>
      </c>
      <c r="BT19" s="15" t="s">
        <v>24</v>
      </c>
      <c r="BU19" s="3"/>
      <c r="BV19" s="2"/>
      <c r="BW19" s="2"/>
    </row>
    <row r="20" spans="2:75" x14ac:dyDescent="0.3">
      <c r="B20" s="763"/>
      <c r="C20" s="61" t="s">
        <v>25</v>
      </c>
      <c r="D20" s="62">
        <v>385.2</v>
      </c>
      <c r="E20" s="63">
        <v>175.7</v>
      </c>
      <c r="F20" s="63">
        <v>358.6</v>
      </c>
      <c r="G20" s="63">
        <v>496.1</v>
      </c>
      <c r="H20" s="63">
        <v>502.5</v>
      </c>
      <c r="I20" s="63">
        <v>164.4</v>
      </c>
      <c r="J20" s="63">
        <v>397.5</v>
      </c>
      <c r="K20" s="63">
        <v>480.2</v>
      </c>
      <c r="L20" s="63">
        <v>606</v>
      </c>
      <c r="M20" s="63">
        <v>610.79999999999995</v>
      </c>
      <c r="N20" s="63">
        <v>612.1</v>
      </c>
      <c r="O20" s="63">
        <v>588</v>
      </c>
      <c r="P20" s="63">
        <v>567</v>
      </c>
      <c r="Q20" s="63">
        <v>592.9</v>
      </c>
      <c r="R20" s="63">
        <v>160.30000000000001</v>
      </c>
      <c r="S20" s="63">
        <v>413.8</v>
      </c>
      <c r="T20" s="63">
        <v>539.4</v>
      </c>
      <c r="U20" s="15">
        <v>620.79999999999995</v>
      </c>
      <c r="V20" s="15">
        <v>619</v>
      </c>
      <c r="W20" s="15">
        <v>594.4</v>
      </c>
      <c r="X20" s="15">
        <v>383.3</v>
      </c>
      <c r="Y20" s="15">
        <v>602.79999999999995</v>
      </c>
      <c r="Z20" s="15">
        <v>612.1</v>
      </c>
      <c r="AA20" s="15">
        <v>608.29999999999995</v>
      </c>
      <c r="AB20" s="15">
        <v>600.29999999999995</v>
      </c>
      <c r="AC20" s="143">
        <v>382.9</v>
      </c>
      <c r="AD20" s="207">
        <v>326.89999999999998</v>
      </c>
      <c r="AE20" s="208">
        <v>317.3</v>
      </c>
      <c r="AF20" s="215">
        <v>281.2</v>
      </c>
      <c r="AG20" s="217">
        <v>191.1</v>
      </c>
      <c r="AH20" s="155">
        <f t="shared" si="35"/>
        <v>13790.899999999996</v>
      </c>
      <c r="AI20" s="118">
        <v>100</v>
      </c>
      <c r="AJ20" s="121">
        <f t="shared" si="36"/>
        <v>8.3009259259259269E-3</v>
      </c>
      <c r="AK20" s="67">
        <f t="shared" si="1"/>
        <v>0.1605</v>
      </c>
      <c r="AL20" s="68">
        <f t="shared" si="2"/>
        <v>7.3208333333333334E-2</v>
      </c>
      <c r="AM20" s="68">
        <f t="shared" si="3"/>
        <v>0.14941666666666667</v>
      </c>
      <c r="AN20" s="68">
        <f t="shared" si="4"/>
        <v>0.20670833333333336</v>
      </c>
      <c r="AO20" s="68">
        <f t="shared" si="5"/>
        <v>0.20937500000000001</v>
      </c>
      <c r="AP20" s="68">
        <f t="shared" si="6"/>
        <v>6.8500000000000005E-2</v>
      </c>
      <c r="AQ20" s="68">
        <f t="shared" si="7"/>
        <v>0.16562499999999999</v>
      </c>
      <c r="AR20" s="68">
        <f t="shared" si="8"/>
        <v>0.20008333333333334</v>
      </c>
      <c r="AS20" s="68">
        <f t="shared" si="9"/>
        <v>0.2525</v>
      </c>
      <c r="AT20" s="68">
        <f t="shared" si="10"/>
        <v>0.2545</v>
      </c>
      <c r="AU20" s="68">
        <f t="shared" si="11"/>
        <v>0.25504166666666667</v>
      </c>
      <c r="AV20" s="68">
        <f t="shared" si="12"/>
        <v>0.245</v>
      </c>
      <c r="AW20" s="68">
        <f t="shared" si="13"/>
        <v>0.23624999999999999</v>
      </c>
      <c r="AX20" s="68">
        <f t="shared" si="14"/>
        <v>0.24704166666666666</v>
      </c>
      <c r="AY20" s="68">
        <f t="shared" si="15"/>
        <v>6.6791666666666666E-2</v>
      </c>
      <c r="AZ20" s="68">
        <f t="shared" si="16"/>
        <v>0.17241666666666666</v>
      </c>
      <c r="BA20" s="68">
        <f t="shared" si="17"/>
        <v>0.22474999999999998</v>
      </c>
      <c r="BB20" s="68">
        <f t="shared" si="18"/>
        <v>0.25866666666666666</v>
      </c>
      <c r="BC20" s="68">
        <f t="shared" si="19"/>
        <v>0.25791666666666668</v>
      </c>
      <c r="BD20" s="68">
        <f t="shared" si="20"/>
        <v>0.24766666666666665</v>
      </c>
      <c r="BE20" s="68">
        <f t="shared" si="21"/>
        <v>0.15970833333333334</v>
      </c>
      <c r="BF20" s="68">
        <f t="shared" si="22"/>
        <v>0.25116666666666665</v>
      </c>
      <c r="BG20" s="68">
        <f t="shared" si="23"/>
        <v>0.25504166666666667</v>
      </c>
      <c r="BH20" s="68">
        <f t="shared" si="24"/>
        <v>0.25345833333333334</v>
      </c>
      <c r="BI20" s="68">
        <f t="shared" si="25"/>
        <v>0.25012499999999999</v>
      </c>
      <c r="BJ20" s="68">
        <f t="shared" si="26"/>
        <v>0.15954166666666666</v>
      </c>
      <c r="BK20" s="68">
        <f t="shared" si="27"/>
        <v>0.13620833333333332</v>
      </c>
      <c r="BL20" s="68">
        <f t="shared" si="28"/>
        <v>0.13220833333333334</v>
      </c>
      <c r="BM20" s="68">
        <f t="shared" si="29"/>
        <v>0.11716666666666666</v>
      </c>
      <c r="BN20" s="68">
        <f t="shared" si="30"/>
        <v>7.9625000000000001E-2</v>
      </c>
      <c r="BO20" s="70">
        <f t="shared" si="31"/>
        <v>0.19154027777777771</v>
      </c>
      <c r="BP20" s="198">
        <f t="shared" ref="BP20:BP28" si="39">$BP$19</f>
        <v>0.168125</v>
      </c>
      <c r="BQ20" s="72">
        <f t="shared" si="37"/>
        <v>16.8125</v>
      </c>
      <c r="BR20" s="73">
        <f t="shared" si="38"/>
        <v>-1.8708333333333327E-2</v>
      </c>
      <c r="BS20" s="74">
        <f t="shared" si="34"/>
        <v>2.3415277777777715E-2</v>
      </c>
      <c r="BT20" s="15" t="s">
        <v>25</v>
      </c>
      <c r="BU20" s="3"/>
      <c r="BV20" s="2"/>
      <c r="BW20" s="2"/>
    </row>
    <row r="21" spans="2:75" x14ac:dyDescent="0.3">
      <c r="B21" s="763"/>
      <c r="C21" s="61" t="s">
        <v>26</v>
      </c>
      <c r="D21" s="62">
        <v>446.5</v>
      </c>
      <c r="E21" s="63">
        <v>197.1</v>
      </c>
      <c r="F21" s="63">
        <v>392.1</v>
      </c>
      <c r="G21" s="63">
        <v>436</v>
      </c>
      <c r="H21" s="63">
        <v>452</v>
      </c>
      <c r="I21" s="63">
        <v>140.19999999999999</v>
      </c>
      <c r="J21" s="63">
        <v>344.3</v>
      </c>
      <c r="K21" s="63">
        <v>424</v>
      </c>
      <c r="L21" s="63">
        <v>546.6</v>
      </c>
      <c r="M21" s="63">
        <v>551.4</v>
      </c>
      <c r="N21" s="63">
        <v>555.9</v>
      </c>
      <c r="O21" s="63">
        <v>534.6</v>
      </c>
      <c r="P21" s="63">
        <v>519.20000000000005</v>
      </c>
      <c r="Q21" s="63">
        <v>534.6</v>
      </c>
      <c r="R21" s="63">
        <v>136.9</v>
      </c>
      <c r="S21" s="63">
        <v>355.5</v>
      </c>
      <c r="T21" s="63">
        <v>487</v>
      </c>
      <c r="U21" s="15">
        <v>574.29999999999995</v>
      </c>
      <c r="V21" s="15">
        <v>579</v>
      </c>
      <c r="W21" s="15">
        <v>556.20000000000005</v>
      </c>
      <c r="X21" s="15">
        <v>341.8</v>
      </c>
      <c r="Y21" s="15">
        <v>562.70000000000005</v>
      </c>
      <c r="Z21" s="15">
        <v>573.5</v>
      </c>
      <c r="AA21" s="15">
        <v>568.4</v>
      </c>
      <c r="AB21" s="148">
        <v>556.9</v>
      </c>
      <c r="AC21" s="143">
        <v>340.3</v>
      </c>
      <c r="AD21" s="207">
        <v>301.5</v>
      </c>
      <c r="AE21" s="208">
        <v>283.2</v>
      </c>
      <c r="AF21" s="215">
        <v>241.6</v>
      </c>
      <c r="AG21" s="217">
        <v>164</v>
      </c>
      <c r="AH21" s="155">
        <f t="shared" si="35"/>
        <v>12697.300000000001</v>
      </c>
      <c r="AI21" s="118">
        <v>100</v>
      </c>
      <c r="AJ21" s="121">
        <f t="shared" si="36"/>
        <v>9.076388888888889E-3</v>
      </c>
      <c r="AK21" s="67">
        <f t="shared" si="1"/>
        <v>0.18604166666666666</v>
      </c>
      <c r="AL21" s="68">
        <f t="shared" si="2"/>
        <v>8.2125000000000004E-2</v>
      </c>
      <c r="AM21" s="68">
        <f t="shared" si="3"/>
        <v>0.16337500000000002</v>
      </c>
      <c r="AN21" s="68">
        <f t="shared" si="4"/>
        <v>0.18166666666666667</v>
      </c>
      <c r="AO21" s="68">
        <f t="shared" si="5"/>
        <v>0.18833333333333332</v>
      </c>
      <c r="AP21" s="68">
        <f t="shared" si="6"/>
        <v>5.8416666666666665E-2</v>
      </c>
      <c r="AQ21" s="68">
        <f t="shared" si="7"/>
        <v>0.14345833333333333</v>
      </c>
      <c r="AR21" s="68">
        <f t="shared" si="8"/>
        <v>0.17666666666666667</v>
      </c>
      <c r="AS21" s="68">
        <f t="shared" si="9"/>
        <v>0.22775000000000001</v>
      </c>
      <c r="AT21" s="68">
        <f t="shared" si="10"/>
        <v>0.22974999999999998</v>
      </c>
      <c r="AU21" s="68">
        <f t="shared" si="11"/>
        <v>0.231625</v>
      </c>
      <c r="AV21" s="68">
        <f t="shared" si="12"/>
        <v>0.22275</v>
      </c>
      <c r="AW21" s="68">
        <f t="shared" si="13"/>
        <v>0.21633333333333335</v>
      </c>
      <c r="AX21" s="68">
        <f t="shared" si="14"/>
        <v>0.22275</v>
      </c>
      <c r="AY21" s="68">
        <f t="shared" si="15"/>
        <v>5.7041666666666671E-2</v>
      </c>
      <c r="AZ21" s="68">
        <f t="shared" si="16"/>
        <v>0.14812500000000001</v>
      </c>
      <c r="BA21" s="68">
        <f t="shared" si="17"/>
        <v>0.20291666666666666</v>
      </c>
      <c r="BB21" s="68">
        <f t="shared" si="18"/>
        <v>0.23929166666666665</v>
      </c>
      <c r="BC21" s="68">
        <f t="shared" si="19"/>
        <v>0.24124999999999999</v>
      </c>
      <c r="BD21" s="68">
        <f t="shared" si="20"/>
        <v>0.23175000000000001</v>
      </c>
      <c r="BE21" s="68">
        <f t="shared" si="21"/>
        <v>0.14241666666666666</v>
      </c>
      <c r="BF21" s="68">
        <f t="shared" si="22"/>
        <v>0.23445833333333335</v>
      </c>
      <c r="BG21" s="68">
        <f t="shared" si="23"/>
        <v>0.23895833333333333</v>
      </c>
      <c r="BH21" s="68">
        <f t="shared" si="24"/>
        <v>0.23683333333333331</v>
      </c>
      <c r="BI21" s="68">
        <f>IF(OR(AB20="",AB20="Sem monitoramento"),"VAZIO",IFERROR(AB20/($AI21*24),"-"))</f>
        <v>0.25012499999999999</v>
      </c>
      <c r="BJ21" s="68">
        <f t="shared" si="26"/>
        <v>0.14179166666666668</v>
      </c>
      <c r="BK21" s="68">
        <f t="shared" si="27"/>
        <v>0.12562499999999999</v>
      </c>
      <c r="BL21" s="68">
        <f t="shared" si="28"/>
        <v>0.11799999999999999</v>
      </c>
      <c r="BM21" s="68">
        <f t="shared" si="29"/>
        <v>0.10066666666666667</v>
      </c>
      <c r="BN21" s="68">
        <f t="shared" si="30"/>
        <v>6.8333333333333329E-2</v>
      </c>
      <c r="BO21" s="70">
        <f t="shared" si="31"/>
        <v>0.1763513888888889</v>
      </c>
      <c r="BP21" s="198">
        <f t="shared" si="39"/>
        <v>0.168125</v>
      </c>
      <c r="BQ21" s="72">
        <f t="shared" si="37"/>
        <v>16.8125</v>
      </c>
      <c r="BR21" s="73">
        <f t="shared" si="38"/>
        <v>-4.7499999999999765E-3</v>
      </c>
      <c r="BS21" s="74">
        <f t="shared" si="34"/>
        <v>8.2263888888889081E-3</v>
      </c>
      <c r="BT21" s="15" t="s">
        <v>26</v>
      </c>
      <c r="BU21" s="3"/>
      <c r="BV21" s="2"/>
      <c r="BW21" s="2"/>
    </row>
    <row r="22" spans="2:75" x14ac:dyDescent="0.3">
      <c r="B22" s="763"/>
      <c r="C22" s="61" t="s">
        <v>27</v>
      </c>
      <c r="D22" s="62">
        <v>526.29999999999995</v>
      </c>
      <c r="E22" s="63">
        <v>467.6</v>
      </c>
      <c r="F22" s="63">
        <v>470.5</v>
      </c>
      <c r="G22" s="63">
        <v>495.4</v>
      </c>
      <c r="H22" s="63">
        <v>211</v>
      </c>
      <c r="I22" s="63">
        <v>171.8</v>
      </c>
      <c r="J22" s="63">
        <v>310.2</v>
      </c>
      <c r="K22" s="63">
        <v>545.70000000000005</v>
      </c>
      <c r="L22" s="63">
        <v>530.29999999999995</v>
      </c>
      <c r="M22" s="63">
        <v>490.6</v>
      </c>
      <c r="N22" s="63">
        <v>562.20000000000005</v>
      </c>
      <c r="O22" s="63">
        <v>552.20000000000005</v>
      </c>
      <c r="P22" s="63">
        <v>506</v>
      </c>
      <c r="Q22" s="63">
        <v>350.1</v>
      </c>
      <c r="R22" s="63">
        <v>147.5</v>
      </c>
      <c r="S22" s="63">
        <v>552.5</v>
      </c>
      <c r="T22" s="63">
        <v>554</v>
      </c>
      <c r="U22" s="15">
        <v>564.5</v>
      </c>
      <c r="V22" s="15">
        <v>567.29999999999995</v>
      </c>
      <c r="W22" s="15">
        <v>552.5</v>
      </c>
      <c r="X22" s="15">
        <v>551.9</v>
      </c>
      <c r="Y22" s="15">
        <v>542.70000000000005</v>
      </c>
      <c r="Z22" s="15">
        <v>542</v>
      </c>
      <c r="AA22" s="15">
        <v>549.1</v>
      </c>
      <c r="AB22" s="143">
        <v>426.1</v>
      </c>
      <c r="AC22" s="143">
        <v>492.8</v>
      </c>
      <c r="AD22" s="203">
        <v>80.8</v>
      </c>
      <c r="AE22" s="212">
        <v>163.5</v>
      </c>
      <c r="AF22" s="215">
        <v>199.7</v>
      </c>
      <c r="AG22" s="207">
        <v>379.2</v>
      </c>
      <c r="AH22" s="155">
        <f t="shared" si="35"/>
        <v>13056.000000000002</v>
      </c>
      <c r="AI22" s="118">
        <v>100</v>
      </c>
      <c r="AJ22" s="121">
        <f t="shared" si="36"/>
        <v>1.0891203703703703E-2</v>
      </c>
      <c r="AK22" s="67">
        <f t="shared" si="1"/>
        <v>0.21929166666666663</v>
      </c>
      <c r="AL22" s="68">
        <f t="shared" si="2"/>
        <v>0.19483333333333333</v>
      </c>
      <c r="AM22" s="68">
        <f t="shared" si="3"/>
        <v>0.19604166666666667</v>
      </c>
      <c r="AN22" s="68">
        <f t="shared" si="4"/>
        <v>0.20641666666666666</v>
      </c>
      <c r="AO22" s="68">
        <f t="shared" si="5"/>
        <v>8.7916666666666671E-2</v>
      </c>
      <c r="AP22" s="68">
        <f t="shared" si="6"/>
        <v>7.1583333333333332E-2</v>
      </c>
      <c r="AQ22" s="68">
        <f t="shared" si="7"/>
        <v>0.12925</v>
      </c>
      <c r="AR22" s="68">
        <f t="shared" si="8"/>
        <v>0.22737500000000002</v>
      </c>
      <c r="AS22" s="68">
        <f t="shared" si="9"/>
        <v>0.22095833333333331</v>
      </c>
      <c r="AT22" s="68">
        <f t="shared" si="10"/>
        <v>0.20441666666666666</v>
      </c>
      <c r="AU22" s="68">
        <f t="shared" si="11"/>
        <v>0.23425000000000001</v>
      </c>
      <c r="AV22" s="68">
        <f t="shared" si="12"/>
        <v>0.23008333333333336</v>
      </c>
      <c r="AW22" s="68">
        <f t="shared" si="13"/>
        <v>0.21083333333333334</v>
      </c>
      <c r="AX22" s="68">
        <f t="shared" si="14"/>
        <v>0.145875</v>
      </c>
      <c r="AY22" s="68">
        <f t="shared" si="15"/>
        <v>6.145833333333333E-2</v>
      </c>
      <c r="AZ22" s="68">
        <f t="shared" si="16"/>
        <v>0.23020833333333332</v>
      </c>
      <c r="BA22" s="68">
        <f t="shared" si="17"/>
        <v>0.23083333333333333</v>
      </c>
      <c r="BB22" s="68">
        <f t="shared" si="18"/>
        <v>0.23520833333333332</v>
      </c>
      <c r="BC22" s="68">
        <f t="shared" si="19"/>
        <v>0.23637499999999997</v>
      </c>
      <c r="BD22" s="68">
        <f t="shared" si="20"/>
        <v>0.23020833333333332</v>
      </c>
      <c r="BE22" s="68">
        <f t="shared" si="21"/>
        <v>0.22995833333333332</v>
      </c>
      <c r="BF22" s="68">
        <f t="shared" si="22"/>
        <v>0.22612500000000002</v>
      </c>
      <c r="BG22" s="68">
        <f t="shared" si="23"/>
        <v>0.22583333333333333</v>
      </c>
      <c r="BH22" s="68">
        <f t="shared" si="24"/>
        <v>0.22879166666666667</v>
      </c>
      <c r="BI22" s="68">
        <f t="shared" si="25"/>
        <v>0.17754166666666668</v>
      </c>
      <c r="BJ22" s="68">
        <f t="shared" si="26"/>
        <v>0.20533333333333334</v>
      </c>
      <c r="BK22" s="68">
        <f t="shared" si="27"/>
        <v>3.3666666666666664E-2</v>
      </c>
      <c r="BL22" s="68">
        <f t="shared" si="28"/>
        <v>6.8125000000000005E-2</v>
      </c>
      <c r="BM22" s="68">
        <f t="shared" si="29"/>
        <v>8.3208333333333329E-2</v>
      </c>
      <c r="BN22" s="68">
        <f t="shared" si="30"/>
        <v>0.158</v>
      </c>
      <c r="BO22" s="70">
        <f t="shared" si="31"/>
        <v>0.18133333333333335</v>
      </c>
      <c r="BP22" s="198">
        <f t="shared" si="39"/>
        <v>0.168125</v>
      </c>
      <c r="BQ22" s="72">
        <f t="shared" si="37"/>
        <v>16.8125</v>
      </c>
      <c r="BR22" s="73">
        <f t="shared" si="38"/>
        <v>2.7916666666666673E-2</v>
      </c>
      <c r="BS22" s="74">
        <f t="shared" si="34"/>
        <v>1.320833333333335E-2</v>
      </c>
      <c r="BT22" s="15" t="s">
        <v>27</v>
      </c>
      <c r="BU22" s="3"/>
      <c r="BV22" s="2"/>
      <c r="BW22" s="2"/>
    </row>
    <row r="23" spans="2:75" x14ac:dyDescent="0.3">
      <c r="B23" s="763"/>
      <c r="C23" s="61" t="s">
        <v>28</v>
      </c>
      <c r="D23" s="62">
        <v>90.5</v>
      </c>
      <c r="E23" s="63">
        <v>51.5</v>
      </c>
      <c r="F23" s="63">
        <v>98.4</v>
      </c>
      <c r="G23" s="63">
        <v>179.6</v>
      </c>
      <c r="H23" s="63">
        <v>205.9</v>
      </c>
      <c r="I23" s="63">
        <v>238.7</v>
      </c>
      <c r="J23" s="63">
        <v>316.89999999999998</v>
      </c>
      <c r="K23" s="63">
        <v>431.4</v>
      </c>
      <c r="L23" s="63">
        <v>489.7</v>
      </c>
      <c r="M23" s="63">
        <v>425.6</v>
      </c>
      <c r="N23" s="63">
        <v>501.7</v>
      </c>
      <c r="O23" s="63">
        <v>500.85</v>
      </c>
      <c r="P23" s="63">
        <v>467.86</v>
      </c>
      <c r="Q23" s="63">
        <v>418.84</v>
      </c>
      <c r="R23" s="63">
        <v>189.83</v>
      </c>
      <c r="S23" s="63">
        <v>398.7</v>
      </c>
      <c r="T23" s="63">
        <f>318+106.58</f>
        <v>424.58</v>
      </c>
      <c r="U23" s="15">
        <v>507.64</v>
      </c>
      <c r="V23" s="15">
        <v>428.3</v>
      </c>
      <c r="W23" s="15">
        <v>485.34</v>
      </c>
      <c r="X23" s="15">
        <v>383.8</v>
      </c>
      <c r="Y23" s="194">
        <v>456.87</v>
      </c>
      <c r="Z23" s="15">
        <v>475</v>
      </c>
      <c r="AA23" s="15">
        <v>471.7</v>
      </c>
      <c r="AB23" s="143">
        <v>449.52</v>
      </c>
      <c r="AC23" s="143">
        <v>320.63</v>
      </c>
      <c r="AD23" s="207">
        <v>280.52999999999997</v>
      </c>
      <c r="AE23" s="207">
        <v>265.11</v>
      </c>
      <c r="AF23" s="215">
        <v>196.47</v>
      </c>
      <c r="AG23" s="217">
        <v>181.3</v>
      </c>
      <c r="AH23" s="155">
        <f t="shared" si="35"/>
        <v>10332.77</v>
      </c>
      <c r="AI23" s="118">
        <v>100</v>
      </c>
      <c r="AJ23" s="121">
        <f t="shared" si="36"/>
        <v>2.2777777777777779E-3</v>
      </c>
      <c r="AK23" s="67">
        <f t="shared" si="1"/>
        <v>3.7708333333333337E-2</v>
      </c>
      <c r="AL23" s="68">
        <f t="shared" si="2"/>
        <v>2.1458333333333333E-2</v>
      </c>
      <c r="AM23" s="68">
        <f t="shared" si="3"/>
        <v>4.1000000000000002E-2</v>
      </c>
      <c r="AN23" s="68">
        <f t="shared" si="4"/>
        <v>7.4833333333333335E-2</v>
      </c>
      <c r="AO23" s="68">
        <f t="shared" si="5"/>
        <v>8.5791666666666669E-2</v>
      </c>
      <c r="AP23" s="68">
        <f t="shared" si="6"/>
        <v>9.9458333333333329E-2</v>
      </c>
      <c r="AQ23" s="68">
        <f t="shared" si="7"/>
        <v>0.13204166666666667</v>
      </c>
      <c r="AR23" s="68">
        <f t="shared" si="8"/>
        <v>0.17974999999999999</v>
      </c>
      <c r="AS23" s="68">
        <f t="shared" si="9"/>
        <v>0.20404166666666665</v>
      </c>
      <c r="AT23" s="68">
        <f t="shared" si="10"/>
        <v>0.17733333333333334</v>
      </c>
      <c r="AU23" s="68">
        <f t="shared" si="11"/>
        <v>0.20904166666666665</v>
      </c>
      <c r="AV23" s="68">
        <f t="shared" si="12"/>
        <v>0.2086875</v>
      </c>
      <c r="AW23" s="68">
        <f t="shared" si="13"/>
        <v>0.19494166666666668</v>
      </c>
      <c r="AX23" s="68">
        <f t="shared" si="14"/>
        <v>0.17451666666666665</v>
      </c>
      <c r="AY23" s="68">
        <f t="shared" si="15"/>
        <v>7.9095833333333337E-2</v>
      </c>
      <c r="AZ23" s="68">
        <f t="shared" si="16"/>
        <v>0.16612499999999999</v>
      </c>
      <c r="BA23" s="68">
        <f t="shared" si="17"/>
        <v>0.17690833333333333</v>
      </c>
      <c r="BB23" s="68">
        <f t="shared" si="18"/>
        <v>0.21151666666666666</v>
      </c>
      <c r="BC23" s="68">
        <f t="shared" si="19"/>
        <v>0.17845833333333333</v>
      </c>
      <c r="BD23" s="68">
        <f t="shared" si="20"/>
        <v>0.20222499999999999</v>
      </c>
      <c r="BE23" s="68">
        <f t="shared" si="21"/>
        <v>0.15991666666666668</v>
      </c>
      <c r="BF23" s="68">
        <f t="shared" si="22"/>
        <v>0.19036249999999999</v>
      </c>
      <c r="BG23" s="68">
        <f t="shared" si="23"/>
        <v>0.19791666666666666</v>
      </c>
      <c r="BH23" s="68">
        <f t="shared" si="24"/>
        <v>0.19654166666666667</v>
      </c>
      <c r="BI23" s="68">
        <f t="shared" si="25"/>
        <v>0.18729999999999999</v>
      </c>
      <c r="BJ23" s="68">
        <f t="shared" si="26"/>
        <v>0.13359583333333333</v>
      </c>
      <c r="BK23" s="68">
        <f t="shared" si="27"/>
        <v>0.11688749999999999</v>
      </c>
      <c r="BL23" s="68">
        <f t="shared" si="28"/>
        <v>0.11046250000000001</v>
      </c>
      <c r="BM23" s="68">
        <f t="shared" si="29"/>
        <v>8.1862500000000005E-2</v>
      </c>
      <c r="BN23" s="68">
        <f t="shared" si="30"/>
        <v>7.5541666666666674E-2</v>
      </c>
      <c r="BO23" s="70">
        <f t="shared" si="31"/>
        <v>0.14351069444444445</v>
      </c>
      <c r="BP23" s="198">
        <f t="shared" si="39"/>
        <v>0.168125</v>
      </c>
      <c r="BQ23" s="72">
        <f t="shared" si="37"/>
        <v>16.8125</v>
      </c>
      <c r="BR23" s="73">
        <f t="shared" si="38"/>
        <v>-0.12712499999999999</v>
      </c>
      <c r="BS23" s="74">
        <f t="shared" si="34"/>
        <v>-2.4614305555555549E-2</v>
      </c>
      <c r="BT23" s="15" t="s">
        <v>28</v>
      </c>
      <c r="BU23" s="3"/>
      <c r="BV23" s="2"/>
      <c r="BW23" s="2"/>
    </row>
    <row r="24" spans="2:75" x14ac:dyDescent="0.3">
      <c r="B24" s="763"/>
      <c r="C24" s="61" t="s">
        <v>29</v>
      </c>
      <c r="D24" s="62">
        <v>420.3</v>
      </c>
      <c r="E24" s="63">
        <v>255.8</v>
      </c>
      <c r="F24" s="63">
        <v>470.6</v>
      </c>
      <c r="G24" s="63">
        <v>514.79999999999995</v>
      </c>
      <c r="H24" s="63">
        <v>250.7</v>
      </c>
      <c r="I24" s="63">
        <v>290.8</v>
      </c>
      <c r="J24" s="63">
        <v>372.9</v>
      </c>
      <c r="K24" s="63">
        <v>489.4</v>
      </c>
      <c r="L24" s="63">
        <v>568.79999999999995</v>
      </c>
      <c r="M24" s="63">
        <v>562.29999999999995</v>
      </c>
      <c r="N24" s="63">
        <v>575.1</v>
      </c>
      <c r="O24" s="63">
        <v>580.1</v>
      </c>
      <c r="P24" s="63">
        <v>537.4</v>
      </c>
      <c r="Q24" s="63">
        <v>500.8</v>
      </c>
      <c r="R24" s="63">
        <v>223.4</v>
      </c>
      <c r="S24" s="63">
        <v>458.7</v>
      </c>
      <c r="T24" s="63">
        <v>482.2</v>
      </c>
      <c r="U24" s="15">
        <v>588</v>
      </c>
      <c r="V24" s="15">
        <v>581.20000000000005</v>
      </c>
      <c r="W24" s="15">
        <v>562.29999999999995</v>
      </c>
      <c r="X24" s="15">
        <v>433</v>
      </c>
      <c r="Y24" s="194">
        <v>563.9</v>
      </c>
      <c r="Z24" s="15">
        <v>563.1</v>
      </c>
      <c r="AA24" s="15">
        <v>559.20000000000005</v>
      </c>
      <c r="AB24" s="143">
        <v>537.9</v>
      </c>
      <c r="AC24" s="143">
        <v>376.5</v>
      </c>
      <c r="AD24" s="207">
        <v>336.8</v>
      </c>
      <c r="AE24" s="207">
        <v>320.60000000000002</v>
      </c>
      <c r="AF24" s="215">
        <v>239.1</v>
      </c>
      <c r="AG24" s="217">
        <v>218.8</v>
      </c>
      <c r="AH24" s="155">
        <f t="shared" si="35"/>
        <v>13434.5</v>
      </c>
      <c r="AI24" s="118">
        <v>100</v>
      </c>
      <c r="AJ24" s="121">
        <f t="shared" si="36"/>
        <v>1.0893518518518519E-2</v>
      </c>
      <c r="AK24" s="67">
        <f t="shared" si="1"/>
        <v>0.175125</v>
      </c>
      <c r="AL24" s="68">
        <f t="shared" si="2"/>
        <v>0.10658333333333334</v>
      </c>
      <c r="AM24" s="68">
        <f t="shared" si="3"/>
        <v>0.19608333333333333</v>
      </c>
      <c r="AN24" s="68">
        <f t="shared" si="4"/>
        <v>0.21449999999999997</v>
      </c>
      <c r="AO24" s="68">
        <f t="shared" si="5"/>
        <v>0.10445833333333333</v>
      </c>
      <c r="AP24" s="68">
        <f t="shared" si="6"/>
        <v>0.12116666666666667</v>
      </c>
      <c r="AQ24" s="68">
        <f t="shared" si="7"/>
        <v>0.15537499999999999</v>
      </c>
      <c r="AR24" s="68">
        <f t="shared" si="8"/>
        <v>0.20391666666666666</v>
      </c>
      <c r="AS24" s="68">
        <f t="shared" si="9"/>
        <v>0.23699999999999999</v>
      </c>
      <c r="AT24" s="68">
        <f t="shared" si="10"/>
        <v>0.23429166666666665</v>
      </c>
      <c r="AU24" s="68">
        <f t="shared" si="11"/>
        <v>0.239625</v>
      </c>
      <c r="AV24" s="68">
        <f t="shared" si="12"/>
        <v>0.24170833333333333</v>
      </c>
      <c r="AW24" s="68">
        <f t="shared" si="13"/>
        <v>0.22391666666666665</v>
      </c>
      <c r="AX24" s="68">
        <f t="shared" si="14"/>
        <v>0.20866666666666667</v>
      </c>
      <c r="AY24" s="68">
        <f t="shared" si="15"/>
        <v>9.3083333333333337E-2</v>
      </c>
      <c r="AZ24" s="68">
        <f t="shared" si="16"/>
        <v>0.19112499999999999</v>
      </c>
      <c r="BA24" s="68">
        <f t="shared" si="17"/>
        <v>0.20091666666666666</v>
      </c>
      <c r="BB24" s="68">
        <f t="shared" si="18"/>
        <v>0.245</v>
      </c>
      <c r="BC24" s="68">
        <f t="shared" si="19"/>
        <v>0.2421666666666667</v>
      </c>
      <c r="BD24" s="68">
        <f t="shared" si="20"/>
        <v>0.23429166666666665</v>
      </c>
      <c r="BE24" s="68">
        <f t="shared" si="21"/>
        <v>0.18041666666666667</v>
      </c>
      <c r="BF24" s="68">
        <f t="shared" si="22"/>
        <v>0.23495833333333332</v>
      </c>
      <c r="BG24" s="68">
        <f t="shared" si="23"/>
        <v>0.234625</v>
      </c>
      <c r="BH24" s="68">
        <f t="shared" si="24"/>
        <v>0.23300000000000001</v>
      </c>
      <c r="BI24" s="68">
        <f t="shared" si="25"/>
        <v>0.22412499999999999</v>
      </c>
      <c r="BJ24" s="68">
        <f t="shared" si="26"/>
        <v>0.15687499999999999</v>
      </c>
      <c r="BK24" s="68">
        <f t="shared" si="27"/>
        <v>0.14033333333333334</v>
      </c>
      <c r="BL24" s="68">
        <f t="shared" si="28"/>
        <v>0.13358333333333333</v>
      </c>
      <c r="BM24" s="68">
        <f t="shared" si="29"/>
        <v>9.9624999999999991E-2</v>
      </c>
      <c r="BN24" s="68">
        <f t="shared" si="30"/>
        <v>9.1166666666666674E-2</v>
      </c>
      <c r="BO24" s="70">
        <f t="shared" si="31"/>
        <v>0.18659027777777779</v>
      </c>
      <c r="BP24" s="198">
        <f t="shared" si="39"/>
        <v>0.168125</v>
      </c>
      <c r="BQ24" s="72">
        <f t="shared" si="37"/>
        <v>16.8125</v>
      </c>
      <c r="BR24" s="73">
        <f t="shared" si="38"/>
        <v>2.7958333333333335E-2</v>
      </c>
      <c r="BS24" s="74">
        <f t="shared" si="34"/>
        <v>1.8465277777777789E-2</v>
      </c>
      <c r="BT24" s="15" t="s">
        <v>29</v>
      </c>
      <c r="BU24" s="3"/>
      <c r="BV24" s="2"/>
      <c r="BW24" s="2"/>
    </row>
    <row r="25" spans="2:75" x14ac:dyDescent="0.3">
      <c r="B25" s="763"/>
      <c r="C25" s="61" t="s">
        <v>30</v>
      </c>
      <c r="D25" s="62">
        <v>1160</v>
      </c>
      <c r="E25" s="63">
        <v>701.5</v>
      </c>
      <c r="F25" s="63">
        <v>1290</v>
      </c>
      <c r="G25" s="63">
        <v>1390</v>
      </c>
      <c r="H25" s="63">
        <v>684.9</v>
      </c>
      <c r="I25" s="63">
        <v>790</v>
      </c>
      <c r="J25" s="63">
        <v>1030</v>
      </c>
      <c r="K25" s="63">
        <v>190</v>
      </c>
      <c r="L25" s="63">
        <v>1310</v>
      </c>
      <c r="M25" s="63">
        <v>1310</v>
      </c>
      <c r="N25" s="63">
        <v>1545</v>
      </c>
      <c r="O25" s="63">
        <v>1560</v>
      </c>
      <c r="P25" s="63">
        <v>1491.7</v>
      </c>
      <c r="Q25" s="63">
        <v>1350</v>
      </c>
      <c r="R25" s="63">
        <v>619</v>
      </c>
      <c r="S25" s="63">
        <v>1270</v>
      </c>
      <c r="T25" s="63">
        <f>632.9+673.4</f>
        <v>1306.3</v>
      </c>
      <c r="U25" s="15">
        <v>1541.3</v>
      </c>
      <c r="V25" s="15">
        <v>1380</v>
      </c>
      <c r="W25" s="15">
        <v>1592.6</v>
      </c>
      <c r="X25" s="15">
        <v>1207.8</v>
      </c>
      <c r="Y25" s="194">
        <v>1470.1</v>
      </c>
      <c r="Z25" s="15">
        <v>1560</v>
      </c>
      <c r="AA25" s="15">
        <v>1559.4</v>
      </c>
      <c r="AB25" s="201">
        <v>1493.1</v>
      </c>
      <c r="AC25" s="143">
        <v>1058.8</v>
      </c>
      <c r="AD25" s="207">
        <v>936.9</v>
      </c>
      <c r="AE25" s="207">
        <v>883.3</v>
      </c>
      <c r="AF25" s="215">
        <v>654.4</v>
      </c>
      <c r="AG25" s="217">
        <v>602.79999999999995</v>
      </c>
      <c r="AH25" s="155">
        <f t="shared" si="35"/>
        <v>34938.9</v>
      </c>
      <c r="AI25" s="118">
        <v>360</v>
      </c>
      <c r="AJ25" s="121">
        <f t="shared" si="36"/>
        <v>8.2947530864197535E-3</v>
      </c>
      <c r="AK25" s="67">
        <f t="shared" si="1"/>
        <v>0.13425925925925927</v>
      </c>
      <c r="AL25" s="68">
        <f t="shared" si="2"/>
        <v>8.1192129629629628E-2</v>
      </c>
      <c r="AM25" s="68">
        <f t="shared" si="3"/>
        <v>0.14930555555555555</v>
      </c>
      <c r="AN25" s="68">
        <f t="shared" si="4"/>
        <v>0.16087962962962962</v>
      </c>
      <c r="AO25" s="68">
        <f t="shared" si="5"/>
        <v>7.9270833333333332E-2</v>
      </c>
      <c r="AP25" s="68">
        <f t="shared" si="6"/>
        <v>9.1435185185185189E-2</v>
      </c>
      <c r="AQ25" s="68">
        <f t="shared" si="7"/>
        <v>0.11921296296296297</v>
      </c>
      <c r="AR25" s="68">
        <f t="shared" si="8"/>
        <v>2.1990740740740741E-2</v>
      </c>
      <c r="AS25" s="68">
        <f t="shared" si="9"/>
        <v>0.15162037037037038</v>
      </c>
      <c r="AT25" s="68">
        <f t="shared" si="10"/>
        <v>0.15162037037037038</v>
      </c>
      <c r="AU25" s="68">
        <f t="shared" si="11"/>
        <v>0.17881944444444445</v>
      </c>
      <c r="AV25" s="68">
        <f t="shared" si="12"/>
        <v>0.18055555555555555</v>
      </c>
      <c r="AW25" s="68">
        <f t="shared" si="13"/>
        <v>0.17265046296296296</v>
      </c>
      <c r="AX25" s="68">
        <f t="shared" si="14"/>
        <v>0.15625</v>
      </c>
      <c r="AY25" s="68">
        <f t="shared" si="15"/>
        <v>7.1643518518518523E-2</v>
      </c>
      <c r="AZ25" s="68">
        <f t="shared" si="16"/>
        <v>0.14699074074074073</v>
      </c>
      <c r="BA25" s="68">
        <f t="shared" si="17"/>
        <v>0.15119212962962963</v>
      </c>
      <c r="BB25" s="68">
        <f t="shared" si="18"/>
        <v>0.1783912037037037</v>
      </c>
      <c r="BC25" s="68">
        <f t="shared" si="19"/>
        <v>0.15972222222222221</v>
      </c>
      <c r="BD25" s="68">
        <f t="shared" si="20"/>
        <v>0.18432870370370369</v>
      </c>
      <c r="BE25" s="68">
        <f t="shared" si="21"/>
        <v>0.13979166666666668</v>
      </c>
      <c r="BF25" s="68">
        <f t="shared" si="22"/>
        <v>0.17015046296296296</v>
      </c>
      <c r="BG25" s="68">
        <f t="shared" si="23"/>
        <v>0.18055555555555555</v>
      </c>
      <c r="BH25" s="68">
        <f t="shared" si="24"/>
        <v>0.18048611111111112</v>
      </c>
      <c r="BI25" s="68">
        <f t="shared" si="25"/>
        <v>0.17281249999999998</v>
      </c>
      <c r="BJ25" s="68">
        <f t="shared" si="26"/>
        <v>0.12254629629629629</v>
      </c>
      <c r="BK25" s="68">
        <f t="shared" si="27"/>
        <v>0.10843749999999999</v>
      </c>
      <c r="BL25" s="68">
        <f t="shared" si="28"/>
        <v>0.10223379629629629</v>
      </c>
      <c r="BM25" s="68">
        <f t="shared" si="29"/>
        <v>7.5740740740740733E-2</v>
      </c>
      <c r="BN25" s="68">
        <f t="shared" si="30"/>
        <v>6.9768518518518507E-2</v>
      </c>
      <c r="BO25" s="70">
        <f t="shared" si="31"/>
        <v>0.13479513888888889</v>
      </c>
      <c r="BP25" s="198">
        <f t="shared" si="39"/>
        <v>0.168125</v>
      </c>
      <c r="BQ25" s="72">
        <f t="shared" si="37"/>
        <v>60.524999999999999</v>
      </c>
      <c r="BR25" s="73">
        <f t="shared" si="38"/>
        <v>-1.8819444444444444E-2</v>
      </c>
      <c r="BS25" s="74">
        <f t="shared" si="34"/>
        <v>-3.3329861111111109E-2</v>
      </c>
      <c r="BT25" s="15" t="s">
        <v>30</v>
      </c>
      <c r="BU25" s="3"/>
      <c r="BV25" s="2"/>
      <c r="BW25" s="2"/>
    </row>
    <row r="26" spans="2:75" x14ac:dyDescent="0.3">
      <c r="B26" s="763"/>
      <c r="C26" s="61" t="s">
        <v>111</v>
      </c>
      <c r="D26" s="62">
        <v>456.1</v>
      </c>
      <c r="E26" s="63">
        <v>476.1</v>
      </c>
      <c r="F26" s="63">
        <v>491.9</v>
      </c>
      <c r="G26" s="63">
        <v>522</v>
      </c>
      <c r="H26" s="63">
        <v>311.5</v>
      </c>
      <c r="I26" s="63">
        <v>186.9</v>
      </c>
      <c r="J26" s="63">
        <v>288.10000000000002</v>
      </c>
      <c r="K26" s="63">
        <v>523</v>
      </c>
      <c r="L26" s="63">
        <v>590</v>
      </c>
      <c r="M26" s="63">
        <v>467.7</v>
      </c>
      <c r="N26" s="63">
        <v>554.79999999999995</v>
      </c>
      <c r="O26" s="63">
        <v>582.4</v>
      </c>
      <c r="P26" s="63">
        <v>577.1</v>
      </c>
      <c r="Q26" s="63">
        <v>384.2</v>
      </c>
      <c r="R26" s="63">
        <v>219.3</v>
      </c>
      <c r="S26" s="63">
        <v>538</v>
      </c>
      <c r="T26" s="63">
        <v>572</v>
      </c>
      <c r="U26" s="15">
        <v>587.70000000000005</v>
      </c>
      <c r="V26" s="15">
        <v>592</v>
      </c>
      <c r="W26" s="15">
        <v>573.70000000000005</v>
      </c>
      <c r="X26" s="193">
        <v>556</v>
      </c>
      <c r="Y26" s="143">
        <v>567.79999999999995</v>
      </c>
      <c r="Z26" s="15">
        <v>565.70000000000005</v>
      </c>
      <c r="AA26" s="15">
        <v>542.79999999999995</v>
      </c>
      <c r="AB26" s="201">
        <v>473.4</v>
      </c>
      <c r="AC26" s="143">
        <v>486.1</v>
      </c>
      <c r="AD26" s="209">
        <v>198</v>
      </c>
      <c r="AE26" s="207">
        <v>201.9</v>
      </c>
      <c r="AF26" s="215">
        <v>189.3</v>
      </c>
      <c r="AG26" s="143">
        <v>358.9</v>
      </c>
      <c r="AH26" s="155">
        <f t="shared" si="35"/>
        <v>13634.4</v>
      </c>
      <c r="AI26" s="118">
        <v>100</v>
      </c>
      <c r="AJ26" s="121">
        <f>F26/(AI26*432)</f>
        <v>1.1386574074074073E-2</v>
      </c>
      <c r="AK26" s="67">
        <f t="shared" si="1"/>
        <v>0.19004166666666666</v>
      </c>
      <c r="AL26" s="68">
        <f t="shared" si="2"/>
        <v>0.198375</v>
      </c>
      <c r="AM26" s="68">
        <f t="shared" si="3"/>
        <v>0.20495833333333333</v>
      </c>
      <c r="AN26" s="68">
        <f t="shared" si="4"/>
        <v>0.2175</v>
      </c>
      <c r="AO26" s="68">
        <f t="shared" si="5"/>
        <v>0.12979166666666667</v>
      </c>
      <c r="AP26" s="68">
        <f t="shared" si="6"/>
        <v>7.7875E-2</v>
      </c>
      <c r="AQ26" s="68">
        <f t="shared" si="7"/>
        <v>0.12004166666666667</v>
      </c>
      <c r="AR26" s="68">
        <f t="shared" si="8"/>
        <v>0.21791666666666668</v>
      </c>
      <c r="AS26" s="68">
        <f t="shared" si="9"/>
        <v>0.24583333333333332</v>
      </c>
      <c r="AT26" s="68">
        <f t="shared" si="10"/>
        <v>0.19487499999999999</v>
      </c>
      <c r="AU26" s="68">
        <f t="shared" si="11"/>
        <v>0.23116666666666666</v>
      </c>
      <c r="AV26" s="68">
        <f t="shared" si="12"/>
        <v>0.24266666666666667</v>
      </c>
      <c r="AW26" s="68">
        <f t="shared" si="13"/>
        <v>0.24045833333333333</v>
      </c>
      <c r="AX26" s="68">
        <f t="shared" si="14"/>
        <v>0.16008333333333333</v>
      </c>
      <c r="AY26" s="68">
        <f t="shared" si="15"/>
        <v>9.1374999999999998E-2</v>
      </c>
      <c r="AZ26" s="68">
        <f t="shared" si="16"/>
        <v>0.22416666666666665</v>
      </c>
      <c r="BA26" s="68">
        <f t="shared" si="17"/>
        <v>0.23833333333333334</v>
      </c>
      <c r="BB26" s="68">
        <f t="shared" si="18"/>
        <v>0.24487500000000001</v>
      </c>
      <c r="BC26" s="68">
        <f t="shared" si="19"/>
        <v>0.24666666666666667</v>
      </c>
      <c r="BD26" s="68">
        <f t="shared" si="20"/>
        <v>0.23904166666666668</v>
      </c>
      <c r="BE26" s="68">
        <f t="shared" si="21"/>
        <v>0.23166666666666666</v>
      </c>
      <c r="BF26" s="68">
        <f t="shared" si="22"/>
        <v>0.23658333333333331</v>
      </c>
      <c r="BG26" s="68">
        <f t="shared" si="23"/>
        <v>0.23570833333333335</v>
      </c>
      <c r="BH26" s="68">
        <f t="shared" si="24"/>
        <v>0.22616666666666665</v>
      </c>
      <c r="BI26" s="68">
        <f t="shared" si="25"/>
        <v>0.19724999999999998</v>
      </c>
      <c r="BJ26" s="68">
        <f t="shared" si="26"/>
        <v>0.20254166666666668</v>
      </c>
      <c r="BK26" s="68">
        <f t="shared" si="27"/>
        <v>8.2500000000000004E-2</v>
      </c>
      <c r="BL26" s="68">
        <f t="shared" si="28"/>
        <v>8.4125000000000005E-2</v>
      </c>
      <c r="BM26" s="68">
        <f t="shared" si="29"/>
        <v>7.8875000000000001E-2</v>
      </c>
      <c r="BN26" s="68">
        <f t="shared" si="30"/>
        <v>0.14954166666666666</v>
      </c>
      <c r="BO26" s="70">
        <f t="shared" si="31"/>
        <v>0.18936666666666666</v>
      </c>
      <c r="BP26" s="198">
        <f t="shared" si="39"/>
        <v>0.168125</v>
      </c>
      <c r="BQ26" s="72">
        <f t="shared" si="37"/>
        <v>16.8125</v>
      </c>
      <c r="BR26" s="73">
        <f t="shared" si="38"/>
        <v>3.6833333333333329E-2</v>
      </c>
      <c r="BS26" s="74">
        <f t="shared" si="34"/>
        <v>2.1241666666666659E-2</v>
      </c>
      <c r="BT26" s="15" t="s">
        <v>111</v>
      </c>
      <c r="BU26" s="3"/>
      <c r="BV26" s="2"/>
      <c r="BW26" s="2"/>
    </row>
    <row r="27" spans="2:75" x14ac:dyDescent="0.3">
      <c r="B27" s="763"/>
      <c r="C27" s="61" t="s">
        <v>32</v>
      </c>
      <c r="D27" s="62">
        <v>384.2</v>
      </c>
      <c r="E27" s="63">
        <v>326.89999999999998</v>
      </c>
      <c r="F27" s="63">
        <v>444.3</v>
      </c>
      <c r="G27" s="63">
        <v>471.3</v>
      </c>
      <c r="H27" s="63">
        <v>157.19999999999999</v>
      </c>
      <c r="I27" s="63">
        <v>210.7</v>
      </c>
      <c r="J27" s="63">
        <v>312.7</v>
      </c>
      <c r="K27" s="63">
        <v>490</v>
      </c>
      <c r="L27" s="63">
        <v>506</v>
      </c>
      <c r="M27" s="63">
        <v>494.2</v>
      </c>
      <c r="N27" s="63">
        <v>506.4</v>
      </c>
      <c r="O27" s="63">
        <v>514.4</v>
      </c>
      <c r="P27" s="63">
        <v>505.4</v>
      </c>
      <c r="Q27" s="63">
        <v>394.8</v>
      </c>
      <c r="R27" s="63">
        <v>66.900000000000006</v>
      </c>
      <c r="S27" s="63">
        <v>391.3</v>
      </c>
      <c r="T27" s="63">
        <v>490.1</v>
      </c>
      <c r="U27" s="15">
        <v>522.20000000000005</v>
      </c>
      <c r="V27" s="15">
        <v>521.4</v>
      </c>
      <c r="W27" s="15">
        <v>516.70000000000005</v>
      </c>
      <c r="X27" s="15">
        <v>429.7</v>
      </c>
      <c r="Y27" s="194">
        <v>509.4</v>
      </c>
      <c r="Z27" s="15">
        <v>505.4</v>
      </c>
      <c r="AA27" s="15">
        <v>512.79999999999995</v>
      </c>
      <c r="AB27" s="201">
        <v>489.6</v>
      </c>
      <c r="AC27" s="143">
        <v>467.3</v>
      </c>
      <c r="AD27" s="209">
        <v>203.6</v>
      </c>
      <c r="AE27" s="207">
        <v>229.1</v>
      </c>
      <c r="AF27" s="207">
        <v>238.6</v>
      </c>
      <c r="AG27" s="143">
        <v>306.60000000000002</v>
      </c>
      <c r="AH27" s="155">
        <f t="shared" si="35"/>
        <v>12119.199999999999</v>
      </c>
      <c r="AI27" s="118">
        <v>100</v>
      </c>
      <c r="AJ27" s="121">
        <f>F27/(AI27*432)</f>
        <v>1.0284722222222223E-2</v>
      </c>
      <c r="AK27" s="67">
        <f t="shared" si="1"/>
        <v>0.16008333333333333</v>
      </c>
      <c r="AL27" s="68">
        <f t="shared" si="2"/>
        <v>0.13620833333333332</v>
      </c>
      <c r="AM27" s="68">
        <f t="shared" si="3"/>
        <v>0.18512500000000001</v>
      </c>
      <c r="AN27" s="68">
        <f t="shared" si="4"/>
        <v>0.19637499999999999</v>
      </c>
      <c r="AO27" s="68">
        <f t="shared" si="5"/>
        <v>6.5499999999999989E-2</v>
      </c>
      <c r="AP27" s="68">
        <f t="shared" si="6"/>
        <v>8.7791666666666657E-2</v>
      </c>
      <c r="AQ27" s="68">
        <f t="shared" si="7"/>
        <v>0.13029166666666667</v>
      </c>
      <c r="AR27" s="68">
        <f t="shared" si="8"/>
        <v>0.20416666666666666</v>
      </c>
      <c r="AS27" s="68">
        <f t="shared" si="9"/>
        <v>0.21083333333333334</v>
      </c>
      <c r="AT27" s="68">
        <f t="shared" si="10"/>
        <v>0.20591666666666666</v>
      </c>
      <c r="AU27" s="68">
        <f t="shared" si="11"/>
        <v>0.21099999999999999</v>
      </c>
      <c r="AV27" s="68">
        <f t="shared" si="12"/>
        <v>0.21433333333333332</v>
      </c>
      <c r="AW27" s="68">
        <f t="shared" si="13"/>
        <v>0.21058333333333332</v>
      </c>
      <c r="AX27" s="68">
        <f t="shared" si="14"/>
        <v>0.16450000000000001</v>
      </c>
      <c r="AY27" s="68">
        <f t="shared" si="15"/>
        <v>2.7875000000000004E-2</v>
      </c>
      <c r="AZ27" s="68">
        <f t="shared" si="16"/>
        <v>0.16304166666666667</v>
      </c>
      <c r="BA27" s="68">
        <f t="shared" si="17"/>
        <v>0.20420833333333335</v>
      </c>
      <c r="BB27" s="68">
        <f t="shared" si="18"/>
        <v>0.21758333333333335</v>
      </c>
      <c r="BC27" s="68">
        <f t="shared" si="19"/>
        <v>0.21725</v>
      </c>
      <c r="BD27" s="68">
        <f t="shared" si="20"/>
        <v>0.21529166666666669</v>
      </c>
      <c r="BE27" s="68">
        <f t="shared" si="21"/>
        <v>0.17904166666666665</v>
      </c>
      <c r="BF27" s="68">
        <f t="shared" si="22"/>
        <v>0.21224999999999999</v>
      </c>
      <c r="BG27" s="68">
        <f t="shared" si="23"/>
        <v>0.21058333333333332</v>
      </c>
      <c r="BH27" s="68">
        <f t="shared" si="24"/>
        <v>0.21366666666666664</v>
      </c>
      <c r="BI27" s="68">
        <f t="shared" si="25"/>
        <v>0.20400000000000001</v>
      </c>
      <c r="BJ27" s="68">
        <f t="shared" si="26"/>
        <v>0.19470833333333334</v>
      </c>
      <c r="BK27" s="68">
        <f t="shared" si="27"/>
        <v>8.483333333333333E-2</v>
      </c>
      <c r="BL27" s="68">
        <f t="shared" si="28"/>
        <v>9.5458333333333326E-2</v>
      </c>
      <c r="BM27" s="68">
        <f t="shared" si="29"/>
        <v>9.9416666666666667E-2</v>
      </c>
      <c r="BN27" s="68">
        <f t="shared" si="30"/>
        <v>0.12775</v>
      </c>
      <c r="BO27" s="70">
        <f t="shared" si="31"/>
        <v>0.16832222222222221</v>
      </c>
      <c r="BP27" s="198">
        <f t="shared" si="39"/>
        <v>0.168125</v>
      </c>
      <c r="BQ27" s="72">
        <f t="shared" si="37"/>
        <v>16.8125</v>
      </c>
      <c r="BR27" s="73">
        <f t="shared" si="38"/>
        <v>1.7000000000000015E-2</v>
      </c>
      <c r="BS27" s="74">
        <f t="shared" si="34"/>
        <v>1.9722222222220975E-4</v>
      </c>
      <c r="BT27" s="15" t="s">
        <v>32</v>
      </c>
      <c r="BU27" s="3"/>
      <c r="BV27" s="2"/>
      <c r="BW27" s="2"/>
    </row>
    <row r="28" spans="2:75" ht="15" thickBot="1" x14ac:dyDescent="0.35">
      <c r="B28" s="763"/>
      <c r="C28" s="61" t="s">
        <v>112</v>
      </c>
      <c r="D28" s="92">
        <v>497.5</v>
      </c>
      <c r="E28" s="93">
        <v>459.4</v>
      </c>
      <c r="F28" s="93">
        <v>454.4</v>
      </c>
      <c r="G28" s="115">
        <v>508.6</v>
      </c>
      <c r="H28" s="115">
        <v>212.7</v>
      </c>
      <c r="I28" s="115">
        <v>172.2</v>
      </c>
      <c r="J28" s="115">
        <v>291.39999999999998</v>
      </c>
      <c r="K28" s="93">
        <v>533.6</v>
      </c>
      <c r="L28" s="93">
        <v>547.1</v>
      </c>
      <c r="M28" s="93">
        <v>497.9</v>
      </c>
      <c r="N28" s="93">
        <v>561.70000000000005</v>
      </c>
      <c r="O28" s="93">
        <v>554.4</v>
      </c>
      <c r="P28" s="93">
        <v>521.1</v>
      </c>
      <c r="Q28" s="93">
        <v>382.3</v>
      </c>
      <c r="R28" s="93">
        <v>150.6</v>
      </c>
      <c r="S28" s="93">
        <v>513.5</v>
      </c>
      <c r="T28" s="93">
        <v>547.6</v>
      </c>
      <c r="U28" s="22">
        <v>563.9</v>
      </c>
      <c r="V28" s="22">
        <v>556.70000000000005</v>
      </c>
      <c r="W28" s="22">
        <v>527.1</v>
      </c>
      <c r="X28" s="192">
        <v>531.79999999999995</v>
      </c>
      <c r="Y28" s="22">
        <v>546.70000000000005</v>
      </c>
      <c r="Z28" s="22">
        <v>539.70000000000005</v>
      </c>
      <c r="AA28" s="22">
        <v>548</v>
      </c>
      <c r="AB28" s="199">
        <v>405.6</v>
      </c>
      <c r="AC28" s="199">
        <v>465.5</v>
      </c>
      <c r="AD28" s="206">
        <v>114.2</v>
      </c>
      <c r="AE28" s="211">
        <v>164.1</v>
      </c>
      <c r="AF28" s="216">
        <v>198</v>
      </c>
      <c r="AG28" s="227">
        <v>351.6</v>
      </c>
      <c r="AH28" s="156">
        <f t="shared" si="35"/>
        <v>12918.900000000003</v>
      </c>
      <c r="AI28" s="119">
        <v>100</v>
      </c>
      <c r="AJ28" s="121"/>
      <c r="AK28" s="98">
        <f t="shared" si="1"/>
        <v>0.20729166666666668</v>
      </c>
      <c r="AL28" s="99">
        <f t="shared" si="2"/>
        <v>0.19141666666666665</v>
      </c>
      <c r="AM28" s="99">
        <f t="shared" si="3"/>
        <v>0.18933333333333333</v>
      </c>
      <c r="AN28" s="99">
        <f t="shared" si="4"/>
        <v>0.21191666666666667</v>
      </c>
      <c r="AO28" s="99">
        <f t="shared" si="5"/>
        <v>8.8624999999999995E-2</v>
      </c>
      <c r="AP28" s="99">
        <f t="shared" si="6"/>
        <v>7.1749999999999994E-2</v>
      </c>
      <c r="AQ28" s="99">
        <f t="shared" si="7"/>
        <v>0.12141666666666666</v>
      </c>
      <c r="AR28" s="99">
        <f t="shared" si="8"/>
        <v>0.22233333333333336</v>
      </c>
      <c r="AS28" s="99">
        <f t="shared" si="9"/>
        <v>0.22795833333333335</v>
      </c>
      <c r="AT28" s="99">
        <f t="shared" si="10"/>
        <v>0.20745833333333333</v>
      </c>
      <c r="AU28" s="99">
        <f t="shared" si="11"/>
        <v>0.23404166666666668</v>
      </c>
      <c r="AV28" s="99">
        <f t="shared" si="12"/>
        <v>0.23099999999999998</v>
      </c>
      <c r="AW28" s="99">
        <f t="shared" si="13"/>
        <v>0.21712500000000001</v>
      </c>
      <c r="AX28" s="99">
        <f t="shared" si="14"/>
        <v>0.15929166666666666</v>
      </c>
      <c r="AY28" s="99">
        <f t="shared" si="15"/>
        <v>6.275E-2</v>
      </c>
      <c r="AZ28" s="99">
        <f t="shared" si="16"/>
        <v>0.21395833333333333</v>
      </c>
      <c r="BA28" s="99">
        <f t="shared" si="17"/>
        <v>0.22816666666666668</v>
      </c>
      <c r="BB28" s="99">
        <f t="shared" si="18"/>
        <v>0.23495833333333332</v>
      </c>
      <c r="BC28" s="99">
        <f t="shared" si="19"/>
        <v>0.23195833333333335</v>
      </c>
      <c r="BD28" s="99">
        <f t="shared" si="20"/>
        <v>0.21962500000000001</v>
      </c>
      <c r="BE28" s="99">
        <f t="shared" si="21"/>
        <v>0.22158333333333333</v>
      </c>
      <c r="BF28" s="99">
        <f t="shared" si="22"/>
        <v>0.2277916666666667</v>
      </c>
      <c r="BG28" s="99">
        <f t="shared" si="23"/>
        <v>0.22487500000000002</v>
      </c>
      <c r="BH28" s="99">
        <f t="shared" si="24"/>
        <v>0.22833333333333333</v>
      </c>
      <c r="BI28" s="99">
        <f t="shared" si="25"/>
        <v>0.16900000000000001</v>
      </c>
      <c r="BJ28" s="99">
        <f t="shared" si="26"/>
        <v>0.19395833333333334</v>
      </c>
      <c r="BK28" s="99">
        <f t="shared" si="27"/>
        <v>4.7583333333333332E-2</v>
      </c>
      <c r="BL28" s="99">
        <f t="shared" si="28"/>
        <v>6.8374999999999991E-2</v>
      </c>
      <c r="BM28" s="99">
        <f t="shared" si="29"/>
        <v>8.2500000000000004E-2</v>
      </c>
      <c r="BN28" s="99">
        <f t="shared" si="30"/>
        <v>0.14650000000000002</v>
      </c>
      <c r="BO28" s="101">
        <f t="shared" si="31"/>
        <v>0.17942916666666672</v>
      </c>
      <c r="BP28" s="198">
        <f t="shared" si="39"/>
        <v>0.168125</v>
      </c>
      <c r="BQ28" s="72">
        <f t="shared" si="37"/>
        <v>16.8125</v>
      </c>
      <c r="BR28" s="73">
        <f t="shared" si="38"/>
        <v>2.1208333333333329E-2</v>
      </c>
      <c r="BS28" s="74">
        <f t="shared" si="34"/>
        <v>1.1304166666666726E-2</v>
      </c>
      <c r="BT28" s="15" t="s">
        <v>112</v>
      </c>
      <c r="BU28" s="3"/>
      <c r="BV28" s="2"/>
      <c r="BW28" s="2"/>
    </row>
    <row r="29" spans="2:75" ht="18" x14ac:dyDescent="0.3">
      <c r="B29" s="766" t="s">
        <v>113</v>
      </c>
      <c r="C29" s="766"/>
      <c r="D29" s="103">
        <f t="shared" ref="D29:AI29" si="40">SUM(D5:D28)</f>
        <v>8487.5</v>
      </c>
      <c r="E29" s="103">
        <f t="shared" si="40"/>
        <v>5063.4999999999991</v>
      </c>
      <c r="F29" s="103">
        <f t="shared" si="40"/>
        <v>8739.5</v>
      </c>
      <c r="G29" s="103">
        <f t="shared" si="40"/>
        <v>9741.7000000000007</v>
      </c>
      <c r="H29" s="103">
        <f t="shared" si="40"/>
        <v>6175.2499999999991</v>
      </c>
      <c r="I29" s="103">
        <f t="shared" si="40"/>
        <v>4347.0999999999995</v>
      </c>
      <c r="J29" s="103">
        <f t="shared" si="40"/>
        <v>6774.2</v>
      </c>
      <c r="K29" s="103">
        <f t="shared" si="40"/>
        <v>8713.1999999999989</v>
      </c>
      <c r="L29" s="103">
        <f t="shared" si="40"/>
        <v>10994.800000000001</v>
      </c>
      <c r="M29" s="103">
        <f t="shared" si="40"/>
        <v>10730.700000000003</v>
      </c>
      <c r="N29" s="103">
        <f t="shared" si="40"/>
        <v>11311.999999999998</v>
      </c>
      <c r="O29" s="103">
        <f t="shared" si="40"/>
        <v>11352.349999999999</v>
      </c>
      <c r="P29" s="103">
        <f t="shared" si="40"/>
        <v>10869.06</v>
      </c>
      <c r="Q29" s="103">
        <f>SUM(Q5:Q28)</f>
        <v>9732.9399999999987</v>
      </c>
      <c r="R29" s="103">
        <f t="shared" si="40"/>
        <v>3799.13</v>
      </c>
      <c r="S29" s="103">
        <f t="shared" si="40"/>
        <v>8548.7999999999993</v>
      </c>
      <c r="T29" s="103">
        <f t="shared" si="40"/>
        <v>10208.459999999999</v>
      </c>
      <c r="U29" s="104">
        <f t="shared" si="40"/>
        <v>11500.640000000001</v>
      </c>
      <c r="V29" s="104">
        <f t="shared" si="40"/>
        <v>10825.24</v>
      </c>
      <c r="W29" s="104">
        <f t="shared" si="40"/>
        <v>11217.340000000002</v>
      </c>
      <c r="X29" s="104">
        <f t="shared" si="40"/>
        <v>8641.2000000000007</v>
      </c>
      <c r="Y29" s="104">
        <f t="shared" si="40"/>
        <v>11125.57</v>
      </c>
      <c r="Z29" s="104">
        <f t="shared" si="40"/>
        <v>11254.700000000003</v>
      </c>
      <c r="AA29" s="104">
        <f t="shared" si="40"/>
        <v>11178.699999999999</v>
      </c>
      <c r="AB29" s="104">
        <f t="shared" si="40"/>
        <v>9347.2199999999993</v>
      </c>
      <c r="AC29" s="104">
        <f t="shared" si="40"/>
        <v>7217.8300000000008</v>
      </c>
      <c r="AD29" s="104">
        <f t="shared" si="40"/>
        <v>5664.5300000000007</v>
      </c>
      <c r="AE29" s="104">
        <f t="shared" si="40"/>
        <v>6001.31</v>
      </c>
      <c r="AF29" s="104">
        <f t="shared" si="40"/>
        <v>4377.37</v>
      </c>
      <c r="AG29" s="104">
        <f t="shared" si="40"/>
        <v>4430.4000000000005</v>
      </c>
      <c r="AH29" s="189">
        <f t="shared" si="40"/>
        <v>258372.23999999996</v>
      </c>
      <c r="AI29" s="104">
        <f t="shared" si="40"/>
        <v>2106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U29" s="3"/>
      <c r="BV29" s="2"/>
      <c r="BW29" s="2"/>
    </row>
    <row r="30" spans="2:75" ht="18.600000000000001" thickBot="1" x14ac:dyDescent="0.3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190" t="str">
        <f>_xlfn.CONCAT(ROUND(AH29/1000,3)," MWh")</f>
        <v>258,372 MWh</v>
      </c>
      <c r="AI30" s="2"/>
      <c r="BQ30" s="9"/>
      <c r="BS30" s="2"/>
      <c r="BU30" s="2"/>
      <c r="BV30" s="2"/>
      <c r="BW30" s="2"/>
    </row>
    <row r="31" spans="2:75" ht="15" thickBot="1" x14ac:dyDescent="0.35">
      <c r="C31" s="105"/>
      <c r="D31" t="s">
        <v>36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61"/>
      <c r="U31" s="2"/>
      <c r="V31" s="2"/>
      <c r="W31" s="2"/>
      <c r="X31" s="2"/>
      <c r="Y31" s="2"/>
      <c r="Z31" s="2"/>
      <c r="AA31" s="2"/>
      <c r="AB31" s="2"/>
      <c r="AC31" s="2"/>
      <c r="AD31" s="2"/>
      <c r="AE31" s="767" t="s">
        <v>194</v>
      </c>
      <c r="AF31" s="767"/>
      <c r="AG31" s="767"/>
      <c r="AH31" s="191" t="str">
        <f>_xlfn.CONCAT(ROUND($AH$29/COUNTIF($D$29:$AG$29,"&lt;&gt;0"),3)," kWh")</f>
        <v>8612,408 kWh</v>
      </c>
      <c r="AI31" s="2"/>
      <c r="AJ31" s="2"/>
      <c r="AK31" s="2"/>
      <c r="AL31" s="2"/>
      <c r="BQ31" s="11"/>
      <c r="BS31" s="106"/>
      <c r="BT31" s="3" t="s">
        <v>114</v>
      </c>
    </row>
    <row r="32" spans="2:75" ht="15" thickBot="1" x14ac:dyDescent="0.35">
      <c r="C32" s="107"/>
      <c r="D32" t="s">
        <v>115</v>
      </c>
      <c r="E32" s="2"/>
      <c r="F32" s="2"/>
      <c r="G32" s="2"/>
      <c r="H32" s="161"/>
      <c r="I32" s="2"/>
      <c r="J32" s="161"/>
      <c r="K32" s="2"/>
      <c r="L32" s="161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767" t="s">
        <v>195</v>
      </c>
      <c r="AF32" s="767"/>
      <c r="AG32" s="767"/>
      <c r="AH32" s="191" t="str">
        <f>_xlfn.CONCAT(ROUND($AH$29/COUNTIF($D$29:$AG$29,"&lt;&gt;0"),3)*30," kWh")</f>
        <v>258372,24 kWh</v>
      </c>
      <c r="AI32" s="2"/>
      <c r="AJ32" s="2"/>
      <c r="AK32" s="2"/>
      <c r="AL32" s="2"/>
      <c r="BQ32" s="2"/>
      <c r="BS32" s="109"/>
      <c r="BT32" s="5" t="s">
        <v>116</v>
      </c>
    </row>
    <row r="33" spans="2:38" x14ac:dyDescent="0.3">
      <c r="AE33" s="767" t="s">
        <v>195</v>
      </c>
      <c r="AF33" s="767"/>
      <c r="AG33" s="767"/>
      <c r="AH33" s="191" t="str">
        <f>_xlfn.CONCAT(ROUND(($AH$29/COUNTIF($D$29:$AG$29,"&lt;&gt;0"))*30/1000,3)," MWh")</f>
        <v>258,372 MWh</v>
      </c>
    </row>
    <row r="39" spans="2:38" x14ac:dyDescent="0.3">
      <c r="E39" t="str">
        <f>TEXT(E40,"dddd")</f>
        <v>sábado</v>
      </c>
      <c r="F39" t="str">
        <f>TEXT(F40,"dddd")</f>
        <v>domingo</v>
      </c>
      <c r="L39" t="str">
        <f>TEXT(L40,"dddd")</f>
        <v>sábado</v>
      </c>
      <c r="M39" t="str">
        <f>TEXT(M40,"dddd")</f>
        <v>domingo</v>
      </c>
      <c r="S39" t="str">
        <f>TEXT(S40,"dddd")</f>
        <v>sábado</v>
      </c>
      <c r="T39" t="str">
        <f>TEXT(T40,"dddd")</f>
        <v>domingo</v>
      </c>
      <c r="Z39" t="str">
        <f>TEXT(Z40,"dddd")</f>
        <v>sábado</v>
      </c>
      <c r="AA39" t="str">
        <f>TEXT(AA40,"dddd")</f>
        <v>domingo</v>
      </c>
      <c r="AG39" t="str">
        <f>TEXT(AG40,"dddd")</f>
        <v>sábado</v>
      </c>
    </row>
    <row r="40" spans="2:38" x14ac:dyDescent="0.3">
      <c r="B40" s="141" t="s">
        <v>117</v>
      </c>
      <c r="C40" s="141" t="s">
        <v>118</v>
      </c>
      <c r="D40" s="140">
        <v>45170</v>
      </c>
      <c r="E40" s="140">
        <v>45171</v>
      </c>
      <c r="F40" s="140">
        <v>45172</v>
      </c>
      <c r="G40" s="140">
        <v>45173</v>
      </c>
      <c r="H40" s="140">
        <v>45174</v>
      </c>
      <c r="I40" s="140">
        <v>45175</v>
      </c>
      <c r="J40" s="140">
        <v>45176</v>
      </c>
      <c r="K40" s="140">
        <v>45177</v>
      </c>
      <c r="L40" s="140">
        <v>45178</v>
      </c>
      <c r="M40" s="140">
        <v>45179</v>
      </c>
      <c r="N40" s="140">
        <v>45180</v>
      </c>
      <c r="O40" s="140">
        <v>45181</v>
      </c>
      <c r="P40" s="140">
        <v>45182</v>
      </c>
      <c r="Q40" s="140">
        <v>45183</v>
      </c>
      <c r="R40" s="140">
        <v>45184</v>
      </c>
      <c r="S40" s="140">
        <v>45185</v>
      </c>
      <c r="T40" s="140">
        <v>45186</v>
      </c>
      <c r="U40" s="140">
        <v>45187</v>
      </c>
      <c r="V40" s="140">
        <v>45188</v>
      </c>
      <c r="W40" s="140">
        <v>45189</v>
      </c>
      <c r="X40" s="140">
        <v>45190</v>
      </c>
      <c r="Y40" s="140">
        <v>45191</v>
      </c>
      <c r="Z40" s="140">
        <v>45192</v>
      </c>
      <c r="AA40" s="140">
        <v>45193</v>
      </c>
      <c r="AB40" s="140">
        <v>45194</v>
      </c>
      <c r="AC40" s="140">
        <v>45195</v>
      </c>
      <c r="AD40" s="140">
        <v>45196</v>
      </c>
      <c r="AE40" s="140">
        <v>45197</v>
      </c>
      <c r="AF40" s="140">
        <v>45198</v>
      </c>
      <c r="AG40" s="140">
        <v>45199</v>
      </c>
      <c r="AL40" s="63">
        <v>19.7</v>
      </c>
    </row>
    <row r="41" spans="2:38" x14ac:dyDescent="0.3">
      <c r="B41" s="751" t="s">
        <v>6</v>
      </c>
      <c r="C41" s="18" t="s">
        <v>7</v>
      </c>
      <c r="D41" s="163">
        <f>D5+Agosto23!AF41</f>
        <v>48895.8</v>
      </c>
      <c r="E41" s="164">
        <f>D41+E5</f>
        <v>48921</v>
      </c>
      <c r="F41" s="164">
        <f>E41+F5</f>
        <v>48977</v>
      </c>
      <c r="G41" s="165">
        <v>49036.4</v>
      </c>
      <c r="H41" s="166">
        <v>49076</v>
      </c>
      <c r="I41" s="163">
        <f>H41+I5</f>
        <v>49099.1</v>
      </c>
      <c r="J41" s="163">
        <f t="shared" ref="J41:V41" si="41">I41+J5</f>
        <v>49135.6</v>
      </c>
      <c r="K41" s="163">
        <f t="shared" si="41"/>
        <v>49201.599999999999</v>
      </c>
      <c r="L41" s="163">
        <f t="shared" si="41"/>
        <v>49267.7</v>
      </c>
      <c r="M41" s="163">
        <f t="shared" si="41"/>
        <v>49334.2</v>
      </c>
      <c r="N41" s="163">
        <f t="shared" si="41"/>
        <v>49400.899999999994</v>
      </c>
      <c r="O41" s="163">
        <f t="shared" si="41"/>
        <v>49468.399999999994</v>
      </c>
      <c r="P41" s="163">
        <f t="shared" si="41"/>
        <v>49534.999999999993</v>
      </c>
      <c r="Q41" s="163">
        <f t="shared" si="41"/>
        <v>49595.69999999999</v>
      </c>
      <c r="R41" s="163">
        <f t="shared" si="41"/>
        <v>49615.399999999987</v>
      </c>
      <c r="S41" s="163">
        <f t="shared" si="41"/>
        <v>49659.399999999987</v>
      </c>
      <c r="T41" s="163">
        <f t="shared" si="41"/>
        <v>49726.599999999984</v>
      </c>
      <c r="U41" s="163">
        <f t="shared" si="41"/>
        <v>49796.499999999985</v>
      </c>
      <c r="V41" s="163">
        <f t="shared" si="41"/>
        <v>49865.699999999983</v>
      </c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L41" s="63">
        <f>20.7+88.5</f>
        <v>109.2</v>
      </c>
    </row>
    <row r="42" spans="2:38" x14ac:dyDescent="0.3">
      <c r="B42" s="752"/>
      <c r="C42" s="18" t="s">
        <v>8</v>
      </c>
      <c r="D42" s="163">
        <f>D6+Agosto23!AF42</f>
        <v>99074.3</v>
      </c>
      <c r="E42" s="164">
        <f t="shared" ref="E42:F64" si="42">D42+E6</f>
        <v>99217</v>
      </c>
      <c r="F42" s="164">
        <f t="shared" si="42"/>
        <v>99538.3</v>
      </c>
      <c r="G42" s="165">
        <f>21775+78123.8</f>
        <v>99898.8</v>
      </c>
      <c r="H42" s="166">
        <f>21823+78322.8</f>
        <v>100145.8</v>
      </c>
      <c r="I42" s="163">
        <f t="shared" ref="I42:V64" si="43">H42+I6</f>
        <v>100282.8</v>
      </c>
      <c r="J42" s="163">
        <f t="shared" si="43"/>
        <v>100497.1</v>
      </c>
      <c r="K42" s="163">
        <f t="shared" si="43"/>
        <v>100856.1</v>
      </c>
      <c r="L42" s="163">
        <f t="shared" si="43"/>
        <v>101250.5</v>
      </c>
      <c r="M42" s="163">
        <f t="shared" si="43"/>
        <v>101646</v>
      </c>
      <c r="N42" s="163">
        <f t="shared" si="43"/>
        <v>102040.2</v>
      </c>
      <c r="O42" s="163">
        <f t="shared" si="43"/>
        <v>102442.5</v>
      </c>
      <c r="P42" s="163">
        <f t="shared" si="43"/>
        <v>102827.5</v>
      </c>
      <c r="Q42" s="163">
        <f t="shared" si="43"/>
        <v>103192.8</v>
      </c>
      <c r="R42" s="163">
        <f t="shared" si="43"/>
        <v>103302</v>
      </c>
      <c r="S42" s="163">
        <f t="shared" si="43"/>
        <v>103547.1</v>
      </c>
      <c r="T42" s="163">
        <f t="shared" si="43"/>
        <v>103908.40000000001</v>
      </c>
      <c r="U42" s="163">
        <f t="shared" si="43"/>
        <v>104318.1</v>
      </c>
      <c r="V42" s="163">
        <f t="shared" si="43"/>
        <v>104720.5</v>
      </c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L42" s="63">
        <v>82.2</v>
      </c>
    </row>
    <row r="43" spans="2:38" x14ac:dyDescent="0.3">
      <c r="B43" s="752"/>
      <c r="C43" s="18" t="s">
        <v>9</v>
      </c>
      <c r="D43" s="163">
        <f>D7+Agosto23!AF43</f>
        <v>69875.100000000006</v>
      </c>
      <c r="E43" s="164">
        <f t="shared" si="42"/>
        <v>69982.5</v>
      </c>
      <c r="F43" s="164">
        <f t="shared" si="42"/>
        <v>70212.800000000003</v>
      </c>
      <c r="G43" s="165">
        <v>70458.2</v>
      </c>
      <c r="H43" s="166">
        <v>70615.5</v>
      </c>
      <c r="I43" s="163">
        <f t="shared" si="43"/>
        <v>70710.899999999994</v>
      </c>
      <c r="J43" s="163">
        <f t="shared" si="43"/>
        <v>70867.7</v>
      </c>
      <c r="K43" s="163">
        <f t="shared" si="43"/>
        <v>71028.599999999991</v>
      </c>
      <c r="L43" s="163">
        <f t="shared" si="43"/>
        <v>71297.799999999988</v>
      </c>
      <c r="M43" s="163">
        <f t="shared" si="43"/>
        <v>71567.999999999985</v>
      </c>
      <c r="N43" s="163">
        <f t="shared" si="43"/>
        <v>71838.89999999998</v>
      </c>
      <c r="O43" s="163">
        <f t="shared" si="43"/>
        <v>72114.199999999983</v>
      </c>
      <c r="P43" s="163">
        <f t="shared" si="43"/>
        <v>72385.699999999983</v>
      </c>
      <c r="Q43" s="163">
        <f t="shared" si="43"/>
        <v>72629.799999999988</v>
      </c>
      <c r="R43" s="163">
        <f t="shared" si="43"/>
        <v>72711.999999999985</v>
      </c>
      <c r="S43" s="163">
        <f t="shared" si="43"/>
        <v>72897.999999999985</v>
      </c>
      <c r="T43" s="163">
        <f t="shared" si="43"/>
        <v>73170.099999999991</v>
      </c>
      <c r="U43" s="163">
        <f t="shared" si="43"/>
        <v>73407.099999999991</v>
      </c>
      <c r="V43" s="163">
        <f t="shared" si="43"/>
        <v>73648.799999999988</v>
      </c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L43" s="63">
        <v>57.3</v>
      </c>
    </row>
    <row r="44" spans="2:38" x14ac:dyDescent="0.3">
      <c r="B44" s="752"/>
      <c r="C44" s="18" t="s">
        <v>10</v>
      </c>
      <c r="D44" s="163">
        <f>D8+Agosto23!AF44</f>
        <v>95760.3</v>
      </c>
      <c r="E44" s="164">
        <f t="shared" si="42"/>
        <v>95801.8</v>
      </c>
      <c r="F44" s="164">
        <f t="shared" si="42"/>
        <v>95956</v>
      </c>
      <c r="G44" s="165">
        <v>96154</v>
      </c>
      <c r="H44" s="166">
        <v>96261.9</v>
      </c>
      <c r="I44" s="163">
        <f t="shared" si="43"/>
        <v>96327.599999999991</v>
      </c>
      <c r="J44" s="163">
        <f t="shared" si="43"/>
        <v>96434.799999999988</v>
      </c>
      <c r="K44" s="163">
        <f t="shared" si="43"/>
        <v>96540.199999999983</v>
      </c>
      <c r="L44" s="163">
        <f t="shared" si="43"/>
        <v>96718.999999999985</v>
      </c>
      <c r="M44" s="163">
        <f t="shared" si="43"/>
        <v>96899.599999999991</v>
      </c>
      <c r="N44" s="163">
        <f t="shared" si="43"/>
        <v>97078.499999999985</v>
      </c>
      <c r="O44" s="163">
        <f t="shared" si="43"/>
        <v>97260.599999999991</v>
      </c>
      <c r="P44" s="163">
        <f t="shared" si="43"/>
        <v>97441.099999999991</v>
      </c>
      <c r="Q44" s="163">
        <f t="shared" si="43"/>
        <v>97604.999999999985</v>
      </c>
      <c r="R44" s="163">
        <f t="shared" si="43"/>
        <v>97662.299999999988</v>
      </c>
      <c r="S44" s="163">
        <f t="shared" si="43"/>
        <v>97789.699999999983</v>
      </c>
      <c r="T44" s="163">
        <f t="shared" si="43"/>
        <v>97969.699999999983</v>
      </c>
      <c r="U44" s="163">
        <f t="shared" si="43"/>
        <v>98126.699999999983</v>
      </c>
      <c r="V44" s="163">
        <f t="shared" si="43"/>
        <v>98281.739999999976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L44" s="63">
        <v>17.7</v>
      </c>
    </row>
    <row r="45" spans="2:38" x14ac:dyDescent="0.3">
      <c r="B45" s="752"/>
      <c r="C45" s="18" t="s">
        <v>11</v>
      </c>
      <c r="D45" s="163">
        <f>D9+Agosto23!AF45</f>
        <v>18813</v>
      </c>
      <c r="E45" s="164">
        <f t="shared" si="42"/>
        <v>18835.400000000001</v>
      </c>
      <c r="F45" s="164">
        <f t="shared" si="42"/>
        <v>18893.5</v>
      </c>
      <c r="G45" s="165">
        <v>18957</v>
      </c>
      <c r="H45" s="166">
        <v>18998</v>
      </c>
      <c r="I45" s="163">
        <f t="shared" si="43"/>
        <v>19019.8</v>
      </c>
      <c r="J45" s="163">
        <f t="shared" si="43"/>
        <v>19054.2</v>
      </c>
      <c r="K45" s="163">
        <f t="shared" si="43"/>
        <v>19118.2</v>
      </c>
      <c r="L45" s="163">
        <f t="shared" si="43"/>
        <v>19187.5</v>
      </c>
      <c r="M45" s="163">
        <f t="shared" si="43"/>
        <v>19256.3</v>
      </c>
      <c r="N45" s="163">
        <f t="shared" si="43"/>
        <v>19320.2</v>
      </c>
      <c r="O45" s="163">
        <f t="shared" si="43"/>
        <v>19390.5</v>
      </c>
      <c r="P45" s="163">
        <f t="shared" si="43"/>
        <v>19458.400000000001</v>
      </c>
      <c r="Q45" s="163">
        <f t="shared" si="43"/>
        <v>19521.800000000003</v>
      </c>
      <c r="R45" s="163">
        <f t="shared" si="43"/>
        <v>19539.500000000004</v>
      </c>
      <c r="S45" s="163">
        <f t="shared" si="43"/>
        <v>19578.500000000004</v>
      </c>
      <c r="T45" s="163">
        <f t="shared" si="43"/>
        <v>19646.200000000004</v>
      </c>
      <c r="U45" s="163">
        <f t="shared" si="43"/>
        <v>19714.500000000004</v>
      </c>
      <c r="V45" s="163">
        <f t="shared" si="43"/>
        <v>19783.200000000004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L45" s="63">
        <v>37.700000000000003</v>
      </c>
    </row>
    <row r="46" spans="2:38" x14ac:dyDescent="0.3">
      <c r="B46" s="752"/>
      <c r="C46" s="18" t="s">
        <v>12</v>
      </c>
      <c r="D46" s="163">
        <f>D10+Agosto23!AF46</f>
        <v>58257.799999999996</v>
      </c>
      <c r="E46" s="164">
        <f t="shared" si="42"/>
        <v>58305.299999999996</v>
      </c>
      <c r="F46" s="164">
        <f t="shared" si="42"/>
        <v>58422.7</v>
      </c>
      <c r="G46" s="165">
        <v>58550</v>
      </c>
      <c r="H46" s="166">
        <v>58640</v>
      </c>
      <c r="I46" s="163">
        <f t="shared" si="43"/>
        <v>58687.199999999997</v>
      </c>
      <c r="J46" s="163">
        <f t="shared" si="43"/>
        <v>58758.1</v>
      </c>
      <c r="K46" s="163">
        <f t="shared" si="43"/>
        <v>58883</v>
      </c>
      <c r="L46" s="163">
        <f t="shared" si="43"/>
        <v>59023.7</v>
      </c>
      <c r="M46" s="163">
        <f t="shared" si="43"/>
        <v>59165.2</v>
      </c>
      <c r="N46" s="163">
        <f t="shared" si="43"/>
        <v>59306.299999999996</v>
      </c>
      <c r="O46" s="163">
        <f t="shared" si="43"/>
        <v>59447.399999999994</v>
      </c>
      <c r="P46" s="163">
        <f t="shared" si="43"/>
        <v>59587.999999999993</v>
      </c>
      <c r="Q46" s="163">
        <f t="shared" si="43"/>
        <v>59721.399999999994</v>
      </c>
      <c r="R46" s="163">
        <f t="shared" si="43"/>
        <v>59759.099999999991</v>
      </c>
      <c r="S46" s="163">
        <f t="shared" si="43"/>
        <v>59841.499999999993</v>
      </c>
      <c r="T46" s="163">
        <f t="shared" si="43"/>
        <v>59980.599999999991</v>
      </c>
      <c r="U46" s="163">
        <f t="shared" si="43"/>
        <v>60122.19999999999</v>
      </c>
      <c r="V46" s="163">
        <f t="shared" si="43"/>
        <v>60268.19999999999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L46" s="63">
        <v>151.30000000000001</v>
      </c>
    </row>
    <row r="47" spans="2:38" x14ac:dyDescent="0.3">
      <c r="B47" s="752"/>
      <c r="C47" s="18" t="s">
        <v>13</v>
      </c>
      <c r="D47" s="163">
        <f>D11+Agosto23!AF47</f>
        <v>230263.40000000002</v>
      </c>
      <c r="E47" s="164">
        <f t="shared" si="42"/>
        <v>230416.7</v>
      </c>
      <c r="F47" s="164">
        <f t="shared" si="42"/>
        <v>230757</v>
      </c>
      <c r="G47" s="165">
        <v>231148.9</v>
      </c>
      <c r="H47" s="166">
        <v>231319.5</v>
      </c>
      <c r="I47" s="163">
        <f t="shared" si="43"/>
        <v>231532.1</v>
      </c>
      <c r="J47" s="163">
        <f t="shared" si="43"/>
        <v>231777.2</v>
      </c>
      <c r="K47" s="163">
        <f t="shared" si="43"/>
        <v>232180.5</v>
      </c>
      <c r="L47" s="163">
        <f t="shared" si="43"/>
        <v>232618.3</v>
      </c>
      <c r="M47" s="163">
        <f t="shared" si="43"/>
        <v>233063.5</v>
      </c>
      <c r="N47" s="163">
        <f t="shared" si="43"/>
        <v>233499.6</v>
      </c>
      <c r="O47" s="163">
        <f t="shared" si="43"/>
        <v>233949.7</v>
      </c>
      <c r="P47" s="163">
        <f t="shared" si="43"/>
        <v>234380.90000000002</v>
      </c>
      <c r="Q47" s="163">
        <f t="shared" si="43"/>
        <v>234756.50000000003</v>
      </c>
      <c r="R47" s="163">
        <f t="shared" si="43"/>
        <v>234907.80000000002</v>
      </c>
      <c r="S47" s="163">
        <f t="shared" si="43"/>
        <v>235188.7</v>
      </c>
      <c r="T47" s="163">
        <f t="shared" si="43"/>
        <v>235555.20000000001</v>
      </c>
      <c r="U47" s="163">
        <f t="shared" si="43"/>
        <v>236015.5</v>
      </c>
      <c r="V47" s="163">
        <f t="shared" si="43"/>
        <v>236473.1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L47" s="82">
        <v>81.099999999999994</v>
      </c>
    </row>
    <row r="48" spans="2:38" x14ac:dyDescent="0.3">
      <c r="B48" s="753"/>
      <c r="C48" s="18" t="s">
        <v>14</v>
      </c>
      <c r="D48" s="163">
        <f>D12+Agosto23!AF48</f>
        <v>846.8</v>
      </c>
      <c r="E48" s="164">
        <f t="shared" si="42"/>
        <v>945.3</v>
      </c>
      <c r="F48" s="164">
        <f t="shared" si="42"/>
        <v>1186.3</v>
      </c>
      <c r="G48" s="165">
        <v>1440</v>
      </c>
      <c r="H48" s="166">
        <v>1620</v>
      </c>
      <c r="I48" s="163">
        <f t="shared" si="43"/>
        <v>1722</v>
      </c>
      <c r="J48" s="163">
        <f t="shared" si="43"/>
        <v>1881.1</v>
      </c>
      <c r="K48" s="163">
        <f t="shared" si="43"/>
        <v>2141.1999999999998</v>
      </c>
      <c r="L48" s="163">
        <f t="shared" si="43"/>
        <v>2420.1</v>
      </c>
      <c r="M48" s="163">
        <f t="shared" si="43"/>
        <v>2698.1</v>
      </c>
      <c r="N48" s="163">
        <f t="shared" si="43"/>
        <v>2982.9</v>
      </c>
      <c r="O48" s="163">
        <f t="shared" si="43"/>
        <v>3268.6</v>
      </c>
      <c r="P48" s="163">
        <f t="shared" si="43"/>
        <v>3549</v>
      </c>
      <c r="Q48" s="163">
        <f t="shared" si="43"/>
        <v>3812.3</v>
      </c>
      <c r="R48" s="163">
        <f t="shared" si="43"/>
        <v>3893.4</v>
      </c>
      <c r="S48" s="163">
        <f t="shared" si="43"/>
        <v>4075.6</v>
      </c>
      <c r="T48" s="163">
        <f t="shared" si="43"/>
        <v>4350.3999999999996</v>
      </c>
      <c r="U48" s="163">
        <f t="shared" si="43"/>
        <v>4645.3999999999996</v>
      </c>
      <c r="V48" s="163">
        <f t="shared" si="43"/>
        <v>4938.3999999999996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L48" s="63">
        <v>156.9</v>
      </c>
    </row>
    <row r="49" spans="2:38" x14ac:dyDescent="0.3">
      <c r="B49" s="751" t="s">
        <v>16</v>
      </c>
      <c r="C49" s="18" t="s">
        <v>17</v>
      </c>
      <c r="D49" s="163">
        <f>D13+Agosto23!AF49</f>
        <v>137390.39999999999</v>
      </c>
      <c r="E49" s="164">
        <f t="shared" si="42"/>
        <v>137578.79999999999</v>
      </c>
      <c r="F49" s="164">
        <f t="shared" si="42"/>
        <v>138022.39999999999</v>
      </c>
      <c r="G49" s="165">
        <v>138545</v>
      </c>
      <c r="H49" s="166">
        <v>138937</v>
      </c>
      <c r="I49" s="163">
        <f t="shared" si="43"/>
        <v>139153.5</v>
      </c>
      <c r="J49" s="163">
        <f t="shared" si="43"/>
        <v>139473.60000000001</v>
      </c>
      <c r="K49" s="163">
        <f t="shared" si="43"/>
        <v>139927.6</v>
      </c>
      <c r="L49" s="163">
        <f t="shared" si="43"/>
        <v>140494.20000000001</v>
      </c>
      <c r="M49" s="163">
        <f t="shared" si="43"/>
        <v>141068.30000000002</v>
      </c>
      <c r="N49" s="163">
        <f t="shared" si="43"/>
        <v>141638.80000000002</v>
      </c>
      <c r="O49" s="163">
        <f t="shared" si="43"/>
        <v>142216.80000000002</v>
      </c>
      <c r="P49" s="163">
        <f t="shared" si="43"/>
        <v>142778.1</v>
      </c>
      <c r="Q49" s="163">
        <f t="shared" si="43"/>
        <v>143323.6</v>
      </c>
      <c r="R49" s="163">
        <f t="shared" si="43"/>
        <v>143480.5</v>
      </c>
      <c r="S49" s="163">
        <f t="shared" si="43"/>
        <v>143831.20000000001</v>
      </c>
      <c r="T49" s="163">
        <f t="shared" si="43"/>
        <v>144365.80000000002</v>
      </c>
      <c r="U49" s="163">
        <f t="shared" si="43"/>
        <v>144952.00000000003</v>
      </c>
      <c r="V49" s="163">
        <f t="shared" si="43"/>
        <v>145535.10000000003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L49" s="63">
        <v>195.6</v>
      </c>
    </row>
    <row r="50" spans="2:38" x14ac:dyDescent="0.3">
      <c r="B50" s="752"/>
      <c r="C50" s="18" t="s">
        <v>18</v>
      </c>
      <c r="D50" s="163">
        <f>D14+Agosto23!AF50</f>
        <v>127692</v>
      </c>
      <c r="E50" s="164">
        <f t="shared" si="42"/>
        <v>127893</v>
      </c>
      <c r="F50" s="164">
        <f t="shared" si="42"/>
        <v>128349.5</v>
      </c>
      <c r="G50" s="165">
        <v>128878</v>
      </c>
      <c r="H50" s="166">
        <v>129112</v>
      </c>
      <c r="I50" s="163">
        <f t="shared" si="43"/>
        <v>129407.3</v>
      </c>
      <c r="J50" s="163">
        <f t="shared" si="43"/>
        <v>129736.7</v>
      </c>
      <c r="K50" s="163">
        <f t="shared" si="43"/>
        <v>130276.8</v>
      </c>
      <c r="L50" s="163">
        <f t="shared" si="43"/>
        <v>130852.90000000001</v>
      </c>
      <c r="M50" s="163">
        <f t="shared" si="43"/>
        <v>131442.6</v>
      </c>
      <c r="N50" s="163">
        <f t="shared" si="43"/>
        <v>132022.6</v>
      </c>
      <c r="O50" s="163">
        <f t="shared" si="43"/>
        <v>132611.6</v>
      </c>
      <c r="P50" s="163">
        <f t="shared" si="43"/>
        <v>133185.9</v>
      </c>
      <c r="Q50" s="163">
        <f t="shared" si="43"/>
        <v>133697.9</v>
      </c>
      <c r="R50" s="163">
        <f t="shared" si="43"/>
        <v>133893.5</v>
      </c>
      <c r="S50" s="163">
        <f t="shared" si="43"/>
        <v>134288.6</v>
      </c>
      <c r="T50" s="163">
        <f t="shared" si="43"/>
        <v>134775.1</v>
      </c>
      <c r="U50" s="163">
        <f t="shared" si="43"/>
        <v>135377.70000000001</v>
      </c>
      <c r="V50" s="163">
        <f t="shared" si="43"/>
        <v>135977.60000000001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L50" s="63">
        <v>55.4</v>
      </c>
    </row>
    <row r="51" spans="2:38" x14ac:dyDescent="0.3">
      <c r="B51" s="752"/>
      <c r="C51" s="18" t="s">
        <v>19</v>
      </c>
      <c r="D51" s="163">
        <f>D15+Agosto23!AF51</f>
        <v>37825.599999999999</v>
      </c>
      <c r="E51" s="164">
        <f t="shared" si="42"/>
        <v>37881.9</v>
      </c>
      <c r="F51" s="164">
        <f t="shared" si="42"/>
        <v>38013.200000000004</v>
      </c>
      <c r="G51" s="165">
        <v>38160</v>
      </c>
      <c r="H51" s="166">
        <v>38222</v>
      </c>
      <c r="I51" s="163">
        <f t="shared" si="43"/>
        <v>38299</v>
      </c>
      <c r="J51" s="163">
        <f t="shared" si="43"/>
        <v>38394.400000000001</v>
      </c>
      <c r="K51" s="163">
        <f t="shared" si="43"/>
        <v>38557.200000000004</v>
      </c>
      <c r="L51" s="163">
        <f t="shared" si="43"/>
        <v>38720.400000000001</v>
      </c>
      <c r="M51" s="163">
        <f t="shared" si="43"/>
        <v>38885.700000000004</v>
      </c>
      <c r="N51" s="163">
        <f t="shared" si="43"/>
        <v>39052.200000000004</v>
      </c>
      <c r="O51" s="163">
        <f t="shared" si="43"/>
        <v>39219.700000000004</v>
      </c>
      <c r="P51" s="163">
        <f t="shared" si="43"/>
        <v>39381.600000000006</v>
      </c>
      <c r="Q51" s="163">
        <f t="shared" si="43"/>
        <v>39520.400000000009</v>
      </c>
      <c r="R51" s="163">
        <f t="shared" si="43"/>
        <v>39575.80000000001</v>
      </c>
      <c r="S51" s="163">
        <f t="shared" si="43"/>
        <v>39689.900000000009</v>
      </c>
      <c r="T51" s="163">
        <f t="shared" si="43"/>
        <v>39833.100000000006</v>
      </c>
      <c r="U51" s="163">
        <f t="shared" si="43"/>
        <v>40004.700000000004</v>
      </c>
      <c r="V51" s="163">
        <f t="shared" si="43"/>
        <v>40174.100000000006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L51" s="63">
        <v>183.6</v>
      </c>
    </row>
    <row r="52" spans="2:38" x14ac:dyDescent="0.3">
      <c r="B52" s="753"/>
      <c r="C52" s="18" t="s">
        <v>20</v>
      </c>
      <c r="D52" s="163">
        <f>D16+Agosto23!AF52</f>
        <v>97279.9</v>
      </c>
      <c r="E52" s="164">
        <f t="shared" si="42"/>
        <v>97553.7</v>
      </c>
      <c r="F52" s="164">
        <f t="shared" si="42"/>
        <v>97991.599999999991</v>
      </c>
      <c r="G52" s="165">
        <v>98510</v>
      </c>
      <c r="H52" s="166">
        <v>98809</v>
      </c>
      <c r="I52" s="163">
        <f t="shared" si="43"/>
        <v>99037.2</v>
      </c>
      <c r="J52" s="163">
        <f t="shared" si="43"/>
        <v>99339.5</v>
      </c>
      <c r="K52" s="163">
        <f t="shared" si="43"/>
        <v>99843.7</v>
      </c>
      <c r="L52" s="163">
        <f t="shared" si="43"/>
        <v>100418.59999999999</v>
      </c>
      <c r="M52" s="163">
        <f t="shared" si="43"/>
        <v>100990.79999999999</v>
      </c>
      <c r="N52" s="163">
        <f t="shared" si="43"/>
        <v>101571.29999999999</v>
      </c>
      <c r="O52" s="163">
        <f t="shared" si="43"/>
        <v>102142.19999999998</v>
      </c>
      <c r="P52" s="163">
        <f t="shared" si="43"/>
        <v>102716.09999999998</v>
      </c>
      <c r="Q52" s="163">
        <f t="shared" si="43"/>
        <v>103172.49999999997</v>
      </c>
      <c r="R52" s="163">
        <f t="shared" si="43"/>
        <v>103356.09999999998</v>
      </c>
      <c r="S52" s="163">
        <f t="shared" si="43"/>
        <v>103720.79999999997</v>
      </c>
      <c r="T52" s="163">
        <f t="shared" si="43"/>
        <v>104232.49999999997</v>
      </c>
      <c r="U52" s="163">
        <f t="shared" si="43"/>
        <v>104830.29999999997</v>
      </c>
      <c r="V52" s="163">
        <f t="shared" si="43"/>
        <v>105426.39999999998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L52" s="63" t="s">
        <v>31</v>
      </c>
    </row>
    <row r="53" spans="2:38" x14ac:dyDescent="0.3">
      <c r="B53" s="754" t="s">
        <v>21</v>
      </c>
      <c r="C53" s="18" t="s">
        <v>22</v>
      </c>
      <c r="D53" s="163">
        <f>D17+Agosto23!AF53</f>
        <v>66156.600000000006</v>
      </c>
      <c r="E53" s="164">
        <f t="shared" si="42"/>
        <v>66361.3</v>
      </c>
      <c r="F53" s="164">
        <f t="shared" si="42"/>
        <v>66814.400000000009</v>
      </c>
      <c r="G53" s="165">
        <v>67299</v>
      </c>
      <c r="H53" s="166">
        <v>67726</v>
      </c>
      <c r="I53" s="163">
        <f t="shared" si="43"/>
        <v>67892.5</v>
      </c>
      <c r="J53" s="163">
        <f t="shared" si="43"/>
        <v>68250.899999999994</v>
      </c>
      <c r="K53" s="163">
        <f t="shared" si="43"/>
        <v>68747</v>
      </c>
      <c r="L53" s="163">
        <f t="shared" si="43"/>
        <v>69300.600000000006</v>
      </c>
      <c r="M53" s="163">
        <f t="shared" si="43"/>
        <v>69848</v>
      </c>
      <c r="N53" s="163">
        <f t="shared" si="43"/>
        <v>70403</v>
      </c>
      <c r="O53" s="163">
        <f t="shared" si="43"/>
        <v>70963</v>
      </c>
      <c r="P53" s="163">
        <f t="shared" si="43"/>
        <v>71475.5</v>
      </c>
      <c r="Q53" s="163">
        <f t="shared" si="43"/>
        <v>71998.8</v>
      </c>
      <c r="R53" s="163">
        <f t="shared" si="43"/>
        <v>72581.3</v>
      </c>
      <c r="S53" s="163">
        <f t="shared" si="43"/>
        <v>73163.8</v>
      </c>
      <c r="T53" s="163">
        <f t="shared" si="43"/>
        <v>73588.98</v>
      </c>
      <c r="U53" s="163">
        <f t="shared" si="43"/>
        <v>74157.58</v>
      </c>
      <c r="V53" s="163">
        <f t="shared" si="43"/>
        <v>74319.58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L53" s="63">
        <v>40.200000000000003</v>
      </c>
    </row>
    <row r="54" spans="2:38" x14ac:dyDescent="0.3">
      <c r="B54" s="754"/>
      <c r="C54" s="18" t="s">
        <v>23</v>
      </c>
      <c r="D54" s="163">
        <f>D18+Agosto23!AF54</f>
        <v>74718</v>
      </c>
      <c r="E54" s="164">
        <f t="shared" si="42"/>
        <v>74931.5</v>
      </c>
      <c r="F54" s="164">
        <f t="shared" si="42"/>
        <v>75400.600000000006</v>
      </c>
      <c r="G54" s="165">
        <v>75901</v>
      </c>
      <c r="H54" s="166">
        <v>76333</v>
      </c>
      <c r="I54" s="163">
        <f t="shared" si="43"/>
        <v>76505.3</v>
      </c>
      <c r="J54" s="163">
        <f t="shared" si="43"/>
        <v>76878.600000000006</v>
      </c>
      <c r="K54" s="163">
        <f t="shared" si="43"/>
        <v>77387.5</v>
      </c>
      <c r="L54" s="163">
        <f t="shared" si="43"/>
        <v>77952.2</v>
      </c>
      <c r="M54" s="163">
        <f t="shared" si="43"/>
        <v>78511.199999999997</v>
      </c>
      <c r="N54" s="163">
        <f t="shared" si="43"/>
        <v>79080.3</v>
      </c>
      <c r="O54" s="163">
        <f t="shared" si="43"/>
        <v>79656.2</v>
      </c>
      <c r="P54" s="163">
        <f t="shared" si="43"/>
        <v>80176.099999999991</v>
      </c>
      <c r="Q54" s="163">
        <f t="shared" si="43"/>
        <v>80710.999999999985</v>
      </c>
      <c r="R54" s="163">
        <f t="shared" si="43"/>
        <v>80751.199999999983</v>
      </c>
      <c r="S54" s="163">
        <f t="shared" si="43"/>
        <v>81104.699999999983</v>
      </c>
      <c r="T54" s="163">
        <f t="shared" si="43"/>
        <v>81644.89999999998</v>
      </c>
      <c r="U54" s="163">
        <f t="shared" si="43"/>
        <v>82225.999999999985</v>
      </c>
      <c r="V54" s="163">
        <f t="shared" si="43"/>
        <v>82803.299999999988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L54" s="63">
        <v>115</v>
      </c>
    </row>
    <row r="55" spans="2:38" x14ac:dyDescent="0.3">
      <c r="B55" s="754"/>
      <c r="C55" s="18" t="s">
        <v>24</v>
      </c>
      <c r="D55" s="163">
        <f>D19+Agosto23!AF55</f>
        <v>136365.90000000002</v>
      </c>
      <c r="E55" s="164">
        <f t="shared" si="42"/>
        <v>136541.60000000003</v>
      </c>
      <c r="F55" s="164">
        <f t="shared" si="42"/>
        <v>136900.20000000004</v>
      </c>
      <c r="G55" s="165">
        <v>137294</v>
      </c>
      <c r="H55" s="166">
        <v>137664</v>
      </c>
      <c r="I55" s="163">
        <f t="shared" si="43"/>
        <v>137784.79999999999</v>
      </c>
      <c r="J55" s="163">
        <f t="shared" si="43"/>
        <v>138091.79999999999</v>
      </c>
      <c r="K55" s="163">
        <f t="shared" si="43"/>
        <v>138488</v>
      </c>
      <c r="L55" s="163">
        <f t="shared" si="43"/>
        <v>138954</v>
      </c>
      <c r="M55" s="163">
        <f t="shared" si="43"/>
        <v>139420.20000000001</v>
      </c>
      <c r="N55" s="163">
        <f t="shared" si="43"/>
        <v>139899.1</v>
      </c>
      <c r="O55" s="163">
        <f t="shared" si="43"/>
        <v>140368.80000000002</v>
      </c>
      <c r="P55" s="163">
        <f t="shared" si="43"/>
        <v>140817.60000000001</v>
      </c>
      <c r="Q55" s="163">
        <f t="shared" si="43"/>
        <v>141261.4</v>
      </c>
      <c r="R55" s="163">
        <f t="shared" si="43"/>
        <v>141376.4</v>
      </c>
      <c r="S55" s="163">
        <f t="shared" si="43"/>
        <v>141685.6</v>
      </c>
      <c r="T55" s="163">
        <f t="shared" si="43"/>
        <v>142120.80000000002</v>
      </c>
      <c r="U55" s="163">
        <f t="shared" si="43"/>
        <v>142604.40000000002</v>
      </c>
      <c r="V55" s="163">
        <f t="shared" si="43"/>
        <v>143083.30000000002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L55" s="63">
        <v>160.30000000000001</v>
      </c>
    </row>
    <row r="56" spans="2:38" x14ac:dyDescent="0.3">
      <c r="B56" s="754"/>
      <c r="C56" s="18" t="s">
        <v>25</v>
      </c>
      <c r="D56" s="163">
        <f>D20+Agosto23!AF56</f>
        <v>174716.2</v>
      </c>
      <c r="E56" s="164">
        <f t="shared" si="42"/>
        <v>174891.90000000002</v>
      </c>
      <c r="F56" s="164">
        <f t="shared" si="42"/>
        <v>175250.50000000003</v>
      </c>
      <c r="G56" s="165">
        <v>176032</v>
      </c>
      <c r="H56" s="166">
        <v>176536</v>
      </c>
      <c r="I56" s="163">
        <f t="shared" si="43"/>
        <v>176700.4</v>
      </c>
      <c r="J56" s="163">
        <f t="shared" si="43"/>
        <v>177097.9</v>
      </c>
      <c r="K56" s="163">
        <f t="shared" si="43"/>
        <v>177578.1</v>
      </c>
      <c r="L56" s="163">
        <f t="shared" si="43"/>
        <v>178184.1</v>
      </c>
      <c r="M56" s="163">
        <f t="shared" si="43"/>
        <v>178794.9</v>
      </c>
      <c r="N56" s="163">
        <f t="shared" si="43"/>
        <v>179407</v>
      </c>
      <c r="O56" s="163">
        <f t="shared" si="43"/>
        <v>179995</v>
      </c>
      <c r="P56" s="163">
        <f t="shared" si="43"/>
        <v>180562</v>
      </c>
      <c r="Q56" s="163">
        <f t="shared" si="43"/>
        <v>181154.9</v>
      </c>
      <c r="R56" s="163">
        <f t="shared" si="43"/>
        <v>181315.19999999998</v>
      </c>
      <c r="S56" s="163">
        <f t="shared" si="43"/>
        <v>181728.99999999997</v>
      </c>
      <c r="T56" s="163">
        <f t="shared" si="43"/>
        <v>182268.39999999997</v>
      </c>
      <c r="U56" s="163">
        <f t="shared" si="43"/>
        <v>182889.19999999995</v>
      </c>
      <c r="V56" s="163">
        <f t="shared" si="43"/>
        <v>183508.19999999995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L56" s="63">
        <v>136.9</v>
      </c>
    </row>
    <row r="57" spans="2:38" x14ac:dyDescent="0.3">
      <c r="B57" s="754"/>
      <c r="C57" s="18" t="s">
        <v>26</v>
      </c>
      <c r="D57" s="163">
        <f>D21+Agosto23!AF57</f>
        <v>82601.100000000006</v>
      </c>
      <c r="E57" s="164">
        <f t="shared" si="42"/>
        <v>82798.200000000012</v>
      </c>
      <c r="F57" s="164">
        <f t="shared" si="42"/>
        <v>83190.300000000017</v>
      </c>
      <c r="G57" s="165">
        <v>83628</v>
      </c>
      <c r="H57" s="166">
        <v>84081</v>
      </c>
      <c r="I57" s="163">
        <f t="shared" si="43"/>
        <v>84221.2</v>
      </c>
      <c r="J57" s="163">
        <f t="shared" si="43"/>
        <v>84565.5</v>
      </c>
      <c r="K57" s="163">
        <f t="shared" si="43"/>
        <v>84989.5</v>
      </c>
      <c r="L57" s="163">
        <f t="shared" si="43"/>
        <v>85536.1</v>
      </c>
      <c r="M57" s="163">
        <f t="shared" si="43"/>
        <v>86087.5</v>
      </c>
      <c r="N57" s="163">
        <f t="shared" si="43"/>
        <v>86643.4</v>
      </c>
      <c r="O57" s="163">
        <f t="shared" si="43"/>
        <v>87178</v>
      </c>
      <c r="P57" s="163">
        <f t="shared" si="43"/>
        <v>87697.2</v>
      </c>
      <c r="Q57" s="163">
        <f t="shared" si="43"/>
        <v>88231.8</v>
      </c>
      <c r="R57" s="163">
        <f t="shared" si="43"/>
        <v>88368.7</v>
      </c>
      <c r="S57" s="163">
        <f t="shared" si="43"/>
        <v>88724.2</v>
      </c>
      <c r="T57" s="163">
        <f t="shared" si="43"/>
        <v>89211.199999999997</v>
      </c>
      <c r="U57" s="163">
        <f t="shared" si="43"/>
        <v>89785.5</v>
      </c>
      <c r="V57" s="163">
        <f t="shared" si="43"/>
        <v>90364.5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L57" s="63">
        <v>147.5</v>
      </c>
    </row>
    <row r="58" spans="2:38" x14ac:dyDescent="0.3">
      <c r="B58" s="754"/>
      <c r="C58" s="18" t="s">
        <v>27</v>
      </c>
      <c r="D58" s="163">
        <f>D22+Agosto23!AF58</f>
        <v>61635.9</v>
      </c>
      <c r="E58" s="164">
        <f t="shared" si="42"/>
        <v>62103.5</v>
      </c>
      <c r="F58" s="164">
        <f t="shared" si="42"/>
        <v>62574</v>
      </c>
      <c r="G58" s="165">
        <v>63058</v>
      </c>
      <c r="H58" s="166">
        <v>63281</v>
      </c>
      <c r="I58" s="163">
        <f t="shared" si="43"/>
        <v>63452.800000000003</v>
      </c>
      <c r="J58" s="163">
        <f t="shared" si="43"/>
        <v>63763</v>
      </c>
      <c r="K58" s="163">
        <f t="shared" si="43"/>
        <v>64308.7</v>
      </c>
      <c r="L58" s="163">
        <f t="shared" si="43"/>
        <v>64839</v>
      </c>
      <c r="M58" s="163">
        <f t="shared" si="43"/>
        <v>65329.599999999999</v>
      </c>
      <c r="N58" s="163">
        <f t="shared" si="43"/>
        <v>65891.8</v>
      </c>
      <c r="O58" s="163">
        <f t="shared" si="43"/>
        <v>66444</v>
      </c>
      <c r="P58" s="163">
        <f t="shared" si="43"/>
        <v>66950</v>
      </c>
      <c r="Q58" s="163">
        <f t="shared" si="43"/>
        <v>67300.100000000006</v>
      </c>
      <c r="R58" s="163">
        <f t="shared" si="43"/>
        <v>67447.600000000006</v>
      </c>
      <c r="S58" s="163">
        <f t="shared" si="43"/>
        <v>68000.100000000006</v>
      </c>
      <c r="T58" s="163">
        <f t="shared" si="43"/>
        <v>68554.100000000006</v>
      </c>
      <c r="U58" s="163">
        <f t="shared" si="43"/>
        <v>69118.600000000006</v>
      </c>
      <c r="V58" s="163">
        <f t="shared" si="43"/>
        <v>69685.900000000009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L58" s="63">
        <v>189.83</v>
      </c>
    </row>
    <row r="59" spans="2:38" x14ac:dyDescent="0.3">
      <c r="B59" s="754"/>
      <c r="C59" s="18" t="s">
        <v>28</v>
      </c>
      <c r="D59" s="163">
        <f>D23+Agosto23!AF59</f>
        <v>87365.97</v>
      </c>
      <c r="E59" s="164">
        <f t="shared" si="42"/>
        <v>87417.47</v>
      </c>
      <c r="F59" s="164">
        <f t="shared" si="42"/>
        <v>87515.87</v>
      </c>
      <c r="G59" s="165">
        <v>87693.64</v>
      </c>
      <c r="H59" s="166">
        <v>87903.16</v>
      </c>
      <c r="I59" s="163">
        <f t="shared" si="43"/>
        <v>88141.86</v>
      </c>
      <c r="J59" s="163">
        <f t="shared" si="43"/>
        <v>88458.76</v>
      </c>
      <c r="K59" s="163">
        <f t="shared" si="43"/>
        <v>88890.159999999989</v>
      </c>
      <c r="L59" s="163">
        <f t="shared" si="43"/>
        <v>89379.859999999986</v>
      </c>
      <c r="M59" s="163">
        <f t="shared" si="43"/>
        <v>89805.459999999992</v>
      </c>
      <c r="N59" s="163">
        <f t="shared" si="43"/>
        <v>90307.159999999989</v>
      </c>
      <c r="O59" s="163">
        <f t="shared" si="43"/>
        <v>90808.01</v>
      </c>
      <c r="P59" s="163">
        <f t="shared" si="43"/>
        <v>91275.87</v>
      </c>
      <c r="Q59" s="163">
        <f t="shared" si="43"/>
        <v>91694.709999999992</v>
      </c>
      <c r="R59" s="163">
        <f t="shared" si="43"/>
        <v>91884.54</v>
      </c>
      <c r="S59" s="163">
        <f t="shared" si="43"/>
        <v>92283.239999999991</v>
      </c>
      <c r="T59" s="163">
        <f t="shared" si="43"/>
        <v>92707.819999999992</v>
      </c>
      <c r="U59" s="163">
        <f t="shared" ref="J59:V64" si="44">T59+U23</f>
        <v>93215.459999999992</v>
      </c>
      <c r="V59" s="163">
        <f t="shared" si="44"/>
        <v>93643.76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L59" s="63">
        <v>223.4</v>
      </c>
    </row>
    <row r="60" spans="2:38" x14ac:dyDescent="0.3">
      <c r="B60" s="754"/>
      <c r="C60" s="18" t="s">
        <v>29</v>
      </c>
      <c r="D60" s="163">
        <f>D24+Agosto23!AF60</f>
        <v>128949.2</v>
      </c>
      <c r="E60" s="164">
        <f t="shared" si="42"/>
        <v>129205</v>
      </c>
      <c r="F60" s="164">
        <f t="shared" si="42"/>
        <v>129675.6</v>
      </c>
      <c r="G60" s="165">
        <v>130195</v>
      </c>
      <c r="H60" s="166">
        <v>130451</v>
      </c>
      <c r="I60" s="163">
        <f t="shared" si="43"/>
        <v>130741.8</v>
      </c>
      <c r="J60" s="163">
        <f t="shared" si="44"/>
        <v>131114.70000000001</v>
      </c>
      <c r="K60" s="163">
        <f t="shared" si="44"/>
        <v>131604.1</v>
      </c>
      <c r="L60" s="163">
        <f t="shared" si="44"/>
        <v>132172.9</v>
      </c>
      <c r="M60" s="163">
        <f t="shared" si="44"/>
        <v>132735.19999999998</v>
      </c>
      <c r="N60" s="163">
        <f t="shared" si="44"/>
        <v>133310.29999999999</v>
      </c>
      <c r="O60" s="163">
        <f t="shared" si="44"/>
        <v>133890.4</v>
      </c>
      <c r="P60" s="163">
        <f t="shared" si="44"/>
        <v>134427.79999999999</v>
      </c>
      <c r="Q60" s="163">
        <f t="shared" si="44"/>
        <v>134928.59999999998</v>
      </c>
      <c r="R60" s="163">
        <f t="shared" si="44"/>
        <v>135151.99999999997</v>
      </c>
      <c r="S60" s="163">
        <f t="shared" si="44"/>
        <v>135610.69999999998</v>
      </c>
      <c r="T60" s="163">
        <f t="shared" si="44"/>
        <v>136092.9</v>
      </c>
      <c r="U60" s="163">
        <f t="shared" si="44"/>
        <v>136680.9</v>
      </c>
      <c r="V60" s="163">
        <f t="shared" si="44"/>
        <v>137262.1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L60" s="63">
        <v>619</v>
      </c>
    </row>
    <row r="61" spans="2:38" x14ac:dyDescent="0.3">
      <c r="B61" s="754"/>
      <c r="C61" s="18" t="s">
        <v>30</v>
      </c>
      <c r="D61" s="163">
        <f>D25+Agosto23!AF61</f>
        <v>15238</v>
      </c>
      <c r="E61" s="164">
        <f t="shared" si="42"/>
        <v>15939.5</v>
      </c>
      <c r="F61" s="164">
        <f t="shared" si="42"/>
        <v>17229.5</v>
      </c>
      <c r="G61" s="165">
        <v>18667</v>
      </c>
      <c r="H61" s="166">
        <v>19364</v>
      </c>
      <c r="I61" s="163">
        <f t="shared" si="43"/>
        <v>20154</v>
      </c>
      <c r="J61" s="163">
        <f t="shared" si="44"/>
        <v>21184</v>
      </c>
      <c r="K61" s="163">
        <f t="shared" si="44"/>
        <v>21374</v>
      </c>
      <c r="L61" s="163">
        <f t="shared" si="44"/>
        <v>22684</v>
      </c>
      <c r="M61" s="163">
        <f t="shared" si="44"/>
        <v>23994</v>
      </c>
      <c r="N61" s="163">
        <f t="shared" si="44"/>
        <v>25539</v>
      </c>
      <c r="O61" s="163">
        <f t="shared" si="44"/>
        <v>27099</v>
      </c>
      <c r="P61" s="163">
        <f t="shared" si="44"/>
        <v>28590.7</v>
      </c>
      <c r="Q61" s="163">
        <f t="shared" si="44"/>
        <v>29940.7</v>
      </c>
      <c r="R61" s="163">
        <f t="shared" si="44"/>
        <v>30559.7</v>
      </c>
      <c r="S61" s="163">
        <f t="shared" si="44"/>
        <v>31829.7</v>
      </c>
      <c r="T61" s="163">
        <f t="shared" si="44"/>
        <v>33136</v>
      </c>
      <c r="U61" s="163">
        <f t="shared" si="44"/>
        <v>34677.300000000003</v>
      </c>
      <c r="V61" s="163">
        <f t="shared" si="44"/>
        <v>36057.300000000003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L61" s="63">
        <v>219.3</v>
      </c>
    </row>
    <row r="62" spans="2:38" x14ac:dyDescent="0.3">
      <c r="B62" s="754"/>
      <c r="C62" s="18" t="s">
        <v>111</v>
      </c>
      <c r="D62" s="163">
        <f>D26+Agosto23!AF62</f>
        <v>45282</v>
      </c>
      <c r="E62" s="164">
        <f t="shared" si="42"/>
        <v>45758.1</v>
      </c>
      <c r="F62" s="164">
        <f t="shared" si="42"/>
        <v>46250</v>
      </c>
      <c r="G62" s="165">
        <v>46772</v>
      </c>
      <c r="H62" s="166">
        <v>47086</v>
      </c>
      <c r="I62" s="163">
        <f t="shared" si="43"/>
        <v>47272.9</v>
      </c>
      <c r="J62" s="163">
        <f t="shared" si="44"/>
        <v>47561</v>
      </c>
      <c r="K62" s="163">
        <f t="shared" si="44"/>
        <v>48084</v>
      </c>
      <c r="L62" s="163">
        <f t="shared" si="44"/>
        <v>48674</v>
      </c>
      <c r="M62" s="163">
        <f t="shared" si="44"/>
        <v>49141.7</v>
      </c>
      <c r="N62" s="163">
        <f t="shared" si="44"/>
        <v>49696.5</v>
      </c>
      <c r="O62" s="163">
        <f t="shared" si="44"/>
        <v>50278.9</v>
      </c>
      <c r="P62" s="163">
        <f t="shared" si="44"/>
        <v>50856</v>
      </c>
      <c r="Q62" s="163">
        <f t="shared" si="44"/>
        <v>51240.2</v>
      </c>
      <c r="R62" s="163">
        <f t="shared" si="44"/>
        <v>51459.5</v>
      </c>
      <c r="S62" s="163">
        <f t="shared" si="44"/>
        <v>51997.5</v>
      </c>
      <c r="T62" s="163">
        <f t="shared" si="44"/>
        <v>52569.5</v>
      </c>
      <c r="U62" s="163">
        <f t="shared" si="44"/>
        <v>53157.2</v>
      </c>
      <c r="V62" s="163">
        <f t="shared" si="44"/>
        <v>53749.2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L62" s="63">
        <v>66.900000000000006</v>
      </c>
    </row>
    <row r="63" spans="2:38" ht="15" thickBot="1" x14ac:dyDescent="0.35">
      <c r="B63" s="754"/>
      <c r="C63" s="18" t="s">
        <v>32</v>
      </c>
      <c r="D63" s="163">
        <f>D27+Agosto23!AF63</f>
        <v>9535.9000000000015</v>
      </c>
      <c r="E63" s="164">
        <f t="shared" si="42"/>
        <v>9862.8000000000011</v>
      </c>
      <c r="F63" s="164">
        <f t="shared" si="42"/>
        <v>10307.1</v>
      </c>
      <c r="G63" s="165">
        <v>10779</v>
      </c>
      <c r="H63" s="166">
        <v>10940</v>
      </c>
      <c r="I63" s="163">
        <f t="shared" si="43"/>
        <v>11150.7</v>
      </c>
      <c r="J63" s="163">
        <f t="shared" si="44"/>
        <v>11463.400000000001</v>
      </c>
      <c r="K63" s="163">
        <f t="shared" si="44"/>
        <v>11953.400000000001</v>
      </c>
      <c r="L63" s="163">
        <f t="shared" si="44"/>
        <v>12459.400000000001</v>
      </c>
      <c r="M63" s="163">
        <f t="shared" si="44"/>
        <v>12953.600000000002</v>
      </c>
      <c r="N63" s="163">
        <f t="shared" si="44"/>
        <v>13460.000000000002</v>
      </c>
      <c r="O63" s="163">
        <f t="shared" si="44"/>
        <v>13974.400000000001</v>
      </c>
      <c r="P63" s="163">
        <f t="shared" si="44"/>
        <v>14479.800000000001</v>
      </c>
      <c r="Q63" s="163">
        <f t="shared" si="44"/>
        <v>14874.6</v>
      </c>
      <c r="R63" s="163">
        <f t="shared" si="44"/>
        <v>14941.5</v>
      </c>
      <c r="S63" s="163">
        <f t="shared" si="44"/>
        <v>15332.8</v>
      </c>
      <c r="T63" s="163">
        <f t="shared" si="44"/>
        <v>15822.9</v>
      </c>
      <c r="U63" s="163">
        <f t="shared" si="44"/>
        <v>16345.1</v>
      </c>
      <c r="V63" s="163">
        <f t="shared" si="44"/>
        <v>16866.5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L63" s="93">
        <v>150.6</v>
      </c>
    </row>
    <row r="64" spans="2:38" x14ac:dyDescent="0.3">
      <c r="B64" s="754"/>
      <c r="C64" s="18" t="s">
        <v>112</v>
      </c>
      <c r="D64" s="163">
        <f>D28+Agosto23!AF64</f>
        <v>19103.3</v>
      </c>
      <c r="E64" s="164">
        <f t="shared" si="42"/>
        <v>19562.7</v>
      </c>
      <c r="F64" s="164">
        <f t="shared" si="42"/>
        <v>20017.100000000002</v>
      </c>
      <c r="G64" s="165">
        <v>20520.400000000001</v>
      </c>
      <c r="H64" s="166">
        <v>20739</v>
      </c>
      <c r="I64" s="163">
        <f t="shared" si="43"/>
        <v>20911.2</v>
      </c>
      <c r="J64" s="163">
        <f t="shared" si="44"/>
        <v>21202.600000000002</v>
      </c>
      <c r="K64" s="163">
        <f t="shared" si="44"/>
        <v>21736.2</v>
      </c>
      <c r="L64" s="163">
        <f t="shared" si="44"/>
        <v>22283.3</v>
      </c>
      <c r="M64" s="163">
        <f t="shared" si="44"/>
        <v>22781.200000000001</v>
      </c>
      <c r="N64" s="163">
        <f t="shared" si="44"/>
        <v>23342.9</v>
      </c>
      <c r="O64" s="163">
        <f t="shared" si="44"/>
        <v>23897.300000000003</v>
      </c>
      <c r="P64" s="163">
        <f t="shared" si="44"/>
        <v>24418.400000000001</v>
      </c>
      <c r="Q64" s="163">
        <f t="shared" si="44"/>
        <v>24800.7</v>
      </c>
      <c r="R64" s="163">
        <f t="shared" si="44"/>
        <v>24951.3</v>
      </c>
      <c r="S64" s="163">
        <f t="shared" si="44"/>
        <v>25464.799999999999</v>
      </c>
      <c r="T64" s="163">
        <f t="shared" si="44"/>
        <v>26012.399999999998</v>
      </c>
      <c r="U64" s="163">
        <f t="shared" si="44"/>
        <v>26576.3</v>
      </c>
      <c r="V64" s="163">
        <f t="shared" si="44"/>
        <v>27133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</row>
    <row r="65" spans="2:5" x14ac:dyDescent="0.3">
      <c r="B65" s="756" t="s">
        <v>196</v>
      </c>
      <c r="C65" s="756"/>
      <c r="D65" s="756"/>
      <c r="E65" s="756"/>
    </row>
    <row r="66" spans="2:5" x14ac:dyDescent="0.3">
      <c r="B66" s="757" t="s">
        <v>132</v>
      </c>
      <c r="C66" s="757"/>
      <c r="D66" s="757"/>
      <c r="E66" s="757"/>
    </row>
  </sheetData>
  <mergeCells count="13">
    <mergeCell ref="AE31:AG31"/>
    <mergeCell ref="AE32:AG32"/>
    <mergeCell ref="AE33:AG33"/>
    <mergeCell ref="B49:B52"/>
    <mergeCell ref="B53:B64"/>
    <mergeCell ref="B65:E65"/>
    <mergeCell ref="B66:E66"/>
    <mergeCell ref="B4:C4"/>
    <mergeCell ref="B5:B12"/>
    <mergeCell ref="B13:B16"/>
    <mergeCell ref="B17:B28"/>
    <mergeCell ref="B41:B48"/>
    <mergeCell ref="B29:C29"/>
  </mergeCells>
  <conditionalFormatting sqref="AK5:BN28">
    <cfRule type="cellIs" dxfId="171" priority="2" operator="equal">
      <formula>"VAZIO"</formula>
    </cfRule>
  </conditionalFormatting>
  <conditionalFormatting sqref="AK5:BO28">
    <cfRule type="expression" dxfId="170" priority="18">
      <formula>AK5&gt;$BP5</formula>
    </cfRule>
    <cfRule type="expression" dxfId="169" priority="19">
      <formula>AK5&lt;($BP5-0.01)</formula>
    </cfRule>
  </conditionalFormatting>
  <conditionalFormatting sqref="AL8:BN8 BI9 AL16:BN16 AL24:BN25">
    <cfRule type="cellIs" dxfId="168" priority="3" operator="equal">
      <formula>"""VAZIO"""</formula>
    </cfRule>
  </conditionalFormatting>
  <conditionalFormatting sqref="AO5:BN28">
    <cfRule type="expression" dxfId="167" priority="1">
      <formula>AO5=0</formula>
    </cfRule>
  </conditionalFormatting>
  <conditionalFormatting sqref="BS5:BS28">
    <cfRule type="cellIs" dxfId="166" priority="4" operator="greaterThan">
      <formula>0</formula>
    </cfRule>
    <cfRule type="cellIs" dxfId="165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839D-3AB4-47D5-814E-A5778C6C0A93}">
  <dimension ref="B3:BX66"/>
  <sheetViews>
    <sheetView zoomScale="85" zoomScaleNormal="85" workbookViewId="0">
      <pane xSplit="3" ySplit="4" topLeftCell="Z5" activePane="bottomRight" state="frozen"/>
      <selection pane="topRight" activeCell="D1" sqref="D1"/>
      <selection pane="bottomLeft" activeCell="A5" sqref="A5"/>
      <selection pane="bottomRight" activeCell="AC24" sqref="AC24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23" width="16.44140625" customWidth="1"/>
    <col min="24" max="24" width="17.109375" customWidth="1"/>
    <col min="25" max="25" width="17.5546875" customWidth="1"/>
    <col min="26" max="29" width="16.44140625" customWidth="1"/>
    <col min="30" max="31" width="18.33203125" customWidth="1"/>
    <col min="32" max="32" width="17.6640625" customWidth="1"/>
    <col min="33" max="34" width="17.8867187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hidden="1" customWidth="1"/>
    <col min="70" max="71" width="9.109375" hidden="1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x14ac:dyDescent="0.3">
      <c r="B4" s="764" t="s">
        <v>133</v>
      </c>
      <c r="C4" s="765"/>
      <c r="D4" s="167" t="s">
        <v>197</v>
      </c>
      <c r="E4" s="52" t="s">
        <v>198</v>
      </c>
      <c r="F4" s="52" t="s">
        <v>199</v>
      </c>
      <c r="G4" s="52" t="s">
        <v>200</v>
      </c>
      <c r="H4" s="52" t="s">
        <v>201</v>
      </c>
      <c r="I4" s="52" t="s">
        <v>202</v>
      </c>
      <c r="J4" s="52" t="s">
        <v>203</v>
      </c>
      <c r="K4" s="52" t="s">
        <v>204</v>
      </c>
      <c r="L4" s="52" t="s">
        <v>205</v>
      </c>
      <c r="M4" s="52" t="s">
        <v>206</v>
      </c>
      <c r="N4" s="52" t="s">
        <v>207</v>
      </c>
      <c r="O4" s="52" t="s">
        <v>208</v>
      </c>
      <c r="P4" s="52" t="s">
        <v>209</v>
      </c>
      <c r="Q4" s="52" t="s">
        <v>210</v>
      </c>
      <c r="R4" s="52" t="s">
        <v>211</v>
      </c>
      <c r="S4" s="52" t="s">
        <v>212</v>
      </c>
      <c r="T4" s="52" t="s">
        <v>213</v>
      </c>
      <c r="U4" s="52" t="s">
        <v>214</v>
      </c>
      <c r="V4" s="52" t="s">
        <v>215</v>
      </c>
      <c r="W4" s="52" t="s">
        <v>216</v>
      </c>
      <c r="X4" s="52" t="s">
        <v>217</v>
      </c>
      <c r="Y4" s="52" t="s">
        <v>218</v>
      </c>
      <c r="Z4" s="52" t="s">
        <v>219</v>
      </c>
      <c r="AA4" s="52" t="s">
        <v>220</v>
      </c>
      <c r="AB4" s="52" t="s">
        <v>221</v>
      </c>
      <c r="AC4" s="52" t="s">
        <v>222</v>
      </c>
      <c r="AD4" s="52" t="s">
        <v>223</v>
      </c>
      <c r="AE4" s="52" t="s">
        <v>224</v>
      </c>
      <c r="AF4" s="52" t="s">
        <v>225</v>
      </c>
      <c r="AG4" s="117" t="s">
        <v>226</v>
      </c>
      <c r="AH4" s="117" t="s">
        <v>227</v>
      </c>
      <c r="AI4" s="26" t="s">
        <v>69</v>
      </c>
      <c r="AJ4" s="26" t="s">
        <v>2</v>
      </c>
      <c r="AK4" s="120" t="s">
        <v>70</v>
      </c>
      <c r="AL4" s="56" t="s">
        <v>228</v>
      </c>
      <c r="AM4" s="57" t="s">
        <v>229</v>
      </c>
      <c r="AN4" s="57" t="s">
        <v>230</v>
      </c>
      <c r="AO4" s="57" t="s">
        <v>231</v>
      </c>
      <c r="AP4" s="57" t="s">
        <v>232</v>
      </c>
      <c r="AQ4" s="57" t="s">
        <v>233</v>
      </c>
      <c r="AR4" s="57" t="s">
        <v>234</v>
      </c>
      <c r="AS4" s="57" t="s">
        <v>235</v>
      </c>
      <c r="AT4" s="57" t="s">
        <v>236</v>
      </c>
      <c r="AU4" s="57" t="s">
        <v>236</v>
      </c>
      <c r="AV4" s="57" t="s">
        <v>237</v>
      </c>
      <c r="AW4" s="57" t="s">
        <v>238</v>
      </c>
      <c r="AX4" s="57" t="s">
        <v>239</v>
      </c>
      <c r="AY4" s="57" t="s">
        <v>240</v>
      </c>
      <c r="AZ4" s="57" t="s">
        <v>241</v>
      </c>
      <c r="BA4" s="57" t="s">
        <v>242</v>
      </c>
      <c r="BB4" s="57" t="s">
        <v>243</v>
      </c>
      <c r="BC4" s="57" t="s">
        <v>244</v>
      </c>
      <c r="BD4" s="57" t="s">
        <v>245</v>
      </c>
      <c r="BE4" s="57" t="s">
        <v>246</v>
      </c>
      <c r="BF4" s="57" t="s">
        <v>247</v>
      </c>
      <c r="BG4" s="57" t="s">
        <v>248</v>
      </c>
      <c r="BH4" s="57" t="s">
        <v>249</v>
      </c>
      <c r="BI4" s="57" t="s">
        <v>250</v>
      </c>
      <c r="BJ4" s="57" t="s">
        <v>251</v>
      </c>
      <c r="BK4" s="57" t="s">
        <v>252</v>
      </c>
      <c r="BL4" s="57" t="s">
        <v>253</v>
      </c>
      <c r="BM4" s="57" t="s">
        <v>254</v>
      </c>
      <c r="BN4" s="57" t="s">
        <v>255</v>
      </c>
      <c r="BO4" s="57" t="s">
        <v>256</v>
      </c>
      <c r="BP4" s="59" t="s">
        <v>102</v>
      </c>
      <c r="BQ4" s="54" t="s">
        <v>103</v>
      </c>
      <c r="BR4" s="60" t="s">
        <v>104</v>
      </c>
      <c r="BS4" s="33" t="s">
        <v>105</v>
      </c>
      <c r="BT4" s="33" t="s">
        <v>106</v>
      </c>
      <c r="BV4" s="3"/>
      <c r="BW4" s="2"/>
      <c r="BX4" s="2"/>
    </row>
    <row r="5" spans="2:76" x14ac:dyDescent="0.3">
      <c r="B5" s="759" t="s">
        <v>6</v>
      </c>
      <c r="C5" s="61" t="s">
        <v>7</v>
      </c>
      <c r="D5" s="62">
        <v>10.6</v>
      </c>
      <c r="E5" s="226">
        <v>16.3</v>
      </c>
      <c r="F5" s="230">
        <v>36.4</v>
      </c>
      <c r="G5" s="234">
        <v>46.3</v>
      </c>
      <c r="H5" s="234">
        <v>38.299999999999997</v>
      </c>
      <c r="I5" s="248">
        <v>51.7</v>
      </c>
      <c r="J5" s="246">
        <v>58.4</v>
      </c>
      <c r="K5" s="246">
        <v>56.1</v>
      </c>
      <c r="L5" s="226">
        <v>38.299999999999997</v>
      </c>
      <c r="M5" s="228">
        <v>21.6</v>
      </c>
      <c r="N5" s="230">
        <v>41.4</v>
      </c>
      <c r="O5" s="246">
        <v>64.599999999999994</v>
      </c>
      <c r="P5" s="226">
        <v>45.8</v>
      </c>
      <c r="Q5" s="260">
        <v>11.9</v>
      </c>
      <c r="R5" s="228">
        <v>21.8</v>
      </c>
      <c r="S5" s="230">
        <v>46.9</v>
      </c>
      <c r="T5" s="230">
        <v>48.6</v>
      </c>
      <c r="U5" s="230">
        <v>48.6</v>
      </c>
      <c r="V5" s="228">
        <v>31</v>
      </c>
      <c r="W5" s="260">
        <v>12.6</v>
      </c>
      <c r="X5" s="15">
        <v>15.3</v>
      </c>
      <c r="Y5" s="215">
        <v>36.4</v>
      </c>
      <c r="Z5" s="269">
        <v>44</v>
      </c>
      <c r="AA5" s="143">
        <v>66.7</v>
      </c>
      <c r="AB5" s="215">
        <v>24.5</v>
      </c>
      <c r="AC5" s="15">
        <v>26.1</v>
      </c>
      <c r="AD5" s="15">
        <v>24.7</v>
      </c>
      <c r="AE5" s="15">
        <v>22.7</v>
      </c>
      <c r="AF5" s="15">
        <v>39.799999999999997</v>
      </c>
      <c r="AG5" s="18">
        <v>55.2</v>
      </c>
      <c r="AH5" s="278">
        <v>51</v>
      </c>
      <c r="AI5" s="155">
        <f>SUM(D5:AH5)</f>
        <v>1153.6000000000001</v>
      </c>
      <c r="AJ5" s="118">
        <v>12</v>
      </c>
      <c r="AK5" s="121">
        <f t="shared" ref="AK5:AK11" si="0">F5/(AJ5*432)</f>
        <v>7.0216049382716044E-3</v>
      </c>
      <c r="AL5" s="67">
        <f t="shared" ref="AL5:AU6" si="1">IF(OR(D5="",D5="Sem monitoramento"),"VAZIO",IFERROR(D5/($AJ5*24),"-"))</f>
        <v>3.6805555555555557E-2</v>
      </c>
      <c r="AM5" s="68">
        <f t="shared" si="1"/>
        <v>5.6597222222222222E-2</v>
      </c>
      <c r="AN5" s="68">
        <f t="shared" si="1"/>
        <v>0.12638888888888888</v>
      </c>
      <c r="AO5" s="68">
        <f t="shared" si="1"/>
        <v>0.16076388888888887</v>
      </c>
      <c r="AP5" s="68">
        <f t="shared" si="1"/>
        <v>0.13298611111111111</v>
      </c>
      <c r="AQ5" s="68">
        <f t="shared" si="1"/>
        <v>0.17951388888888889</v>
      </c>
      <c r="AR5" s="68">
        <f t="shared" si="1"/>
        <v>0.20277777777777778</v>
      </c>
      <c r="AS5" s="68">
        <f t="shared" si="1"/>
        <v>0.19479166666666667</v>
      </c>
      <c r="AT5" s="68">
        <f t="shared" si="1"/>
        <v>0.13298611111111111</v>
      </c>
      <c r="AU5" s="68">
        <f t="shared" si="1"/>
        <v>7.5000000000000011E-2</v>
      </c>
      <c r="AV5" s="68">
        <f t="shared" ref="AV5:BE6" si="2">IF(OR(N5="",N5="Sem monitoramento"),"VAZIO",IFERROR(N5/($AJ5*24),"-"))</f>
        <v>0.14374999999999999</v>
      </c>
      <c r="AW5" s="68">
        <f t="shared" si="2"/>
        <v>0.22430555555555554</v>
      </c>
      <c r="AX5" s="68">
        <f t="shared" si="2"/>
        <v>0.15902777777777777</v>
      </c>
      <c r="AY5" s="68">
        <f t="shared" si="2"/>
        <v>4.1319444444444443E-2</v>
      </c>
      <c r="AZ5" s="68">
        <f t="shared" si="2"/>
        <v>7.5694444444444453E-2</v>
      </c>
      <c r="BA5" s="68">
        <f t="shared" si="2"/>
        <v>0.16284722222222223</v>
      </c>
      <c r="BB5" s="68">
        <f t="shared" si="2"/>
        <v>0.16875000000000001</v>
      </c>
      <c r="BC5" s="68">
        <f t="shared" si="2"/>
        <v>0.16875000000000001</v>
      </c>
      <c r="BD5" s="68">
        <f t="shared" si="2"/>
        <v>0.1076388888888889</v>
      </c>
      <c r="BE5" s="68">
        <f t="shared" si="2"/>
        <v>4.3749999999999997E-2</v>
      </c>
      <c r="BF5" s="68">
        <f t="shared" ref="BF5:BO6" si="3">IF(OR(X5="",X5="Sem monitoramento"),"VAZIO",IFERROR(X5/($AJ5*24),"-"))</f>
        <v>5.3125000000000006E-2</v>
      </c>
      <c r="BG5" s="68">
        <f t="shared" si="3"/>
        <v>0.12638888888888888</v>
      </c>
      <c r="BH5" s="68">
        <f t="shared" si="3"/>
        <v>0.15277777777777779</v>
      </c>
      <c r="BI5" s="68">
        <f t="shared" si="3"/>
        <v>0.23159722222222223</v>
      </c>
      <c r="BJ5" s="68">
        <f t="shared" si="3"/>
        <v>8.5069444444444448E-2</v>
      </c>
      <c r="BK5" s="68">
        <f t="shared" si="3"/>
        <v>9.0625000000000011E-2</v>
      </c>
      <c r="BL5" s="68">
        <f t="shared" si="3"/>
        <v>8.576388888888889E-2</v>
      </c>
      <c r="BM5" s="68">
        <f t="shared" si="3"/>
        <v>7.8819444444444442E-2</v>
      </c>
      <c r="BN5" s="68">
        <f t="shared" si="3"/>
        <v>0.13819444444444443</v>
      </c>
      <c r="BO5" s="68">
        <f t="shared" si="3"/>
        <v>0.19166666666666668</v>
      </c>
      <c r="BP5" s="70">
        <f t="shared" ref="BP5:BP28" si="4">AI5/(AJ5*(COUNTA(D5:AG5)*24))</f>
        <v>0.13351851851851854</v>
      </c>
      <c r="BQ5" s="180">
        <f>'FCs estimados em PVsyst'!Y3</f>
        <v>0.1804398148148148</v>
      </c>
      <c r="BR5" s="72">
        <f t="shared" ref="BR5:BR11" si="5">AJ5*BQ5</f>
        <v>2.1652777777777779</v>
      </c>
      <c r="BS5" s="73">
        <f t="shared" ref="BS5:BS11" si="6">AN5-BQ5</f>
        <v>-5.4050925925925919E-2</v>
      </c>
      <c r="BT5" s="74">
        <f t="shared" ref="BT5:BT28" si="7">BP5-BQ5</f>
        <v>-4.6921296296296267E-2</v>
      </c>
      <c r="BU5" s="15" t="s">
        <v>7</v>
      </c>
      <c r="BV5" s="75" t="s">
        <v>107</v>
      </c>
      <c r="BW5" s="7">
        <f>COUNTIF(BT5:BT28,"&gt;0")</f>
        <v>0</v>
      </c>
      <c r="BX5" s="2"/>
    </row>
    <row r="6" spans="2:76" x14ac:dyDescent="0.3">
      <c r="B6" s="760"/>
      <c r="C6" s="214" t="s">
        <v>8</v>
      </c>
      <c r="D6" s="62">
        <f>10.7+46</f>
        <v>56.7</v>
      </c>
      <c r="E6" s="226">
        <f>136.9+33.1</f>
        <v>170</v>
      </c>
      <c r="F6" s="230">
        <f>144.2+33.1</f>
        <v>177.29999999999998</v>
      </c>
      <c r="G6" s="234">
        <f>48.4+196.3</f>
        <v>244.70000000000002</v>
      </c>
      <c r="H6" s="234">
        <f>169.7+40.8</f>
        <v>210.5</v>
      </c>
      <c r="I6" s="248">
        <f>225.2+54.4</f>
        <v>279.59999999999997</v>
      </c>
      <c r="J6" s="246">
        <f>279.9+68</f>
        <v>347.9</v>
      </c>
      <c r="K6" s="246">
        <f>243.2+61.6</f>
        <v>304.8</v>
      </c>
      <c r="L6" s="226">
        <f>173.6+44</f>
        <v>217.6</v>
      </c>
      <c r="M6" s="228">
        <f>24.3+102.1</f>
        <v>126.39999999999999</v>
      </c>
      <c r="N6" s="230">
        <f>41.9+176.8</f>
        <v>218.70000000000002</v>
      </c>
      <c r="O6" s="246">
        <f>303.1+73.8</f>
        <v>376.90000000000003</v>
      </c>
      <c r="P6" s="226">
        <f>193.6+16</f>
        <v>209.6</v>
      </c>
      <c r="Q6" s="260">
        <f>74+17.6</f>
        <v>91.6</v>
      </c>
      <c r="R6" s="228">
        <f>102+24.3</f>
        <v>126.3</v>
      </c>
      <c r="S6" s="230">
        <f>51.4+211.6</f>
        <v>263</v>
      </c>
      <c r="T6" s="230">
        <f>54.8+228.6</f>
        <v>283.39999999999998</v>
      </c>
      <c r="U6" s="230">
        <f>216.3+53.7</f>
        <v>270</v>
      </c>
      <c r="V6" s="215">
        <f>34.2+142.6</f>
        <v>176.8</v>
      </c>
      <c r="W6" s="260">
        <f>13.4+57.5</f>
        <v>70.900000000000006</v>
      </c>
      <c r="X6" s="15">
        <f>69.3+16.4</f>
        <v>85.699999999999989</v>
      </c>
      <c r="Y6" s="215">
        <f>152.5+34.5</f>
        <v>187</v>
      </c>
      <c r="Z6" s="269">
        <f>48.2+199.1</f>
        <v>247.3</v>
      </c>
      <c r="AA6" s="143">
        <f>317.4+76.1</f>
        <v>393.5</v>
      </c>
      <c r="AB6" s="215">
        <f>25.8+103.1</f>
        <v>128.9</v>
      </c>
      <c r="AC6" s="15">
        <f>32.2+133.1</f>
        <v>165.3</v>
      </c>
      <c r="AD6" s="15">
        <f>110.7+26.8</f>
        <v>137.5</v>
      </c>
      <c r="AE6" s="15">
        <f>96.9+22.9</f>
        <v>119.80000000000001</v>
      </c>
      <c r="AF6" s="15">
        <f>47.6+192.5</f>
        <v>240.1</v>
      </c>
      <c r="AG6" s="18">
        <f>241.4+60</f>
        <v>301.39999999999998</v>
      </c>
      <c r="AH6" s="278">
        <f>59.9+245.9</f>
        <v>305.8</v>
      </c>
      <c r="AI6" s="155">
        <f>SUM(D6:AH6)</f>
        <v>6534.9999999999991</v>
      </c>
      <c r="AJ6" s="118">
        <v>67</v>
      </c>
      <c r="AK6" s="121">
        <f t="shared" si="0"/>
        <v>6.125621890547263E-3</v>
      </c>
      <c r="AL6" s="67">
        <f t="shared" si="1"/>
        <v>3.526119402985075E-2</v>
      </c>
      <c r="AM6" s="68">
        <f t="shared" si="1"/>
        <v>0.10572139303482588</v>
      </c>
      <c r="AN6" s="68">
        <f t="shared" si="1"/>
        <v>0.11026119402985074</v>
      </c>
      <c r="AO6" s="68">
        <f t="shared" si="1"/>
        <v>0.15217661691542289</v>
      </c>
      <c r="AP6" s="68">
        <f t="shared" si="1"/>
        <v>0.13090796019900497</v>
      </c>
      <c r="AQ6" s="68">
        <f t="shared" si="1"/>
        <v>0.17388059701492536</v>
      </c>
      <c r="AR6" s="68">
        <f t="shared" si="1"/>
        <v>0.2163557213930348</v>
      </c>
      <c r="AS6" s="68">
        <f t="shared" si="1"/>
        <v>0.18955223880597016</v>
      </c>
      <c r="AT6" s="68">
        <f t="shared" si="1"/>
        <v>0.13532338308457711</v>
      </c>
      <c r="AU6" s="68">
        <f t="shared" si="1"/>
        <v>7.8606965174129351E-2</v>
      </c>
      <c r="AV6" s="68">
        <f t="shared" si="2"/>
        <v>0.13600746268656719</v>
      </c>
      <c r="AW6" s="68">
        <f t="shared" si="2"/>
        <v>0.23439054726368161</v>
      </c>
      <c r="AX6" s="68">
        <f t="shared" si="2"/>
        <v>0.13034825870646766</v>
      </c>
      <c r="AY6" s="68">
        <f t="shared" si="2"/>
        <v>5.696517412935323E-2</v>
      </c>
      <c r="AZ6" s="68">
        <f t="shared" si="2"/>
        <v>7.8544776119402984E-2</v>
      </c>
      <c r="BA6" s="68">
        <f t="shared" si="2"/>
        <v>0.16355721393034825</v>
      </c>
      <c r="BB6" s="68">
        <f t="shared" si="2"/>
        <v>0.17624378109452735</v>
      </c>
      <c r="BC6" s="68">
        <f t="shared" si="2"/>
        <v>0.16791044776119404</v>
      </c>
      <c r="BD6" s="68">
        <f t="shared" si="2"/>
        <v>0.10995024875621891</v>
      </c>
      <c r="BE6" s="68">
        <f t="shared" si="2"/>
        <v>4.4092039800995027E-2</v>
      </c>
      <c r="BF6" s="68">
        <f t="shared" si="3"/>
        <v>5.3296019900497503E-2</v>
      </c>
      <c r="BG6" s="68">
        <f t="shared" si="3"/>
        <v>0.11629353233830846</v>
      </c>
      <c r="BH6" s="68">
        <f t="shared" si="3"/>
        <v>0.15379353233830848</v>
      </c>
      <c r="BI6" s="68">
        <f t="shared" si="3"/>
        <v>0.2447139303482587</v>
      </c>
      <c r="BJ6" s="68">
        <f t="shared" si="3"/>
        <v>8.0161691542288555E-2</v>
      </c>
      <c r="BK6" s="68">
        <f t="shared" si="3"/>
        <v>0.10279850746268658</v>
      </c>
      <c r="BL6" s="68">
        <f t="shared" si="3"/>
        <v>8.5509950248756225E-2</v>
      </c>
      <c r="BM6" s="68">
        <f t="shared" si="3"/>
        <v>7.4502487562189065E-2</v>
      </c>
      <c r="BN6" s="68">
        <f t="shared" si="3"/>
        <v>0.14931592039800995</v>
      </c>
      <c r="BO6" s="68">
        <f t="shared" si="3"/>
        <v>0.18743781094527362</v>
      </c>
      <c r="BP6" s="70">
        <f t="shared" si="4"/>
        <v>0.13546849087893861</v>
      </c>
      <c r="BQ6" s="180">
        <f>'FCs estimados em PVsyst'!Y4</f>
        <v>0.1868988391376451</v>
      </c>
      <c r="BR6" s="72">
        <f t="shared" si="5"/>
        <v>12.522222222222222</v>
      </c>
      <c r="BS6" s="73">
        <f t="shared" si="6"/>
        <v>-7.6637645107794361E-2</v>
      </c>
      <c r="BT6" s="74">
        <f t="shared" si="7"/>
        <v>-5.1430348258706488E-2</v>
      </c>
      <c r="BU6" s="15" t="s">
        <v>8</v>
      </c>
      <c r="BV6" s="77" t="s">
        <v>108</v>
      </c>
      <c r="BW6" s="78">
        <f>(COUNTA(BU5:BU28)-BW5-BW7)</f>
        <v>2</v>
      </c>
      <c r="BX6" s="2"/>
    </row>
    <row r="7" spans="2:76" x14ac:dyDescent="0.3">
      <c r="B7" s="760"/>
      <c r="C7" s="61" t="s">
        <v>9</v>
      </c>
      <c r="D7" s="62">
        <v>41.7</v>
      </c>
      <c r="E7" s="226">
        <v>128.9</v>
      </c>
      <c r="F7" s="230">
        <v>154.69999999999999</v>
      </c>
      <c r="G7" s="234">
        <v>184.4</v>
      </c>
      <c r="H7" s="234">
        <v>154.19999999999999</v>
      </c>
      <c r="I7" s="248">
        <v>209</v>
      </c>
      <c r="J7" s="246">
        <v>237.9</v>
      </c>
      <c r="K7" s="246">
        <v>224.9</v>
      </c>
      <c r="L7" s="226">
        <v>152.9</v>
      </c>
      <c r="M7" s="228">
        <v>86</v>
      </c>
      <c r="N7" s="230">
        <v>173</v>
      </c>
      <c r="O7" s="246">
        <v>256.5</v>
      </c>
      <c r="P7" s="226">
        <v>188.1</v>
      </c>
      <c r="Q7" s="260">
        <v>66.5</v>
      </c>
      <c r="R7" s="228">
        <v>89.7</v>
      </c>
      <c r="S7" s="230">
        <v>193.5</v>
      </c>
      <c r="T7" s="230">
        <v>194.8</v>
      </c>
      <c r="U7" s="230">
        <v>195.4</v>
      </c>
      <c r="V7" s="215">
        <v>123.3</v>
      </c>
      <c r="W7" s="260">
        <v>49.7</v>
      </c>
      <c r="X7" s="15">
        <v>61.9</v>
      </c>
      <c r="Y7" s="265">
        <v>107.1</v>
      </c>
      <c r="Z7" s="269">
        <v>191.2</v>
      </c>
      <c r="AA7" s="143">
        <v>268</v>
      </c>
      <c r="AB7" s="215">
        <v>101.3</v>
      </c>
      <c r="AC7" s="15">
        <v>110.3</v>
      </c>
      <c r="AD7" s="15">
        <v>97.5</v>
      </c>
      <c r="AE7" s="15">
        <v>94.5</v>
      </c>
      <c r="AF7" s="15">
        <v>157.19999999999999</v>
      </c>
      <c r="AG7" s="18">
        <v>213.6</v>
      </c>
      <c r="AH7" s="278">
        <v>196.2</v>
      </c>
      <c r="AI7" s="155">
        <f t="shared" ref="AI7:AI28" si="8">SUM(D7:AH7)</f>
        <v>4703.9000000000005</v>
      </c>
      <c r="AJ7" s="118">
        <v>49</v>
      </c>
      <c r="AK7" s="121">
        <f t="shared" si="0"/>
        <v>7.308201058201058E-3</v>
      </c>
      <c r="AL7" s="67">
        <f t="shared" ref="AL7:AU10" si="9">IF(OR(D7="",D7="Sem monitoramento"),"VAZIO",IFERROR(D7/($AJ7*24),"-"))</f>
        <v>3.545918367346939E-2</v>
      </c>
      <c r="AM7" s="68">
        <f t="shared" si="9"/>
        <v>0.10960884353741497</v>
      </c>
      <c r="AN7" s="68">
        <f t="shared" si="9"/>
        <v>0.13154761904761902</v>
      </c>
      <c r="AO7" s="68">
        <f t="shared" si="9"/>
        <v>0.15680272108843538</v>
      </c>
      <c r="AP7" s="68">
        <f t="shared" si="9"/>
        <v>0.13112244897959183</v>
      </c>
      <c r="AQ7" s="68">
        <f t="shared" si="9"/>
        <v>0.17772108843537415</v>
      </c>
      <c r="AR7" s="68">
        <f t="shared" si="9"/>
        <v>0.20229591836734695</v>
      </c>
      <c r="AS7" s="68">
        <f t="shared" si="9"/>
        <v>0.19124149659863945</v>
      </c>
      <c r="AT7" s="68">
        <f t="shared" si="9"/>
        <v>0.1300170068027211</v>
      </c>
      <c r="AU7" s="68">
        <f t="shared" si="9"/>
        <v>7.312925170068027E-2</v>
      </c>
      <c r="AV7" s="68">
        <f t="shared" ref="AV7:BE10" si="10">IF(OR(N7="",N7="Sem monitoramento"),"VAZIO",IFERROR(N7/($AJ7*24),"-"))</f>
        <v>0.14710884353741496</v>
      </c>
      <c r="AW7" s="68">
        <f t="shared" si="10"/>
        <v>0.21811224489795919</v>
      </c>
      <c r="AX7" s="68">
        <f t="shared" si="10"/>
        <v>0.15994897959183674</v>
      </c>
      <c r="AY7" s="68">
        <f t="shared" si="10"/>
        <v>5.6547619047619048E-2</v>
      </c>
      <c r="AZ7" s="68">
        <f t="shared" si="10"/>
        <v>7.6275510204081631E-2</v>
      </c>
      <c r="BA7" s="68">
        <f t="shared" si="10"/>
        <v>0.16454081632653061</v>
      </c>
      <c r="BB7" s="68">
        <f t="shared" si="10"/>
        <v>0.16564625850340137</v>
      </c>
      <c r="BC7" s="68">
        <f t="shared" si="10"/>
        <v>0.16615646258503403</v>
      </c>
      <c r="BD7" s="68">
        <f t="shared" si="10"/>
        <v>0.1048469387755102</v>
      </c>
      <c r="BE7" s="68">
        <f t="shared" si="10"/>
        <v>4.2261904761904764E-2</v>
      </c>
      <c r="BF7" s="68">
        <f t="shared" ref="BF7:BJ10" si="11">IF(OR(X7="",X7="Sem monitoramento"),"VAZIO",IFERROR(X7/($AJ7*24),"-"))</f>
        <v>5.2636054421768705E-2</v>
      </c>
      <c r="BG7" s="68">
        <f t="shared" si="11"/>
        <v>9.1071428571428567E-2</v>
      </c>
      <c r="BH7" s="68">
        <f t="shared" si="11"/>
        <v>0.16258503401360544</v>
      </c>
      <c r="BI7" s="68">
        <f t="shared" si="11"/>
        <v>0.22789115646258504</v>
      </c>
      <c r="BJ7" s="68">
        <f t="shared" si="11"/>
        <v>8.6139455782312926E-2</v>
      </c>
      <c r="BK7" s="68" t="e">
        <f>IF(OR(#REF!="",#REF!="Sem monitoramento"),"VAZIO",IFERROR(#REF!/($AJ7*24),"-"))</f>
        <v>#REF!</v>
      </c>
      <c r="BL7" s="68">
        <f t="shared" ref="BL7:BL28" si="12">IF(OR(AD7="",AD7="Sem monitoramento"),"VAZIO",IFERROR(AD7/($AJ7*24),"-"))</f>
        <v>8.2908163265306117E-2</v>
      </c>
      <c r="BM7" s="68">
        <f t="shared" ref="BM7:BM28" si="13">IF(OR(AE7="",AE7="Sem monitoramento"),"VAZIO",IFERROR(AE7/($AJ7*24),"-"))</f>
        <v>8.0357142857142863E-2</v>
      </c>
      <c r="BN7" s="68">
        <f t="shared" ref="BN7:BN28" si="14">IF(OR(AF7="",AF7="Sem monitoramento"),"VAZIO",IFERROR(AF7/($AJ7*24),"-"))</f>
        <v>0.1336734693877551</v>
      </c>
      <c r="BO7" s="68" t="e">
        <f>IF(OR(#REF!="",#REF!="Sem monitoramento"),"VAZIO",IFERROR(#REF!/($AJ7*24),"-"))</f>
        <v>#REF!</v>
      </c>
      <c r="BP7" s="70">
        <f>AI7/(AJ7*(COUNTA(D7:AG7)*24))</f>
        <v>0.13333049886621318</v>
      </c>
      <c r="BQ7" s="180">
        <f>'FCs estimados em PVsyst'!Y5</f>
        <v>0.17987528344671203</v>
      </c>
      <c r="BR7" s="72">
        <f t="shared" si="5"/>
        <v>8.81388888888889</v>
      </c>
      <c r="BS7" s="73">
        <f t="shared" si="6"/>
        <v>-4.8327664399093001E-2</v>
      </c>
      <c r="BT7" s="74">
        <f t="shared" si="7"/>
        <v>-4.6544784580498849E-2</v>
      </c>
      <c r="BU7" s="15" t="s">
        <v>9</v>
      </c>
      <c r="BV7" s="79" t="s">
        <v>109</v>
      </c>
      <c r="BW7" s="80">
        <f>COUNTIF(BT5:BT28,"&lt;-0,01")</f>
        <v>22</v>
      </c>
      <c r="BX7" s="2"/>
    </row>
    <row r="8" spans="2:76" x14ac:dyDescent="0.3">
      <c r="B8" s="760"/>
      <c r="C8" s="61" t="s">
        <v>10</v>
      </c>
      <c r="D8" s="62">
        <v>29.7</v>
      </c>
      <c r="E8" s="226">
        <v>88.5</v>
      </c>
      <c r="F8" s="230">
        <v>106</v>
      </c>
      <c r="G8" s="234">
        <v>123.4</v>
      </c>
      <c r="H8" s="234">
        <v>105</v>
      </c>
      <c r="I8" s="248">
        <v>139.80000000000001</v>
      </c>
      <c r="J8" s="246">
        <v>160.5</v>
      </c>
      <c r="K8" s="246">
        <v>147.4</v>
      </c>
      <c r="L8" s="226">
        <v>103.4</v>
      </c>
      <c r="M8" s="228">
        <v>59.7</v>
      </c>
      <c r="N8" s="230">
        <v>118.3</v>
      </c>
      <c r="O8" s="246">
        <v>171.1</v>
      </c>
      <c r="P8" s="226">
        <v>125.8</v>
      </c>
      <c r="Q8" s="260">
        <v>46.3</v>
      </c>
      <c r="R8" s="228">
        <v>62.3</v>
      </c>
      <c r="S8" s="230">
        <v>131.30000000000001</v>
      </c>
      <c r="T8" s="230">
        <v>131.9</v>
      </c>
      <c r="U8" s="230">
        <v>131</v>
      </c>
      <c r="V8" s="215">
        <v>84.7</v>
      </c>
      <c r="W8" s="260">
        <v>35.4</v>
      </c>
      <c r="X8" s="15">
        <v>43.4</v>
      </c>
      <c r="Y8" s="265">
        <v>73.599999999999994</v>
      </c>
      <c r="Z8" s="269">
        <v>129.80000000000001</v>
      </c>
      <c r="AA8" s="143">
        <v>178.9</v>
      </c>
      <c r="AB8" s="215">
        <v>70.099999999999994</v>
      </c>
      <c r="AC8" s="15">
        <v>74.7</v>
      </c>
      <c r="AD8" s="15">
        <v>67.599999999999994</v>
      </c>
      <c r="AE8" s="15">
        <v>65.3</v>
      </c>
      <c r="AF8" s="15">
        <v>107.9</v>
      </c>
      <c r="AG8" s="18">
        <v>140.9</v>
      </c>
      <c r="AH8" s="278">
        <v>131.80000000000001</v>
      </c>
      <c r="AI8" s="155">
        <f t="shared" si="8"/>
        <v>3185.5000000000005</v>
      </c>
      <c r="AJ8" s="118">
        <v>33</v>
      </c>
      <c r="AK8" s="121">
        <f t="shared" si="0"/>
        <v>7.4354657687991021E-3</v>
      </c>
      <c r="AL8" s="67">
        <f t="shared" si="9"/>
        <v>3.7499999999999999E-2</v>
      </c>
      <c r="AM8" s="68">
        <f t="shared" si="9"/>
        <v>0.11174242424242424</v>
      </c>
      <c r="AN8" s="68">
        <f t="shared" si="9"/>
        <v>0.13383838383838384</v>
      </c>
      <c r="AO8" s="68">
        <f t="shared" si="9"/>
        <v>0.15580808080808081</v>
      </c>
      <c r="AP8" s="68">
        <f t="shared" si="9"/>
        <v>0.13257575757575757</v>
      </c>
      <c r="AQ8" s="68">
        <f t="shared" si="9"/>
        <v>0.17651515151515154</v>
      </c>
      <c r="AR8" s="68">
        <f t="shared" si="9"/>
        <v>0.20265151515151514</v>
      </c>
      <c r="AS8" s="68">
        <f t="shared" si="9"/>
        <v>0.18611111111111112</v>
      </c>
      <c r="AT8" s="68">
        <f t="shared" si="9"/>
        <v>0.13055555555555556</v>
      </c>
      <c r="AU8" s="68">
        <f t="shared" si="9"/>
        <v>7.5378787878787878E-2</v>
      </c>
      <c r="AV8" s="68">
        <f t="shared" si="10"/>
        <v>0.14936868686868687</v>
      </c>
      <c r="AW8" s="68">
        <f t="shared" si="10"/>
        <v>0.21603535353535352</v>
      </c>
      <c r="AX8" s="68">
        <f t="shared" si="10"/>
        <v>0.15883838383838383</v>
      </c>
      <c r="AY8" s="68">
        <f t="shared" si="10"/>
        <v>5.8459595959595954E-2</v>
      </c>
      <c r="AZ8" s="68">
        <f t="shared" si="10"/>
        <v>7.8661616161616155E-2</v>
      </c>
      <c r="BA8" s="68">
        <f t="shared" si="10"/>
        <v>0.16578282828282831</v>
      </c>
      <c r="BB8" s="68">
        <f t="shared" si="10"/>
        <v>0.16654040404040404</v>
      </c>
      <c r="BC8" s="68">
        <f t="shared" si="10"/>
        <v>0.16540404040404041</v>
      </c>
      <c r="BD8" s="68">
        <f t="shared" si="10"/>
        <v>0.10694444444444445</v>
      </c>
      <c r="BE8" s="68">
        <f t="shared" si="10"/>
        <v>4.4696969696969693E-2</v>
      </c>
      <c r="BF8" s="68">
        <f t="shared" si="11"/>
        <v>5.4797979797979797E-2</v>
      </c>
      <c r="BG8" s="68">
        <f t="shared" si="11"/>
        <v>9.2929292929292917E-2</v>
      </c>
      <c r="BH8" s="68">
        <f t="shared" si="11"/>
        <v>0.16388888888888889</v>
      </c>
      <c r="BI8" s="68">
        <f t="shared" si="11"/>
        <v>0.22588383838383838</v>
      </c>
      <c r="BJ8" s="68">
        <f t="shared" si="11"/>
        <v>8.8510101010100997E-2</v>
      </c>
      <c r="BK8" s="68" t="e">
        <f>IF(OR(#REF!="",#REF!="Sem monitoramento"),"VAZIO",IFERROR(#REF!/($AJ8*24),"-"))</f>
        <v>#REF!</v>
      </c>
      <c r="BL8" s="68">
        <f t="shared" si="12"/>
        <v>8.5353535353535348E-2</v>
      </c>
      <c r="BM8" s="68">
        <f t="shared" si="13"/>
        <v>8.2449494949494939E-2</v>
      </c>
      <c r="BN8" s="68">
        <f t="shared" si="14"/>
        <v>0.13623737373737374</v>
      </c>
      <c r="BO8" s="68" t="e">
        <f>IF(OR(#REF!="",#REF!="Sem monitoramento"),"VAZIO",IFERROR(#REF!/($AJ8*24),"-"))</f>
        <v>#REF!</v>
      </c>
      <c r="BP8" s="70">
        <f>AI8/(AJ8*(COUNTA(D8:AG8)*24))</f>
        <v>0.13406986531986534</v>
      </c>
      <c r="BQ8" s="180">
        <f>'FCs estimados em PVsyst'!Y6</f>
        <v>0.18501683501683502</v>
      </c>
      <c r="BR8" s="72">
        <f t="shared" si="5"/>
        <v>6.1055555555555561</v>
      </c>
      <c r="BS8" s="73">
        <f t="shared" si="6"/>
        <v>-5.1178451178451184E-2</v>
      </c>
      <c r="BT8" s="74">
        <f t="shared" si="7"/>
        <v>-5.0946969696969685E-2</v>
      </c>
      <c r="BU8" s="15" t="s">
        <v>10</v>
      </c>
      <c r="BV8" s="3"/>
      <c r="BW8" s="2"/>
      <c r="BX8" s="2"/>
    </row>
    <row r="9" spans="2:76" x14ac:dyDescent="0.3">
      <c r="B9" s="760"/>
      <c r="C9" s="61" t="s">
        <v>11</v>
      </c>
      <c r="D9" s="62">
        <v>10.5</v>
      </c>
      <c r="E9" s="226">
        <v>29.3</v>
      </c>
      <c r="F9" s="230">
        <v>35.200000000000003</v>
      </c>
      <c r="G9" s="235">
        <v>45.1</v>
      </c>
      <c r="H9" s="235">
        <v>33.9</v>
      </c>
      <c r="I9" s="249">
        <v>53.9</v>
      </c>
      <c r="J9" s="246">
        <v>56.6</v>
      </c>
      <c r="K9" s="246">
        <v>50.7</v>
      </c>
      <c r="L9" s="226">
        <v>43.1</v>
      </c>
      <c r="M9" s="228">
        <v>20.9</v>
      </c>
      <c r="N9" s="230">
        <v>32.799999999999997</v>
      </c>
      <c r="O9" s="246">
        <v>62</v>
      </c>
      <c r="P9" s="226">
        <v>41.6</v>
      </c>
      <c r="Q9" s="260">
        <v>15.6</v>
      </c>
      <c r="R9" s="228">
        <v>20.9</v>
      </c>
      <c r="S9" s="230">
        <v>36.700000000000003</v>
      </c>
      <c r="T9" s="230">
        <v>50.3</v>
      </c>
      <c r="U9" s="230">
        <v>43.3</v>
      </c>
      <c r="V9" s="215">
        <v>33.299999999999997</v>
      </c>
      <c r="W9" s="260">
        <v>11.2</v>
      </c>
      <c r="X9" s="15">
        <v>13.8</v>
      </c>
      <c r="Y9" s="215">
        <v>31.1</v>
      </c>
      <c r="Z9" s="269">
        <v>42.6</v>
      </c>
      <c r="AA9" s="143">
        <v>63.1</v>
      </c>
      <c r="AB9" s="273">
        <v>22.4</v>
      </c>
      <c r="AC9" s="15">
        <v>26.6</v>
      </c>
      <c r="AD9" s="15">
        <v>22.3</v>
      </c>
      <c r="AE9" s="15">
        <v>20.3</v>
      </c>
      <c r="AF9" s="15">
        <v>38.1</v>
      </c>
      <c r="AG9" s="220">
        <v>55.2</v>
      </c>
      <c r="AH9" s="2">
        <v>49.8</v>
      </c>
      <c r="AI9" s="155">
        <f t="shared" si="8"/>
        <v>1112.1999999999998</v>
      </c>
      <c r="AJ9" s="118">
        <v>12</v>
      </c>
      <c r="AK9" s="121">
        <f t="shared" si="0"/>
        <v>6.7901234567901243E-3</v>
      </c>
      <c r="AL9" s="67">
        <f t="shared" si="9"/>
        <v>3.6458333333333336E-2</v>
      </c>
      <c r="AM9" s="68">
        <f t="shared" si="9"/>
        <v>0.10173611111111111</v>
      </c>
      <c r="AN9" s="68">
        <f t="shared" si="9"/>
        <v>0.12222222222222223</v>
      </c>
      <c r="AO9" s="68">
        <f t="shared" si="9"/>
        <v>0.15659722222222222</v>
      </c>
      <c r="AP9" s="68">
        <f t="shared" si="9"/>
        <v>0.11770833333333333</v>
      </c>
      <c r="AQ9" s="68">
        <f t="shared" si="9"/>
        <v>0.18715277777777778</v>
      </c>
      <c r="AR9" s="68">
        <f t="shared" si="9"/>
        <v>0.19652777777777777</v>
      </c>
      <c r="AS9" s="68">
        <f t="shared" si="9"/>
        <v>0.17604166666666668</v>
      </c>
      <c r="AT9" s="68">
        <f t="shared" si="9"/>
        <v>0.14965277777777777</v>
      </c>
      <c r="AU9" s="68">
        <f t="shared" si="9"/>
        <v>7.2569444444444436E-2</v>
      </c>
      <c r="AV9" s="68">
        <f t="shared" si="10"/>
        <v>0.11388888888888887</v>
      </c>
      <c r="AW9" s="68">
        <f t="shared" si="10"/>
        <v>0.21527777777777779</v>
      </c>
      <c r="AX9" s="68">
        <f t="shared" si="10"/>
        <v>0.14444444444444446</v>
      </c>
      <c r="AY9" s="68">
        <f t="shared" si="10"/>
        <v>5.4166666666666669E-2</v>
      </c>
      <c r="AZ9" s="68">
        <f t="shared" si="10"/>
        <v>7.2569444444444436E-2</v>
      </c>
      <c r="BA9" s="68">
        <f t="shared" si="10"/>
        <v>0.12743055555555557</v>
      </c>
      <c r="BB9" s="68">
        <f t="shared" si="10"/>
        <v>0.17465277777777777</v>
      </c>
      <c r="BC9" s="68">
        <f t="shared" si="10"/>
        <v>0.15034722222222222</v>
      </c>
      <c r="BD9" s="68">
        <f t="shared" si="10"/>
        <v>0.11562499999999999</v>
      </c>
      <c r="BE9" s="68">
        <f t="shared" si="10"/>
        <v>3.888888888888889E-2</v>
      </c>
      <c r="BF9" s="68">
        <f t="shared" si="11"/>
        <v>4.791666666666667E-2</v>
      </c>
      <c r="BG9" s="68">
        <f t="shared" si="11"/>
        <v>0.10798611111111112</v>
      </c>
      <c r="BH9" s="68">
        <f t="shared" si="11"/>
        <v>0.14791666666666667</v>
      </c>
      <c r="BI9" s="68">
        <f t="shared" si="11"/>
        <v>0.21909722222222222</v>
      </c>
      <c r="BJ9" s="68">
        <f t="shared" si="11"/>
        <v>7.7777777777777779E-2</v>
      </c>
      <c r="BK9" s="68">
        <f>IF(OR(AC7="",AC7="Sem monitoramento"),"VAZIO",IFERROR(AC7/($AJ9*24),"-"))</f>
        <v>0.38298611111111108</v>
      </c>
      <c r="BL9" s="68">
        <f t="shared" si="12"/>
        <v>7.7430555555555558E-2</v>
      </c>
      <c r="BM9" s="68">
        <f t="shared" si="13"/>
        <v>7.048611111111111E-2</v>
      </c>
      <c r="BN9" s="68">
        <f t="shared" si="14"/>
        <v>0.13229166666666667</v>
      </c>
      <c r="BO9" s="68">
        <f>IF(OR(AG7="",AG7="Sem monitoramento"),"VAZIO",IFERROR(AG7/($AJ9*24),"-"))</f>
        <v>0.7416666666666667</v>
      </c>
      <c r="BP9" s="70">
        <f t="shared" si="4"/>
        <v>0.12872685185185184</v>
      </c>
      <c r="BQ9" s="180">
        <f>'FCs estimados em PVsyst'!Y7</f>
        <v>0.18333333333333332</v>
      </c>
      <c r="BR9" s="72">
        <f t="shared" si="5"/>
        <v>2.1999999999999997</v>
      </c>
      <c r="BS9" s="73">
        <f t="shared" si="6"/>
        <v>-6.1111111111111088E-2</v>
      </c>
      <c r="BT9" s="74">
        <f t="shared" si="7"/>
        <v>-5.4606481481481478E-2</v>
      </c>
      <c r="BU9" s="15" t="s">
        <v>11</v>
      </c>
      <c r="BV9" s="3"/>
      <c r="BW9" s="2"/>
      <c r="BX9" s="2"/>
    </row>
    <row r="10" spans="2:76" x14ac:dyDescent="0.3">
      <c r="B10" s="760"/>
      <c r="C10" s="61" t="s">
        <v>12</v>
      </c>
      <c r="D10" s="62">
        <v>23.1</v>
      </c>
      <c r="E10" s="226">
        <v>62.9</v>
      </c>
      <c r="F10" s="230">
        <v>76.900000000000006</v>
      </c>
      <c r="G10" s="235">
        <v>93.6</v>
      </c>
      <c r="H10" s="235">
        <v>72.099999999999994</v>
      </c>
      <c r="I10" s="246">
        <v>115.9</v>
      </c>
      <c r="J10" s="246">
        <v>121.9</v>
      </c>
      <c r="K10" s="246">
        <v>106.5</v>
      </c>
      <c r="L10" s="226">
        <v>87.5</v>
      </c>
      <c r="M10" s="228">
        <v>45.5</v>
      </c>
      <c r="N10" s="230">
        <v>70.5</v>
      </c>
      <c r="O10" s="246">
        <v>132.5</v>
      </c>
      <c r="P10" s="226">
        <v>86.7</v>
      </c>
      <c r="Q10" s="260">
        <v>34.200000000000003</v>
      </c>
      <c r="R10" s="228">
        <v>45.1</v>
      </c>
      <c r="S10" s="230">
        <v>77.099999999999994</v>
      </c>
      <c r="T10" s="230">
        <v>102.9</v>
      </c>
      <c r="U10" s="230">
        <v>88.5</v>
      </c>
      <c r="V10" s="215">
        <v>70</v>
      </c>
      <c r="W10" s="260">
        <v>24.4</v>
      </c>
      <c r="X10" s="15">
        <v>29.7</v>
      </c>
      <c r="Y10" s="215">
        <v>65.599999999999994</v>
      </c>
      <c r="Z10" s="269">
        <v>85.5</v>
      </c>
      <c r="AA10" s="143">
        <v>133.6</v>
      </c>
      <c r="AB10" s="273">
        <v>47.3</v>
      </c>
      <c r="AC10" s="148">
        <v>56.2</v>
      </c>
      <c r="AD10" s="15">
        <v>47.5</v>
      </c>
      <c r="AE10" s="15">
        <v>42.8</v>
      </c>
      <c r="AF10" s="15">
        <v>81.3</v>
      </c>
      <c r="AG10" s="15">
        <v>113</v>
      </c>
      <c r="AH10" s="278">
        <v>105</v>
      </c>
      <c r="AI10" s="155">
        <f t="shared" si="8"/>
        <v>2345.2999999999997</v>
      </c>
      <c r="AJ10" s="118">
        <v>25</v>
      </c>
      <c r="AK10" s="121">
        <f t="shared" si="0"/>
        <v>7.1203703703703707E-3</v>
      </c>
      <c r="AL10" s="67">
        <f t="shared" si="9"/>
        <v>3.85E-2</v>
      </c>
      <c r="AM10" s="68">
        <f t="shared" si="9"/>
        <v>0.10483333333333333</v>
      </c>
      <c r="AN10" s="68">
        <f t="shared" si="9"/>
        <v>0.12816666666666668</v>
      </c>
      <c r="AO10" s="68">
        <f t="shared" si="9"/>
        <v>0.156</v>
      </c>
      <c r="AP10" s="68">
        <f t="shared" si="9"/>
        <v>0.12016666666666666</v>
      </c>
      <c r="AQ10" s="68">
        <f t="shared" si="9"/>
        <v>0.19316666666666668</v>
      </c>
      <c r="AR10" s="68">
        <f t="shared" si="9"/>
        <v>0.20316666666666669</v>
      </c>
      <c r="AS10" s="68">
        <f t="shared" si="9"/>
        <v>0.17749999999999999</v>
      </c>
      <c r="AT10" s="68">
        <f t="shared" si="9"/>
        <v>0.14583333333333334</v>
      </c>
      <c r="AU10" s="68">
        <f t="shared" si="9"/>
        <v>7.5833333333333336E-2</v>
      </c>
      <c r="AV10" s="68">
        <f t="shared" si="10"/>
        <v>0.11749999999999999</v>
      </c>
      <c r="AW10" s="68">
        <f t="shared" si="10"/>
        <v>0.22083333333333333</v>
      </c>
      <c r="AX10" s="68">
        <f t="shared" si="10"/>
        <v>0.14450000000000002</v>
      </c>
      <c r="AY10" s="68">
        <f t="shared" si="10"/>
        <v>5.7000000000000002E-2</v>
      </c>
      <c r="AZ10" s="68">
        <f t="shared" si="10"/>
        <v>7.5166666666666673E-2</v>
      </c>
      <c r="BA10" s="68">
        <f t="shared" si="10"/>
        <v>0.1285</v>
      </c>
      <c r="BB10" s="68">
        <f t="shared" si="10"/>
        <v>0.17150000000000001</v>
      </c>
      <c r="BC10" s="68">
        <f t="shared" si="10"/>
        <v>0.14749999999999999</v>
      </c>
      <c r="BD10" s="68">
        <f t="shared" si="10"/>
        <v>0.11666666666666667</v>
      </c>
      <c r="BE10" s="68">
        <f t="shared" si="10"/>
        <v>4.0666666666666663E-2</v>
      </c>
      <c r="BF10" s="68">
        <f t="shared" si="11"/>
        <v>4.9499999999999995E-2</v>
      </c>
      <c r="BG10" s="68">
        <f t="shared" si="11"/>
        <v>0.10933333333333332</v>
      </c>
      <c r="BH10" s="68">
        <f t="shared" si="11"/>
        <v>0.14249999999999999</v>
      </c>
      <c r="BI10" s="68">
        <f t="shared" si="11"/>
        <v>0.22266666666666665</v>
      </c>
      <c r="BJ10" s="68">
        <f t="shared" si="11"/>
        <v>7.8833333333333325E-2</v>
      </c>
      <c r="BK10" s="68">
        <f>IF(OR(AC8="",AC8="Sem monitoramento"),"VAZIO",IFERROR(AC8/($AJ10*24),"-"))</f>
        <v>0.1245</v>
      </c>
      <c r="BL10" s="68">
        <f t="shared" si="12"/>
        <v>7.9166666666666663E-2</v>
      </c>
      <c r="BM10" s="68">
        <f t="shared" si="13"/>
        <v>7.1333333333333332E-2</v>
      </c>
      <c r="BN10" s="68">
        <f t="shared" si="14"/>
        <v>0.13549999999999998</v>
      </c>
      <c r="BO10" s="68">
        <f>IF(OR(AG8="",AG8="Sem monitoramento"),"VAZIO",IFERROR(AG8/($AJ10*24),"-"))</f>
        <v>0.23483333333333334</v>
      </c>
      <c r="BP10" s="70">
        <f t="shared" si="4"/>
        <v>0.13029444444444443</v>
      </c>
      <c r="BQ10" s="180">
        <f>'FCs estimados em PVsyst'!Y8</f>
        <v>0.185</v>
      </c>
      <c r="BR10" s="72">
        <f t="shared" si="5"/>
        <v>4.625</v>
      </c>
      <c r="BS10" s="73">
        <f t="shared" si="6"/>
        <v>-5.6833333333333319E-2</v>
      </c>
      <c r="BT10" s="74">
        <f t="shared" si="7"/>
        <v>-5.4705555555555563E-2</v>
      </c>
      <c r="BU10" s="15" t="s">
        <v>12</v>
      </c>
      <c r="BV10" s="3"/>
      <c r="BW10" s="2"/>
      <c r="BX10" s="2"/>
    </row>
    <row r="11" spans="2:76" x14ac:dyDescent="0.3">
      <c r="B11" s="760"/>
      <c r="C11" s="83" t="s">
        <v>13</v>
      </c>
      <c r="D11" s="62">
        <v>87.4</v>
      </c>
      <c r="E11" s="226">
        <v>207.7</v>
      </c>
      <c r="F11" s="230">
        <v>252.6</v>
      </c>
      <c r="G11" s="234">
        <v>302.7</v>
      </c>
      <c r="H11" s="234">
        <v>257.7</v>
      </c>
      <c r="I11" s="248">
        <v>90.1</v>
      </c>
      <c r="J11" s="248">
        <v>0</v>
      </c>
      <c r="K11" s="248">
        <v>0.9</v>
      </c>
      <c r="L11" s="226">
        <v>237.9</v>
      </c>
      <c r="M11" s="228">
        <v>177.3</v>
      </c>
      <c r="N11" s="230">
        <v>266.89999999999998</v>
      </c>
      <c r="O11" s="246">
        <v>424.2</v>
      </c>
      <c r="P11" s="226">
        <v>265.7</v>
      </c>
      <c r="Q11" s="260">
        <v>112.4</v>
      </c>
      <c r="R11" s="228">
        <v>171.5</v>
      </c>
      <c r="S11" s="230">
        <v>302</v>
      </c>
      <c r="T11" s="230">
        <v>362.9</v>
      </c>
      <c r="U11" s="226">
        <v>268</v>
      </c>
      <c r="V11" s="265">
        <v>135.30000000000001</v>
      </c>
      <c r="W11" s="260">
        <v>89.4</v>
      </c>
      <c r="X11" s="15">
        <v>126.5</v>
      </c>
      <c r="Y11" s="212">
        <v>255.2</v>
      </c>
      <c r="Z11" s="269">
        <v>318.7</v>
      </c>
      <c r="AA11" s="143">
        <v>457.9</v>
      </c>
      <c r="AB11" s="274">
        <v>179.8</v>
      </c>
      <c r="AC11" s="221">
        <v>231.6</v>
      </c>
      <c r="AD11" s="15">
        <v>180.2</v>
      </c>
      <c r="AE11" s="272">
        <v>7.8</v>
      </c>
      <c r="AF11" s="15">
        <v>96.3</v>
      </c>
      <c r="AG11" s="18">
        <v>158.5</v>
      </c>
      <c r="AH11" s="278">
        <v>137.69999999999999</v>
      </c>
      <c r="AI11" s="155">
        <f t="shared" si="8"/>
        <v>6162.8</v>
      </c>
      <c r="AJ11" s="118">
        <v>78</v>
      </c>
      <c r="AK11" s="121">
        <f t="shared" si="0"/>
        <v>7.4964387464387461E-3</v>
      </c>
      <c r="AL11" s="67">
        <f t="shared" ref="AL11:AU13" si="15">IF(OR(D11="",D11="Sem monitoramento"),"VAZIO",IFERROR(D11/($AJ11*24),"-"))</f>
        <v>4.6688034188034189E-2</v>
      </c>
      <c r="AM11" s="68">
        <f t="shared" si="15"/>
        <v>0.1109508547008547</v>
      </c>
      <c r="AN11" s="68">
        <f t="shared" si="15"/>
        <v>0.13493589743589743</v>
      </c>
      <c r="AO11" s="68">
        <f t="shared" si="15"/>
        <v>0.16169871794871793</v>
      </c>
      <c r="AP11" s="68">
        <f t="shared" si="15"/>
        <v>0.13766025641025639</v>
      </c>
      <c r="AQ11" s="68">
        <f t="shared" si="15"/>
        <v>4.8130341880341876E-2</v>
      </c>
      <c r="AR11" s="68">
        <f t="shared" si="15"/>
        <v>0</v>
      </c>
      <c r="AS11" s="68">
        <f t="shared" si="15"/>
        <v>4.807692307692308E-4</v>
      </c>
      <c r="AT11" s="68">
        <f t="shared" si="15"/>
        <v>0.12708333333333333</v>
      </c>
      <c r="AU11" s="68">
        <f t="shared" si="15"/>
        <v>9.4711538461538472E-2</v>
      </c>
      <c r="AV11" s="68">
        <f t="shared" ref="AV11:BE13" si="16">IF(OR(N11="",N11="Sem monitoramento"),"VAZIO",IFERROR(N11/($AJ11*24),"-"))</f>
        <v>0.14257478632478632</v>
      </c>
      <c r="AW11" s="68">
        <f t="shared" si="16"/>
        <v>0.2266025641025641</v>
      </c>
      <c r="AX11" s="68">
        <f t="shared" si="16"/>
        <v>0.14193376068376068</v>
      </c>
      <c r="AY11" s="68">
        <f t="shared" si="16"/>
        <v>6.0042735042735045E-2</v>
      </c>
      <c r="AZ11" s="68">
        <f t="shared" si="16"/>
        <v>9.1613247863247857E-2</v>
      </c>
      <c r="BA11" s="68">
        <f t="shared" si="16"/>
        <v>0.16132478632478633</v>
      </c>
      <c r="BB11" s="68">
        <f t="shared" si="16"/>
        <v>0.19385683760683758</v>
      </c>
      <c r="BC11" s="68">
        <f t="shared" si="16"/>
        <v>0.14316239316239315</v>
      </c>
      <c r="BD11" s="68">
        <f t="shared" si="16"/>
        <v>7.2275641025641033E-2</v>
      </c>
      <c r="BE11" s="68">
        <f t="shared" si="16"/>
        <v>4.775641025641026E-2</v>
      </c>
      <c r="BF11" s="68">
        <f t="shared" ref="BF11:BI13" si="17">IF(OR(X11="",X11="Sem monitoramento"),"VAZIO",IFERROR(X11/($AJ11*24),"-"))</f>
        <v>6.7574786324786321E-2</v>
      </c>
      <c r="BG11" s="68">
        <f t="shared" si="17"/>
        <v>0.13632478632478631</v>
      </c>
      <c r="BH11" s="68">
        <f t="shared" si="17"/>
        <v>0.1702457264957265</v>
      </c>
      <c r="BI11" s="68">
        <f t="shared" si="17"/>
        <v>0.24460470085470085</v>
      </c>
      <c r="BJ11" s="68">
        <f>IF(OR(AB9="",AB9="Sem monitoramento"),"VAZIO",IFERROR(AB9/($AJ11*24),"-"))</f>
        <v>1.1965811965811965E-2</v>
      </c>
      <c r="BK11" s="68">
        <f t="shared" ref="BK11:BK28" si="18">IF(OR(AC11="",AC11="Sem monitoramento"),"VAZIO",IFERROR(AC11/($AJ11*24),"-"))</f>
        <v>0.12371794871794871</v>
      </c>
      <c r="BL11" s="68">
        <f t="shared" si="12"/>
        <v>9.6260683760683752E-2</v>
      </c>
      <c r="BM11" s="68">
        <f t="shared" si="13"/>
        <v>4.1666666666666666E-3</v>
      </c>
      <c r="BN11" s="68">
        <f t="shared" si="14"/>
        <v>5.144230769230769E-2</v>
      </c>
      <c r="BO11" s="68">
        <f t="shared" ref="BO11:BO28" si="19">IF(OR(AG11="",AG11="Sem monitoramento"),"VAZIO",IFERROR(AG11/($AJ11*24),"-"))</f>
        <v>8.4668803418803423E-2</v>
      </c>
      <c r="BP11" s="70">
        <f t="shared" si="4"/>
        <v>0.10973646723646724</v>
      </c>
      <c r="BQ11" s="198">
        <f>BQ19</f>
        <v>0.168125</v>
      </c>
      <c r="BR11" s="72">
        <f t="shared" si="5"/>
        <v>13.11375</v>
      </c>
      <c r="BS11" s="73">
        <f t="shared" si="6"/>
        <v>-3.3189102564102568E-2</v>
      </c>
      <c r="BT11" s="74">
        <f t="shared" si="7"/>
        <v>-5.8388532763532758E-2</v>
      </c>
      <c r="BU11" s="15" t="s">
        <v>13</v>
      </c>
      <c r="BV11" s="3"/>
      <c r="BW11" s="2"/>
      <c r="BX11" s="2"/>
    </row>
    <row r="12" spans="2:76" x14ac:dyDescent="0.3">
      <c r="B12" s="761"/>
      <c r="C12" s="61" t="s">
        <v>14</v>
      </c>
      <c r="D12" s="114">
        <v>47.8</v>
      </c>
      <c r="E12" s="225">
        <f>39.3+25.5</f>
        <v>64.8</v>
      </c>
      <c r="F12" s="231">
        <v>186.6</v>
      </c>
      <c r="G12" s="235">
        <v>221.9</v>
      </c>
      <c r="H12" s="235">
        <v>178.8</v>
      </c>
      <c r="I12" s="249">
        <v>310</v>
      </c>
      <c r="J12" s="250">
        <v>400</v>
      </c>
      <c r="K12" s="250">
        <v>350</v>
      </c>
      <c r="L12" s="239">
        <v>285</v>
      </c>
      <c r="M12" s="257">
        <v>150</v>
      </c>
      <c r="N12" s="231">
        <v>240</v>
      </c>
      <c r="O12" s="250">
        <v>334.6</v>
      </c>
      <c r="P12" s="239">
        <v>218</v>
      </c>
      <c r="Q12" s="261">
        <v>88</v>
      </c>
      <c r="R12" s="257">
        <v>116.3</v>
      </c>
      <c r="S12" s="231">
        <v>226.4</v>
      </c>
      <c r="T12" s="231">
        <v>254.9</v>
      </c>
      <c r="U12" s="210">
        <v>220.2</v>
      </c>
      <c r="V12" s="266">
        <v>169.7</v>
      </c>
      <c r="W12" s="261">
        <v>63</v>
      </c>
      <c r="X12" s="16">
        <v>74.8</v>
      </c>
      <c r="Y12" s="267">
        <v>179.9</v>
      </c>
      <c r="Z12" s="270">
        <v>215</v>
      </c>
      <c r="AA12" s="60">
        <v>357.2</v>
      </c>
      <c r="AB12" s="275">
        <v>122.3</v>
      </c>
      <c r="AC12" s="16">
        <v>143.19999999999999</v>
      </c>
      <c r="AD12" s="16">
        <v>124.5</v>
      </c>
      <c r="AE12" s="16">
        <v>106.5</v>
      </c>
      <c r="AF12" s="16">
        <v>215.6</v>
      </c>
      <c r="AG12" s="17">
        <v>292.3</v>
      </c>
      <c r="AH12" s="279">
        <v>263.10000000000002</v>
      </c>
      <c r="AI12" s="155">
        <f t="shared" si="8"/>
        <v>6220.4000000000005</v>
      </c>
      <c r="AJ12" s="123">
        <v>61</v>
      </c>
      <c r="AK12" s="121" t="s">
        <v>31</v>
      </c>
      <c r="AL12" s="67">
        <f t="shared" si="15"/>
        <v>3.2650273224043715E-2</v>
      </c>
      <c r="AM12" s="68">
        <f t="shared" si="15"/>
        <v>4.4262295081967211E-2</v>
      </c>
      <c r="AN12" s="68">
        <f t="shared" si="15"/>
        <v>0.12745901639344262</v>
      </c>
      <c r="AO12" s="68">
        <f t="shared" si="15"/>
        <v>0.15157103825136611</v>
      </c>
      <c r="AP12" s="68">
        <f t="shared" si="15"/>
        <v>0.12213114754098361</v>
      </c>
      <c r="AQ12" s="68">
        <f t="shared" si="15"/>
        <v>0.21174863387978143</v>
      </c>
      <c r="AR12" s="68">
        <f t="shared" si="15"/>
        <v>0.27322404371584702</v>
      </c>
      <c r="AS12" s="68">
        <f t="shared" si="15"/>
        <v>0.23907103825136611</v>
      </c>
      <c r="AT12" s="68">
        <f t="shared" si="15"/>
        <v>0.19467213114754098</v>
      </c>
      <c r="AU12" s="68">
        <f t="shared" si="15"/>
        <v>0.10245901639344263</v>
      </c>
      <c r="AV12" s="68">
        <f t="shared" si="16"/>
        <v>0.16393442622950818</v>
      </c>
      <c r="AW12" s="68">
        <f t="shared" si="16"/>
        <v>0.22855191256830604</v>
      </c>
      <c r="AX12" s="68">
        <f t="shared" si="16"/>
        <v>0.14890710382513661</v>
      </c>
      <c r="AY12" s="68">
        <f t="shared" si="16"/>
        <v>6.0109289617486336E-2</v>
      </c>
      <c r="AZ12" s="68">
        <f t="shared" si="16"/>
        <v>7.9439890710382516E-2</v>
      </c>
      <c r="BA12" s="68">
        <f t="shared" si="16"/>
        <v>0.15464480874316941</v>
      </c>
      <c r="BB12" s="68">
        <f t="shared" si="16"/>
        <v>0.17411202185792349</v>
      </c>
      <c r="BC12" s="68">
        <f t="shared" si="16"/>
        <v>0.15040983606557376</v>
      </c>
      <c r="BD12" s="68">
        <f t="shared" si="16"/>
        <v>0.11591530054644808</v>
      </c>
      <c r="BE12" s="68">
        <f t="shared" si="16"/>
        <v>4.3032786885245901E-2</v>
      </c>
      <c r="BF12" s="68">
        <f t="shared" si="17"/>
        <v>5.1092896174863386E-2</v>
      </c>
      <c r="BG12" s="68">
        <f t="shared" si="17"/>
        <v>0.12288251366120219</v>
      </c>
      <c r="BH12" s="68">
        <f t="shared" si="17"/>
        <v>0.14685792349726776</v>
      </c>
      <c r="BI12" s="68">
        <f t="shared" si="17"/>
        <v>0.24398907103825135</v>
      </c>
      <c r="BJ12" s="68">
        <f t="shared" ref="BJ12:BJ20" si="20">IF(OR(AB12="",AB12="Sem monitoramento"),"VAZIO",IFERROR(AB12/($AJ12*24),"-"))</f>
        <v>8.3538251366120211E-2</v>
      </c>
      <c r="BK12" s="68">
        <f t="shared" si="18"/>
        <v>9.7814207650273211E-2</v>
      </c>
      <c r="BL12" s="68">
        <f t="shared" si="12"/>
        <v>8.5040983606557374E-2</v>
      </c>
      <c r="BM12" s="68">
        <f t="shared" si="13"/>
        <v>7.274590163934426E-2</v>
      </c>
      <c r="BN12" s="68">
        <f t="shared" si="14"/>
        <v>0.14726775956284152</v>
      </c>
      <c r="BO12" s="68">
        <f t="shared" si="19"/>
        <v>0.19965846994535519</v>
      </c>
      <c r="BP12" s="70">
        <f t="shared" si="4"/>
        <v>0.14163023679417122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7"/>
        <v>-4.302367941712204E-2</v>
      </c>
      <c r="BU12" s="15" t="s">
        <v>14</v>
      </c>
      <c r="BV12" s="3"/>
      <c r="BW12" s="2"/>
      <c r="BX12" s="2"/>
    </row>
    <row r="13" spans="2:76" x14ac:dyDescent="0.3">
      <c r="B13" s="759" t="s">
        <v>16</v>
      </c>
      <c r="C13" s="88" t="s">
        <v>17</v>
      </c>
      <c r="D13" s="62">
        <v>96.1</v>
      </c>
      <c r="E13" s="226">
        <v>257</v>
      </c>
      <c r="F13" s="230">
        <v>286.8</v>
      </c>
      <c r="G13" s="234">
        <v>348.9</v>
      </c>
      <c r="H13" s="234">
        <v>296.89999999999998</v>
      </c>
      <c r="I13" s="248">
        <v>438.4</v>
      </c>
      <c r="J13" s="246">
        <v>522.20000000000005</v>
      </c>
      <c r="K13" s="246">
        <v>412.6</v>
      </c>
      <c r="L13" s="226">
        <v>343</v>
      </c>
      <c r="M13" s="228">
        <v>194.7</v>
      </c>
      <c r="N13" s="230">
        <v>292.89999999999998</v>
      </c>
      <c r="O13" s="246">
        <v>560.6</v>
      </c>
      <c r="P13" s="226">
        <v>346.9</v>
      </c>
      <c r="Q13" s="260">
        <v>148.6</v>
      </c>
      <c r="R13" s="228">
        <v>196.6</v>
      </c>
      <c r="S13" s="230">
        <v>346.8</v>
      </c>
      <c r="T13" s="230">
        <v>394.2</v>
      </c>
      <c r="U13" s="230">
        <v>356.1</v>
      </c>
      <c r="V13" s="215">
        <v>286.10000000000002</v>
      </c>
      <c r="W13" s="260">
        <v>107.6</v>
      </c>
      <c r="X13" s="15">
        <v>128</v>
      </c>
      <c r="Y13" s="212">
        <v>284.39999999999998</v>
      </c>
      <c r="Z13" s="269">
        <v>323.8</v>
      </c>
      <c r="AA13" s="143">
        <v>591.5</v>
      </c>
      <c r="AB13" s="273">
        <v>202.6</v>
      </c>
      <c r="AC13" s="15">
        <v>240.1</v>
      </c>
      <c r="AD13" s="15">
        <v>209.3</v>
      </c>
      <c r="AE13" s="15">
        <v>178.9</v>
      </c>
      <c r="AF13" s="15">
        <v>383.9</v>
      </c>
      <c r="AG13" s="18">
        <v>459</v>
      </c>
      <c r="AH13" s="278">
        <v>443.5</v>
      </c>
      <c r="AI13" s="155">
        <f t="shared" si="8"/>
        <v>9678.0000000000018</v>
      </c>
      <c r="AJ13" s="118">
        <v>100</v>
      </c>
      <c r="AK13" s="121">
        <f t="shared" ref="AK13:AK25" si="21">F13/(AJ13*432)</f>
        <v>6.6388888888888895E-3</v>
      </c>
      <c r="AL13" s="67">
        <f t="shared" si="15"/>
        <v>4.0041666666666663E-2</v>
      </c>
      <c r="AM13" s="68">
        <f t="shared" si="15"/>
        <v>0.10708333333333334</v>
      </c>
      <c r="AN13" s="68">
        <f t="shared" si="15"/>
        <v>0.11950000000000001</v>
      </c>
      <c r="AO13" s="68">
        <f t="shared" si="15"/>
        <v>0.145375</v>
      </c>
      <c r="AP13" s="68">
        <f t="shared" si="15"/>
        <v>0.12370833333333332</v>
      </c>
      <c r="AQ13" s="68">
        <f t="shared" si="15"/>
        <v>0.18266666666666664</v>
      </c>
      <c r="AR13" s="68">
        <f t="shared" si="15"/>
        <v>0.21758333333333335</v>
      </c>
      <c r="AS13" s="68">
        <f t="shared" si="15"/>
        <v>0.17191666666666669</v>
      </c>
      <c r="AT13" s="68">
        <f t="shared" si="15"/>
        <v>0.14291666666666666</v>
      </c>
      <c r="AU13" s="68">
        <f t="shared" si="15"/>
        <v>8.1124999999999989E-2</v>
      </c>
      <c r="AV13" s="68">
        <f t="shared" si="16"/>
        <v>0.12204166666666666</v>
      </c>
      <c r="AW13" s="68">
        <f t="shared" si="16"/>
        <v>0.23358333333333334</v>
      </c>
      <c r="AX13" s="68">
        <f t="shared" si="16"/>
        <v>0.14454166666666665</v>
      </c>
      <c r="AY13" s="68">
        <f t="shared" si="16"/>
        <v>6.1916666666666662E-2</v>
      </c>
      <c r="AZ13" s="68">
        <f t="shared" si="16"/>
        <v>8.1916666666666665E-2</v>
      </c>
      <c r="BA13" s="68">
        <f t="shared" si="16"/>
        <v>0.14450000000000002</v>
      </c>
      <c r="BB13" s="68">
        <f t="shared" si="16"/>
        <v>0.16425000000000001</v>
      </c>
      <c r="BC13" s="68">
        <f t="shared" si="16"/>
        <v>0.14837500000000001</v>
      </c>
      <c r="BD13" s="68">
        <f t="shared" si="16"/>
        <v>0.11920833333333335</v>
      </c>
      <c r="BE13" s="68">
        <f t="shared" si="16"/>
        <v>4.4833333333333329E-2</v>
      </c>
      <c r="BF13" s="68">
        <f t="shared" si="17"/>
        <v>5.3333333333333337E-2</v>
      </c>
      <c r="BG13" s="68">
        <f t="shared" si="17"/>
        <v>0.11849999999999999</v>
      </c>
      <c r="BH13" s="68">
        <f t="shared" si="17"/>
        <v>0.13491666666666668</v>
      </c>
      <c r="BI13" s="68">
        <f t="shared" si="17"/>
        <v>0.24645833333333333</v>
      </c>
      <c r="BJ13" s="68">
        <f t="shared" si="20"/>
        <v>8.4416666666666668E-2</v>
      </c>
      <c r="BK13" s="68">
        <f t="shared" si="18"/>
        <v>0.10004166666666667</v>
      </c>
      <c r="BL13" s="68">
        <f t="shared" si="12"/>
        <v>8.7208333333333332E-2</v>
      </c>
      <c r="BM13" s="68">
        <f t="shared" si="13"/>
        <v>7.4541666666666673E-2</v>
      </c>
      <c r="BN13" s="68">
        <f t="shared" si="14"/>
        <v>0.15995833333333331</v>
      </c>
      <c r="BO13" s="68">
        <f t="shared" si="19"/>
        <v>0.19125</v>
      </c>
      <c r="BP13" s="70">
        <f t="shared" si="4"/>
        <v>0.13441666666666668</v>
      </c>
      <c r="BQ13" s="198">
        <f>BQ19</f>
        <v>0.168125</v>
      </c>
      <c r="BR13" s="72">
        <f t="shared" ref="BR13:BR28" si="22">AJ13*BQ13</f>
        <v>16.8125</v>
      </c>
      <c r="BS13" s="73">
        <f t="shared" ref="BS13:BS28" si="23">AN13-BQ13</f>
        <v>-4.8624999999999988E-2</v>
      </c>
      <c r="BT13" s="74">
        <f t="shared" si="7"/>
        <v>-3.3708333333333312E-2</v>
      </c>
      <c r="BU13" s="15" t="s">
        <v>17</v>
      </c>
      <c r="BV13" s="3"/>
      <c r="BW13" s="2"/>
      <c r="BX13" s="2"/>
    </row>
    <row r="14" spans="2:76" x14ac:dyDescent="0.3">
      <c r="B14" s="760"/>
      <c r="C14" s="61" t="s">
        <v>18</v>
      </c>
      <c r="D14" s="62">
        <v>107.7</v>
      </c>
      <c r="E14" s="226">
        <v>282.60000000000002</v>
      </c>
      <c r="F14" s="230">
        <v>327.9</v>
      </c>
      <c r="G14" s="234">
        <v>396.6</v>
      </c>
      <c r="H14" s="234">
        <v>348.3</v>
      </c>
      <c r="I14" s="248">
        <v>120.1</v>
      </c>
      <c r="J14" s="248">
        <v>0</v>
      </c>
      <c r="K14" s="248">
        <v>0.3</v>
      </c>
      <c r="L14" s="226">
        <v>336.7</v>
      </c>
      <c r="M14" s="228">
        <v>238.3</v>
      </c>
      <c r="N14" s="230">
        <v>360.8</v>
      </c>
      <c r="O14" s="246">
        <v>563.20000000000005</v>
      </c>
      <c r="P14" s="226">
        <v>355.2</v>
      </c>
      <c r="Q14" s="260">
        <v>144.6</v>
      </c>
      <c r="R14" s="228">
        <v>232.8</v>
      </c>
      <c r="S14" s="230">
        <v>403.6</v>
      </c>
      <c r="T14" s="230">
        <v>462.9</v>
      </c>
      <c r="U14" s="226">
        <v>363.8</v>
      </c>
      <c r="V14" s="265">
        <v>175.6</v>
      </c>
      <c r="W14" s="260">
        <v>112.5</v>
      </c>
      <c r="X14" s="15">
        <v>165.3</v>
      </c>
      <c r="Y14" s="212">
        <v>335.7</v>
      </c>
      <c r="Z14" s="269">
        <v>418.3</v>
      </c>
      <c r="AA14" s="143">
        <v>613.70000000000005</v>
      </c>
      <c r="AB14" s="273">
        <v>240.7</v>
      </c>
      <c r="AC14" s="221">
        <v>304.39999999999998</v>
      </c>
      <c r="AD14" s="15">
        <v>241.3</v>
      </c>
      <c r="AE14" s="15">
        <v>276.10000000000002</v>
      </c>
      <c r="AF14" s="15">
        <v>316.8</v>
      </c>
      <c r="AG14" s="18">
        <v>507.7</v>
      </c>
      <c r="AH14" s="278">
        <v>443.4</v>
      </c>
      <c r="AI14" s="155">
        <f t="shared" si="8"/>
        <v>9196.9</v>
      </c>
      <c r="AJ14" s="118">
        <v>100</v>
      </c>
      <c r="AK14" s="121">
        <f t="shared" si="21"/>
        <v>7.5902777777777774E-3</v>
      </c>
      <c r="AL14" s="67">
        <f t="shared" ref="AL14:BA18" si="24">IF(OR(D14="",D14="Sem monitoramento"),"VAZIO",IFERROR(D14/($AJ14*24),"-"))</f>
        <v>4.4874999999999998E-2</v>
      </c>
      <c r="AM14" s="68">
        <f t="shared" si="24"/>
        <v>0.11775000000000001</v>
      </c>
      <c r="AN14" s="68">
        <f t="shared" si="24"/>
        <v>0.136625</v>
      </c>
      <c r="AO14" s="68">
        <f t="shared" si="24"/>
        <v>0.16525000000000001</v>
      </c>
      <c r="AP14" s="68">
        <f t="shared" si="24"/>
        <v>0.145125</v>
      </c>
      <c r="AQ14" s="68">
        <f t="shared" si="24"/>
        <v>5.0041666666666665E-2</v>
      </c>
      <c r="AR14" s="68">
        <f t="shared" si="24"/>
        <v>0</v>
      </c>
      <c r="AS14" s="68">
        <f t="shared" si="24"/>
        <v>1.25E-4</v>
      </c>
      <c r="AT14" s="68">
        <f t="shared" si="24"/>
        <v>0.14029166666666668</v>
      </c>
      <c r="AU14" s="68">
        <f t="shared" si="24"/>
        <v>9.9291666666666667E-2</v>
      </c>
      <c r="AV14" s="68">
        <f t="shared" si="24"/>
        <v>0.15033333333333335</v>
      </c>
      <c r="AW14" s="68">
        <f t="shared" si="24"/>
        <v>0.23466666666666669</v>
      </c>
      <c r="AX14" s="68">
        <f t="shared" si="24"/>
        <v>0.14799999999999999</v>
      </c>
      <c r="AY14" s="68">
        <f t="shared" si="24"/>
        <v>6.0249999999999998E-2</v>
      </c>
      <c r="AZ14" s="68">
        <f t="shared" si="24"/>
        <v>9.7000000000000003E-2</v>
      </c>
      <c r="BA14" s="68">
        <f t="shared" si="24"/>
        <v>0.16816666666666669</v>
      </c>
      <c r="BB14" s="68" t="e">
        <f>IF(OR(#REF!="",#REF!="Sem monitoramento"),"VAZIO",IFERROR(#REF!/($AJ14*24),"-"))</f>
        <v>#REF!</v>
      </c>
      <c r="BC14" s="68">
        <f t="shared" ref="BC14:BC28" si="25">IF(OR(U14="",U14="Sem monitoramento"),"VAZIO",IFERROR(U14/($AJ14*24),"-"))</f>
        <v>0.15158333333333335</v>
      </c>
      <c r="BD14" s="68">
        <f t="shared" ref="BD14:BD28" si="26">IF(OR(V14="",V14="Sem monitoramento"),"VAZIO",IFERROR(V14/($AJ14*24),"-"))</f>
        <v>7.3166666666666658E-2</v>
      </c>
      <c r="BE14" s="68">
        <f t="shared" ref="BE14:BE28" si="27">IF(OR(W14="",W14="Sem monitoramento"),"VAZIO",IFERROR(W14/($AJ14*24),"-"))</f>
        <v>4.6875E-2</v>
      </c>
      <c r="BF14" s="68">
        <f t="shared" ref="BF14:BF28" si="28">IF(OR(X14="",X14="Sem monitoramento"),"VAZIO",IFERROR(X14/($AJ14*24),"-"))</f>
        <v>6.8875000000000006E-2</v>
      </c>
      <c r="BG14" s="68">
        <f t="shared" ref="BG14:BG28" si="29">IF(OR(Y14="",Y14="Sem monitoramento"),"VAZIO",IFERROR(Y14/($AJ14*24),"-"))</f>
        <v>0.139875</v>
      </c>
      <c r="BH14" s="68">
        <f t="shared" ref="BH14:BH28" si="30">IF(OR(Z14="",Z14="Sem monitoramento"),"VAZIO",IFERROR(Z14/($AJ14*24),"-"))</f>
        <v>0.17429166666666668</v>
      </c>
      <c r="BI14" s="68">
        <f t="shared" ref="BI14:BI28" si="31">IF(OR(AA14="",AA14="Sem monitoramento"),"VAZIO",IFERROR(AA14/($AJ14*24),"-"))</f>
        <v>0.25570833333333337</v>
      </c>
      <c r="BJ14" s="68">
        <f t="shared" si="20"/>
        <v>0.10029166666666667</v>
      </c>
      <c r="BK14" s="68">
        <f t="shared" si="18"/>
        <v>0.12683333333333333</v>
      </c>
      <c r="BL14" s="68">
        <f t="shared" si="12"/>
        <v>0.10054166666666667</v>
      </c>
      <c r="BM14" s="68">
        <f t="shared" si="13"/>
        <v>0.11504166666666668</v>
      </c>
      <c r="BN14" s="68">
        <f t="shared" si="14"/>
        <v>0.13200000000000001</v>
      </c>
      <c r="BO14" s="68">
        <f t="shared" si="19"/>
        <v>0.21154166666666666</v>
      </c>
      <c r="BP14" s="70">
        <f t="shared" si="4"/>
        <v>0.12773472222222221</v>
      </c>
      <c r="BQ14" s="198">
        <f>$BQ$19</f>
        <v>0.168125</v>
      </c>
      <c r="BR14" s="72">
        <f t="shared" si="22"/>
        <v>16.8125</v>
      </c>
      <c r="BS14" s="73">
        <f t="shared" si="23"/>
        <v>-3.15E-2</v>
      </c>
      <c r="BT14" s="74">
        <f t="shared" si="7"/>
        <v>-4.0390277777777789E-2</v>
      </c>
      <c r="BU14" s="15" t="s">
        <v>18</v>
      </c>
      <c r="BV14" s="3"/>
      <c r="BW14" s="2"/>
      <c r="BX14" s="2"/>
    </row>
    <row r="15" spans="2:76" x14ac:dyDescent="0.3">
      <c r="B15" s="760"/>
      <c r="C15" s="61" t="s">
        <v>110</v>
      </c>
      <c r="D15" s="62">
        <v>29.4</v>
      </c>
      <c r="E15" s="226">
        <v>79.5</v>
      </c>
      <c r="F15" s="230">
        <v>95.1</v>
      </c>
      <c r="G15" s="234">
        <v>115.3</v>
      </c>
      <c r="H15" s="234">
        <v>96.9</v>
      </c>
      <c r="I15" s="248">
        <v>32.700000000000003</v>
      </c>
      <c r="J15" s="248">
        <v>0</v>
      </c>
      <c r="K15" s="248">
        <v>0.1</v>
      </c>
      <c r="L15" s="226">
        <v>94.9</v>
      </c>
      <c r="M15" s="228">
        <v>64.400000000000006</v>
      </c>
      <c r="N15" s="230">
        <v>105.5</v>
      </c>
      <c r="O15" s="246">
        <v>157.30000000000001</v>
      </c>
      <c r="P15" s="226">
        <v>100.6</v>
      </c>
      <c r="Q15" s="260">
        <v>39.200000000000003</v>
      </c>
      <c r="R15" s="228">
        <v>63.3</v>
      </c>
      <c r="S15" s="230">
        <v>118.7</v>
      </c>
      <c r="T15" s="230">
        <v>137.6</v>
      </c>
      <c r="U15" s="212">
        <v>104.7</v>
      </c>
      <c r="V15" s="265">
        <v>50.3</v>
      </c>
      <c r="W15" s="260">
        <v>30.2</v>
      </c>
      <c r="X15" s="15">
        <v>44.9</v>
      </c>
      <c r="Y15" s="212">
        <v>96.1</v>
      </c>
      <c r="Z15" s="269">
        <v>122.7</v>
      </c>
      <c r="AA15" s="143">
        <v>170.4</v>
      </c>
      <c r="AB15" s="273">
        <v>67.400000000000006</v>
      </c>
      <c r="AC15" s="221">
        <v>84.9</v>
      </c>
      <c r="AD15" s="221">
        <v>65.900000000000006</v>
      </c>
      <c r="AE15" s="15">
        <v>78.3</v>
      </c>
      <c r="AF15" s="15">
        <v>84.6</v>
      </c>
      <c r="AG15" s="18">
        <v>146.6</v>
      </c>
      <c r="AH15" s="278">
        <v>124.9</v>
      </c>
      <c r="AI15" s="155">
        <f t="shared" si="8"/>
        <v>2602.4000000000005</v>
      </c>
      <c r="AJ15" s="118">
        <v>29</v>
      </c>
      <c r="AK15" s="121">
        <f t="shared" si="21"/>
        <v>7.5909961685823747E-3</v>
      </c>
      <c r="AL15" s="67">
        <f t="shared" si="24"/>
        <v>4.2241379310344829E-2</v>
      </c>
      <c r="AM15" s="68">
        <f t="shared" si="24"/>
        <v>0.11422413793103449</v>
      </c>
      <c r="AN15" s="68">
        <f t="shared" si="24"/>
        <v>0.13663793103448274</v>
      </c>
      <c r="AO15" s="68">
        <f t="shared" si="24"/>
        <v>0.16566091954022988</v>
      </c>
      <c r="AP15" s="68">
        <f t="shared" si="24"/>
        <v>0.1392241379310345</v>
      </c>
      <c r="AQ15" s="68">
        <f t="shared" si="24"/>
        <v>4.6982758620689659E-2</v>
      </c>
      <c r="AR15" s="68">
        <f t="shared" si="24"/>
        <v>0</v>
      </c>
      <c r="AS15" s="68">
        <f t="shared" si="24"/>
        <v>1.4367816091954023E-4</v>
      </c>
      <c r="AT15" s="68">
        <f t="shared" si="24"/>
        <v>0.1363505747126437</v>
      </c>
      <c r="AU15" s="68">
        <f t="shared" si="24"/>
        <v>9.2528735632183917E-2</v>
      </c>
      <c r="AV15" s="68">
        <f t="shared" si="24"/>
        <v>0.15158045977011494</v>
      </c>
      <c r="AW15" s="68">
        <f t="shared" si="24"/>
        <v>0.22600574712643678</v>
      </c>
      <c r="AX15" s="68">
        <f t="shared" si="24"/>
        <v>0.14454022988505746</v>
      </c>
      <c r="AY15" s="68">
        <f t="shared" si="24"/>
        <v>5.6321839080459776E-2</v>
      </c>
      <c r="AZ15" s="68">
        <f t="shared" si="24"/>
        <v>9.0948275862068967E-2</v>
      </c>
      <c r="BA15" s="68">
        <f t="shared" si="24"/>
        <v>0.17054597701149427</v>
      </c>
      <c r="BB15" s="68">
        <f>IF(OR(T15="",T15="Sem monitoramento"),"VAZIO",IFERROR(T15/($AJ15*24),"-"))</f>
        <v>0.19770114942528735</v>
      </c>
      <c r="BC15" s="68">
        <f t="shared" si="25"/>
        <v>0.15043103448275863</v>
      </c>
      <c r="BD15" s="68">
        <f t="shared" si="26"/>
        <v>7.2270114942528732E-2</v>
      </c>
      <c r="BE15" s="68">
        <f t="shared" si="27"/>
        <v>4.3390804597701151E-2</v>
      </c>
      <c r="BF15" s="68">
        <f t="shared" si="28"/>
        <v>6.4511494252873558E-2</v>
      </c>
      <c r="BG15" s="68">
        <f t="shared" si="29"/>
        <v>0.13807471264367815</v>
      </c>
      <c r="BH15" s="68">
        <f t="shared" si="30"/>
        <v>0.17629310344827587</v>
      </c>
      <c r="BI15" s="68">
        <f t="shared" si="31"/>
        <v>0.24482758620689657</v>
      </c>
      <c r="BJ15" s="68">
        <f t="shared" si="20"/>
        <v>9.6839080459770119E-2</v>
      </c>
      <c r="BK15" s="68">
        <f t="shared" si="18"/>
        <v>0.12198275862068966</v>
      </c>
      <c r="BL15" s="68">
        <f t="shared" si="12"/>
        <v>9.4683908045977025E-2</v>
      </c>
      <c r="BM15" s="68">
        <f t="shared" si="13"/>
        <v>0.1125</v>
      </c>
      <c r="BN15" s="68">
        <f t="shared" si="14"/>
        <v>0.12155172413793103</v>
      </c>
      <c r="BO15" s="68">
        <f t="shared" si="19"/>
        <v>0.21063218390804597</v>
      </c>
      <c r="BP15" s="70">
        <f t="shared" si="4"/>
        <v>0.12463601532567052</v>
      </c>
      <c r="BQ15" s="180">
        <f>'FCs estimados em PVsyst'!Y13</f>
        <v>0.1850095785440613</v>
      </c>
      <c r="BR15" s="72">
        <f t="shared" si="22"/>
        <v>5.365277777777778</v>
      </c>
      <c r="BS15" s="73">
        <f t="shared" si="23"/>
        <v>-4.8371647509578564E-2</v>
      </c>
      <c r="BT15" s="74">
        <f t="shared" si="7"/>
        <v>-6.0373563218390783E-2</v>
      </c>
      <c r="BU15" s="15" t="s">
        <v>110</v>
      </c>
      <c r="BV15" s="3"/>
      <c r="BW15" s="2"/>
      <c r="BX15" s="2"/>
    </row>
    <row r="16" spans="2:76" x14ac:dyDescent="0.3">
      <c r="B16" s="762"/>
      <c r="C16" s="61" t="s">
        <v>20</v>
      </c>
      <c r="D16" s="62">
        <v>111.6</v>
      </c>
      <c r="E16" s="226">
        <v>263.7</v>
      </c>
      <c r="F16" s="230">
        <v>275.39999999999998</v>
      </c>
      <c r="G16" s="234">
        <v>374.9</v>
      </c>
      <c r="H16" s="234">
        <v>332.9</v>
      </c>
      <c r="I16" s="246">
        <v>514.79999999999995</v>
      </c>
      <c r="J16" s="246">
        <v>470.2</v>
      </c>
      <c r="K16" s="246">
        <v>414.7</v>
      </c>
      <c r="L16" s="226">
        <v>348.7</v>
      </c>
      <c r="M16" s="228">
        <v>219.2</v>
      </c>
      <c r="N16" s="230">
        <v>369.1</v>
      </c>
      <c r="O16" s="246">
        <v>518</v>
      </c>
      <c r="P16" s="255">
        <v>8.1999999999999993</v>
      </c>
      <c r="Q16" s="260">
        <v>163.6</v>
      </c>
      <c r="R16" s="228">
        <v>242.4</v>
      </c>
      <c r="S16" s="230">
        <v>422.6</v>
      </c>
      <c r="T16" s="263">
        <v>425.7</v>
      </c>
      <c r="U16" s="212">
        <v>375.9</v>
      </c>
      <c r="V16" s="215">
        <v>159.69999999999999</v>
      </c>
      <c r="W16" s="260">
        <v>116.2</v>
      </c>
      <c r="X16" s="15">
        <v>140.9</v>
      </c>
      <c r="Y16" s="212">
        <v>400.7</v>
      </c>
      <c r="Z16" s="269">
        <v>462.6</v>
      </c>
      <c r="AA16" s="143">
        <v>532.6</v>
      </c>
      <c r="AB16" s="273">
        <v>211.2</v>
      </c>
      <c r="AC16" s="15">
        <v>350.2</v>
      </c>
      <c r="AD16" s="15">
        <v>269.5</v>
      </c>
      <c r="AE16" s="15">
        <v>244.3</v>
      </c>
      <c r="AF16" s="15">
        <v>332.9</v>
      </c>
      <c r="AG16" s="18">
        <v>433.2</v>
      </c>
      <c r="AH16" s="278">
        <v>311.89999999999998</v>
      </c>
      <c r="AI16" s="155">
        <f t="shared" si="8"/>
        <v>9817.4999999999982</v>
      </c>
      <c r="AJ16" s="118">
        <v>100</v>
      </c>
      <c r="AK16" s="121">
        <f t="shared" si="21"/>
        <v>6.3749999999999996E-3</v>
      </c>
      <c r="AL16" s="67">
        <f t="shared" si="24"/>
        <v>4.65E-2</v>
      </c>
      <c r="AM16" s="68">
        <f t="shared" si="24"/>
        <v>0.109875</v>
      </c>
      <c r="AN16" s="68">
        <f t="shared" si="24"/>
        <v>0.11474999999999999</v>
      </c>
      <c r="AO16" s="68">
        <f t="shared" si="24"/>
        <v>0.15620833333333331</v>
      </c>
      <c r="AP16" s="68">
        <f t="shared" si="24"/>
        <v>0.13870833333333332</v>
      </c>
      <c r="AQ16" s="68">
        <f t="shared" si="24"/>
        <v>0.21449999999999997</v>
      </c>
      <c r="AR16" s="68">
        <f t="shared" si="24"/>
        <v>0.19591666666666666</v>
      </c>
      <c r="AS16" s="68">
        <f t="shared" si="24"/>
        <v>0.17279166666666665</v>
      </c>
      <c r="AT16" s="68">
        <f t="shared" si="24"/>
        <v>0.14529166666666665</v>
      </c>
      <c r="AU16" s="68">
        <f t="shared" si="24"/>
        <v>9.1333333333333322E-2</v>
      </c>
      <c r="AV16" s="68">
        <f t="shared" si="24"/>
        <v>0.15379166666666669</v>
      </c>
      <c r="AW16" s="68">
        <f t="shared" si="24"/>
        <v>0.21583333333333332</v>
      </c>
      <c r="AX16" s="68">
        <f t="shared" si="24"/>
        <v>3.4166666666666664E-3</v>
      </c>
      <c r="AY16" s="68">
        <f t="shared" si="24"/>
        <v>6.8166666666666667E-2</v>
      </c>
      <c r="AZ16" s="68">
        <f t="shared" si="24"/>
        <v>0.10100000000000001</v>
      </c>
      <c r="BA16" s="68">
        <f t="shared" si="24"/>
        <v>0.17608333333333334</v>
      </c>
      <c r="BB16" s="68">
        <f>IF(OR(T14="",T14="Sem monitoramento"),"VAZIO",IFERROR(T14/($AJ16*24),"-"))</f>
        <v>0.19287499999999999</v>
      </c>
      <c r="BC16" s="68">
        <f t="shared" si="25"/>
        <v>0.15662499999999999</v>
      </c>
      <c r="BD16" s="68">
        <f t="shared" si="26"/>
        <v>6.6541666666666666E-2</v>
      </c>
      <c r="BE16" s="68">
        <f t="shared" si="27"/>
        <v>4.841666666666667E-2</v>
      </c>
      <c r="BF16" s="68">
        <f t="shared" si="28"/>
        <v>5.8708333333333335E-2</v>
      </c>
      <c r="BG16" s="68">
        <f t="shared" si="29"/>
        <v>0.16695833333333332</v>
      </c>
      <c r="BH16" s="68">
        <f t="shared" si="30"/>
        <v>0.19275</v>
      </c>
      <c r="BI16" s="68">
        <f t="shared" si="31"/>
        <v>0.22191666666666668</v>
      </c>
      <c r="BJ16" s="68">
        <f t="shared" si="20"/>
        <v>8.7999999999999995E-2</v>
      </c>
      <c r="BK16" s="68">
        <f t="shared" si="18"/>
        <v>0.14591666666666667</v>
      </c>
      <c r="BL16" s="68">
        <f t="shared" si="12"/>
        <v>0.11229166666666666</v>
      </c>
      <c r="BM16" s="68">
        <f t="shared" si="13"/>
        <v>0.10179166666666667</v>
      </c>
      <c r="BN16" s="68">
        <f t="shared" si="14"/>
        <v>0.13870833333333332</v>
      </c>
      <c r="BO16" s="68">
        <f t="shared" si="19"/>
        <v>0.18049999999999999</v>
      </c>
      <c r="BP16" s="70">
        <f t="shared" si="4"/>
        <v>0.13635416666666664</v>
      </c>
      <c r="BQ16" s="180">
        <f>'FCs estimados em PVsyst'!Y14</f>
        <v>0.16425000000000001</v>
      </c>
      <c r="BR16" s="72">
        <f t="shared" si="22"/>
        <v>16.425000000000001</v>
      </c>
      <c r="BS16" s="73">
        <f t="shared" si="23"/>
        <v>-4.9500000000000016E-2</v>
      </c>
      <c r="BT16" s="74">
        <f t="shared" si="7"/>
        <v>-2.789583333333337E-2</v>
      </c>
      <c r="BU16" s="15" t="s">
        <v>20</v>
      </c>
      <c r="BV16" s="3"/>
      <c r="BW16" s="2"/>
      <c r="BX16" s="2"/>
    </row>
    <row r="17" spans="2:76" x14ac:dyDescent="0.3">
      <c r="B17" s="763" t="s">
        <v>21</v>
      </c>
      <c r="C17" s="61" t="s">
        <v>22</v>
      </c>
      <c r="D17" s="62">
        <v>72.900000000000006</v>
      </c>
      <c r="E17" s="226">
        <v>242.7</v>
      </c>
      <c r="F17" s="231">
        <v>430.2</v>
      </c>
      <c r="G17" s="235">
        <v>384.8</v>
      </c>
      <c r="H17" s="239">
        <v>258.39999999999998</v>
      </c>
      <c r="I17" s="250">
        <v>487.1</v>
      </c>
      <c r="J17" s="250">
        <v>502.5</v>
      </c>
      <c r="K17" s="246">
        <v>443.2</v>
      </c>
      <c r="L17" s="226">
        <v>348.6</v>
      </c>
      <c r="M17" s="228">
        <v>219.6</v>
      </c>
      <c r="N17" s="230">
        <v>347.9</v>
      </c>
      <c r="O17" s="246">
        <v>513.20000000000005</v>
      </c>
      <c r="P17" s="259">
        <v>413.1</v>
      </c>
      <c r="Q17" s="260">
        <v>165.5</v>
      </c>
      <c r="R17" s="226">
        <v>317.60000000000002</v>
      </c>
      <c r="S17" s="230">
        <v>421.1</v>
      </c>
      <c r="T17" s="230">
        <v>483</v>
      </c>
      <c r="U17" s="230">
        <v>410.7</v>
      </c>
      <c r="V17" s="215">
        <v>212.4</v>
      </c>
      <c r="W17" s="260">
        <v>97.1</v>
      </c>
      <c r="X17" s="15">
        <v>137.5</v>
      </c>
      <c r="Y17" s="212">
        <v>316.39999999999998</v>
      </c>
      <c r="Z17" s="269">
        <v>394.3</v>
      </c>
      <c r="AA17" s="143">
        <v>545.29999999999995</v>
      </c>
      <c r="AB17" s="215">
        <v>236.5</v>
      </c>
      <c r="AC17" s="15">
        <v>227.9</v>
      </c>
      <c r="AD17" s="221">
        <v>281.7</v>
      </c>
      <c r="AE17" s="15">
        <v>196</v>
      </c>
      <c r="AF17" s="15">
        <v>381.8</v>
      </c>
      <c r="AG17" s="18">
        <v>546.5</v>
      </c>
      <c r="AH17" s="278">
        <v>465.8</v>
      </c>
      <c r="AI17" s="155">
        <f t="shared" si="8"/>
        <v>10501.3</v>
      </c>
      <c r="AJ17" s="118">
        <v>100</v>
      </c>
      <c r="AK17" s="122">
        <f t="shared" si="21"/>
        <v>9.9583333333333329E-3</v>
      </c>
      <c r="AL17" s="67">
        <f t="shared" si="24"/>
        <v>3.0375000000000003E-2</v>
      </c>
      <c r="AM17" s="68">
        <f t="shared" si="24"/>
        <v>0.10112499999999999</v>
      </c>
      <c r="AN17" s="68">
        <f t="shared" si="24"/>
        <v>0.17924999999999999</v>
      </c>
      <c r="AO17" s="68">
        <f t="shared" si="24"/>
        <v>0.16033333333333333</v>
      </c>
      <c r="AP17" s="68">
        <f t="shared" si="24"/>
        <v>0.10766666666666666</v>
      </c>
      <c r="AQ17" s="68">
        <f t="shared" si="24"/>
        <v>0.20295833333333335</v>
      </c>
      <c r="AR17" s="68">
        <f t="shared" si="24"/>
        <v>0.20937500000000001</v>
      </c>
      <c r="AS17" s="68">
        <f t="shared" si="24"/>
        <v>0.18466666666666667</v>
      </c>
      <c r="AT17" s="68">
        <f t="shared" si="24"/>
        <v>0.14525000000000002</v>
      </c>
      <c r="AU17" s="68">
        <f t="shared" si="24"/>
        <v>9.1499999999999998E-2</v>
      </c>
      <c r="AV17" s="68">
        <f t="shared" si="24"/>
        <v>0.14495833333333333</v>
      </c>
      <c r="AW17" s="68">
        <f t="shared" si="24"/>
        <v>0.21383333333333335</v>
      </c>
      <c r="AX17" s="68">
        <f t="shared" si="24"/>
        <v>0.172125</v>
      </c>
      <c r="AY17" s="68">
        <f t="shared" si="24"/>
        <v>6.895833333333333E-2</v>
      </c>
      <c r="AZ17" s="68">
        <f t="shared" si="24"/>
        <v>0.13233333333333333</v>
      </c>
      <c r="BA17" s="68">
        <f t="shared" si="24"/>
        <v>0.17545833333333336</v>
      </c>
      <c r="BB17" s="68">
        <f t="shared" ref="BB17:BB28" si="32">IF(OR(T17="",T17="Sem monitoramento"),"VAZIO",IFERROR(T17/($AJ17*24),"-"))</f>
        <v>0.20125000000000001</v>
      </c>
      <c r="BC17" s="68">
        <f t="shared" si="25"/>
        <v>0.171125</v>
      </c>
      <c r="BD17" s="68">
        <f t="shared" si="26"/>
        <v>8.8500000000000009E-2</v>
      </c>
      <c r="BE17" s="68">
        <f t="shared" si="27"/>
        <v>4.0458333333333332E-2</v>
      </c>
      <c r="BF17" s="68">
        <f t="shared" si="28"/>
        <v>5.7291666666666664E-2</v>
      </c>
      <c r="BG17" s="68">
        <f t="shared" si="29"/>
        <v>0.13183333333333333</v>
      </c>
      <c r="BH17" s="68">
        <f t="shared" si="30"/>
        <v>0.16429166666666667</v>
      </c>
      <c r="BI17" s="68">
        <f t="shared" si="31"/>
        <v>0.22720833333333332</v>
      </c>
      <c r="BJ17" s="68">
        <f t="shared" si="20"/>
        <v>9.8541666666666666E-2</v>
      </c>
      <c r="BK17" s="68">
        <f t="shared" si="18"/>
        <v>9.4958333333333339E-2</v>
      </c>
      <c r="BL17" s="68">
        <f t="shared" si="12"/>
        <v>0.11737499999999999</v>
      </c>
      <c r="BM17" s="68">
        <f t="shared" si="13"/>
        <v>8.1666666666666665E-2</v>
      </c>
      <c r="BN17" s="68">
        <f t="shared" si="14"/>
        <v>0.15908333333333333</v>
      </c>
      <c r="BO17" s="68">
        <f t="shared" si="19"/>
        <v>0.22770833333333335</v>
      </c>
      <c r="BP17" s="70">
        <f t="shared" si="4"/>
        <v>0.14585138888888888</v>
      </c>
      <c r="BQ17" s="198">
        <f>$BQ$19</f>
        <v>0.168125</v>
      </c>
      <c r="BR17" s="90">
        <f t="shared" si="22"/>
        <v>16.8125</v>
      </c>
      <c r="BS17" s="73">
        <f t="shared" si="23"/>
        <v>1.1124999999999996E-2</v>
      </c>
      <c r="BT17" s="74">
        <f t="shared" si="7"/>
        <v>-2.2273611111111119E-2</v>
      </c>
      <c r="BU17" s="15" t="s">
        <v>22</v>
      </c>
      <c r="BV17" s="3"/>
      <c r="BW17" s="2"/>
      <c r="BX17" s="2"/>
    </row>
    <row r="18" spans="2:76" x14ac:dyDescent="0.3">
      <c r="B18" s="763"/>
      <c r="C18" s="61" t="s">
        <v>23</v>
      </c>
      <c r="D18" s="62">
        <v>78.099999999999994</v>
      </c>
      <c r="E18" s="226">
        <v>260.7</v>
      </c>
      <c r="F18" s="231">
        <v>465.9</v>
      </c>
      <c r="G18" s="234">
        <v>409.1</v>
      </c>
      <c r="H18" s="226">
        <v>282.10000000000002</v>
      </c>
      <c r="I18" s="246">
        <v>516.1</v>
      </c>
      <c r="J18" s="246">
        <v>533.1</v>
      </c>
      <c r="K18" s="246">
        <v>470.9</v>
      </c>
      <c r="L18" s="226">
        <v>372</v>
      </c>
      <c r="M18" s="228">
        <v>234.5</v>
      </c>
      <c r="N18" s="230">
        <v>395.4</v>
      </c>
      <c r="O18" s="246">
        <v>539.20000000000005</v>
      </c>
      <c r="P18" s="230">
        <v>439</v>
      </c>
      <c r="Q18" s="260">
        <v>175.7</v>
      </c>
      <c r="R18" s="226">
        <v>340</v>
      </c>
      <c r="S18" s="230">
        <v>456</v>
      </c>
      <c r="T18" s="230">
        <v>515.4</v>
      </c>
      <c r="U18" s="230">
        <v>437.7</v>
      </c>
      <c r="V18" s="215">
        <v>229</v>
      </c>
      <c r="W18" s="260">
        <v>105.2</v>
      </c>
      <c r="X18" s="15">
        <v>148.4</v>
      </c>
      <c r="Y18" s="212">
        <v>348.1</v>
      </c>
      <c r="Z18" s="269">
        <v>443.6</v>
      </c>
      <c r="AA18" s="143">
        <v>581.5</v>
      </c>
      <c r="AB18" s="215">
        <v>263.7</v>
      </c>
      <c r="AC18" s="15">
        <v>245.5</v>
      </c>
      <c r="AD18" s="221">
        <v>291.10000000000002</v>
      </c>
      <c r="AE18" s="15">
        <v>205.1</v>
      </c>
      <c r="AF18" s="15">
        <v>393.4</v>
      </c>
      <c r="AG18" s="18">
        <v>570.70000000000005</v>
      </c>
      <c r="AH18" s="278">
        <v>319.39999999999998</v>
      </c>
      <c r="AI18" s="155">
        <f t="shared" si="8"/>
        <v>11065.6</v>
      </c>
      <c r="AJ18" s="118">
        <v>100</v>
      </c>
      <c r="AK18" s="122">
        <f t="shared" si="21"/>
        <v>1.0784722222222222E-2</v>
      </c>
      <c r="AL18" s="67">
        <f t="shared" si="24"/>
        <v>3.2541666666666663E-2</v>
      </c>
      <c r="AM18" s="68">
        <f t="shared" si="24"/>
        <v>0.108625</v>
      </c>
      <c r="AN18" s="68">
        <f t="shared" si="24"/>
        <v>0.19412499999999999</v>
      </c>
      <c r="AO18" s="68">
        <f t="shared" si="24"/>
        <v>0.17045833333333335</v>
      </c>
      <c r="AP18" s="68">
        <f t="shared" si="24"/>
        <v>0.11754166666666667</v>
      </c>
      <c r="AQ18" s="68">
        <f t="shared" si="24"/>
        <v>0.21504166666666669</v>
      </c>
      <c r="AR18" s="68">
        <f t="shared" si="24"/>
        <v>0.22212500000000002</v>
      </c>
      <c r="AS18" s="68">
        <f t="shared" si="24"/>
        <v>0.19620833333333332</v>
      </c>
      <c r="AT18" s="68">
        <f t="shared" si="24"/>
        <v>0.155</v>
      </c>
      <c r="AU18" s="68">
        <f t="shared" si="24"/>
        <v>9.7708333333333328E-2</v>
      </c>
      <c r="AV18" s="68">
        <f t="shared" si="24"/>
        <v>0.16474999999999998</v>
      </c>
      <c r="AW18" s="68">
        <f t="shared" si="24"/>
        <v>0.22466666666666668</v>
      </c>
      <c r="AX18" s="68">
        <f t="shared" si="24"/>
        <v>0.18291666666666667</v>
      </c>
      <c r="AY18" s="68">
        <f t="shared" si="24"/>
        <v>7.3208333333333334E-2</v>
      </c>
      <c r="AZ18" s="68">
        <f t="shared" si="24"/>
        <v>0.14166666666666666</v>
      </c>
      <c r="BA18" s="68">
        <f t="shared" si="24"/>
        <v>0.19</v>
      </c>
      <c r="BB18" s="68">
        <f t="shared" si="32"/>
        <v>0.21475</v>
      </c>
      <c r="BC18" s="68">
        <f t="shared" si="25"/>
        <v>0.18237499999999998</v>
      </c>
      <c r="BD18" s="68">
        <f t="shared" si="26"/>
        <v>9.5416666666666664E-2</v>
      </c>
      <c r="BE18" s="68">
        <f t="shared" si="27"/>
        <v>4.3833333333333335E-2</v>
      </c>
      <c r="BF18" s="68">
        <f t="shared" si="28"/>
        <v>6.1833333333333337E-2</v>
      </c>
      <c r="BG18" s="68">
        <f t="shared" si="29"/>
        <v>0.14504166666666668</v>
      </c>
      <c r="BH18" s="68">
        <f t="shared" si="30"/>
        <v>0.18483333333333335</v>
      </c>
      <c r="BI18" s="68">
        <f t="shared" si="31"/>
        <v>0.24229166666666666</v>
      </c>
      <c r="BJ18" s="68">
        <f t="shared" si="20"/>
        <v>0.109875</v>
      </c>
      <c r="BK18" s="68">
        <f t="shared" si="18"/>
        <v>0.10229166666666667</v>
      </c>
      <c r="BL18" s="68">
        <f t="shared" si="12"/>
        <v>0.12129166666666667</v>
      </c>
      <c r="BM18" s="68">
        <f t="shared" si="13"/>
        <v>8.5458333333333331E-2</v>
      </c>
      <c r="BN18" s="68">
        <f t="shared" si="14"/>
        <v>0.16391666666666665</v>
      </c>
      <c r="BO18" s="68">
        <f t="shared" si="19"/>
        <v>0.23779166666666668</v>
      </c>
      <c r="BP18" s="70">
        <f t="shared" si="4"/>
        <v>0.1536888888888889</v>
      </c>
      <c r="BQ18" s="198">
        <f>$BQ$19</f>
        <v>0.168125</v>
      </c>
      <c r="BR18" s="90">
        <f t="shared" si="22"/>
        <v>16.8125</v>
      </c>
      <c r="BS18" s="73">
        <f t="shared" si="23"/>
        <v>2.5999999999999995E-2</v>
      </c>
      <c r="BT18" s="74">
        <f t="shared" si="7"/>
        <v>-1.4436111111111094E-2</v>
      </c>
      <c r="BU18" s="15" t="s">
        <v>23</v>
      </c>
      <c r="BV18" s="3"/>
      <c r="BW18" s="2"/>
      <c r="BX18" s="2"/>
    </row>
    <row r="19" spans="2:76" x14ac:dyDescent="0.3">
      <c r="B19" s="763"/>
      <c r="C19" s="61" t="s">
        <v>24</v>
      </c>
      <c r="D19" s="62">
        <v>62.3</v>
      </c>
      <c r="E19" s="226">
        <v>208.9</v>
      </c>
      <c r="F19" s="230">
        <v>367.7</v>
      </c>
      <c r="G19" s="234">
        <v>350.5</v>
      </c>
      <c r="H19" s="226">
        <v>227</v>
      </c>
      <c r="I19" s="246">
        <v>428.4</v>
      </c>
      <c r="J19" s="246">
        <v>434.1</v>
      </c>
      <c r="K19" s="246">
        <v>424.5</v>
      </c>
      <c r="L19" s="256">
        <v>309.3</v>
      </c>
      <c r="M19" s="228">
        <v>203.7</v>
      </c>
      <c r="N19" s="230">
        <v>318.5</v>
      </c>
      <c r="O19" s="246">
        <v>459</v>
      </c>
      <c r="P19" s="230">
        <v>391</v>
      </c>
      <c r="Q19" s="260">
        <v>153.9</v>
      </c>
      <c r="R19" s="226">
        <v>291</v>
      </c>
      <c r="S19" s="230">
        <v>377.6</v>
      </c>
      <c r="T19" s="230">
        <v>423.7</v>
      </c>
      <c r="U19" s="230">
        <v>393.7</v>
      </c>
      <c r="V19" s="265">
        <v>145</v>
      </c>
      <c r="W19" s="260">
        <v>90</v>
      </c>
      <c r="X19" s="15">
        <v>120.5</v>
      </c>
      <c r="Y19" s="212">
        <v>294.8</v>
      </c>
      <c r="Z19" s="269">
        <v>324.7</v>
      </c>
      <c r="AA19" s="143">
        <v>493.5</v>
      </c>
      <c r="AB19" s="215">
        <v>206.8</v>
      </c>
      <c r="AC19" s="15">
        <v>204.1</v>
      </c>
      <c r="AD19" s="15">
        <v>203.4</v>
      </c>
      <c r="AE19" s="221">
        <v>168</v>
      </c>
      <c r="AF19" s="15">
        <v>335.5</v>
      </c>
      <c r="AG19" s="18">
        <v>468.4</v>
      </c>
      <c r="AH19" s="278">
        <v>413.7</v>
      </c>
      <c r="AI19" s="155">
        <f t="shared" si="8"/>
        <v>9293.1999999999989</v>
      </c>
      <c r="AJ19" s="118">
        <v>80</v>
      </c>
      <c r="AK19" s="121">
        <f t="shared" si="21"/>
        <v>1.0639467592592593E-2</v>
      </c>
      <c r="AL19" s="67">
        <f t="shared" ref="AL19:AS21" si="33">IF(OR(D19="",D19="Sem monitoramento"),"VAZIO",IFERROR(D19/($AJ19*24),"-"))</f>
        <v>3.2447916666666667E-2</v>
      </c>
      <c r="AM19" s="68">
        <f t="shared" si="33"/>
        <v>0.10880208333333334</v>
      </c>
      <c r="AN19" s="68">
        <f t="shared" si="33"/>
        <v>0.19151041666666666</v>
      </c>
      <c r="AO19" s="68">
        <f t="shared" si="33"/>
        <v>0.18255208333333334</v>
      </c>
      <c r="AP19" s="68">
        <f t="shared" si="33"/>
        <v>0.11822916666666666</v>
      </c>
      <c r="AQ19" s="68">
        <f t="shared" si="33"/>
        <v>0.22312499999999999</v>
      </c>
      <c r="AR19" s="68">
        <f t="shared" si="33"/>
        <v>0.22609375000000001</v>
      </c>
      <c r="AS19" s="68">
        <f t="shared" si="33"/>
        <v>0.22109375000000001</v>
      </c>
      <c r="AT19" s="68">
        <f>IF(OR(L21="",L21="Sem monitoramento"),"VAZIO",IFERROR(L21/($AJ19*24),"-"))</f>
        <v>1.5833333333333331E-2</v>
      </c>
      <c r="AU19" s="68">
        <f t="shared" ref="AU19:BA19" si="34">IF(OR(M19="",M19="Sem monitoramento"),"VAZIO",IFERROR(M19/($AJ19*24),"-"))</f>
        <v>0.10609375</v>
      </c>
      <c r="AV19" s="68">
        <f t="shared" si="34"/>
        <v>0.16588541666666667</v>
      </c>
      <c r="AW19" s="68">
        <f t="shared" si="34"/>
        <v>0.23906250000000001</v>
      </c>
      <c r="AX19" s="68">
        <f t="shared" si="34"/>
        <v>0.20364583333333333</v>
      </c>
      <c r="AY19" s="68">
        <f t="shared" si="34"/>
        <v>8.0156249999999998E-2</v>
      </c>
      <c r="AZ19" s="68">
        <f t="shared" si="34"/>
        <v>0.15156249999999999</v>
      </c>
      <c r="BA19" s="68">
        <f t="shared" si="34"/>
        <v>0.19666666666666668</v>
      </c>
      <c r="BB19" s="68">
        <f t="shared" si="32"/>
        <v>0.22067708333333333</v>
      </c>
      <c r="BC19" s="68">
        <f t="shared" si="25"/>
        <v>0.20505208333333333</v>
      </c>
      <c r="BD19" s="68">
        <f t="shared" si="26"/>
        <v>7.5520833333333329E-2</v>
      </c>
      <c r="BE19" s="68">
        <f t="shared" si="27"/>
        <v>4.6875E-2</v>
      </c>
      <c r="BF19" s="68">
        <f t="shared" si="28"/>
        <v>6.2760416666666666E-2</v>
      </c>
      <c r="BG19" s="68">
        <f t="shared" si="29"/>
        <v>0.15354166666666666</v>
      </c>
      <c r="BH19" s="68">
        <f t="shared" si="30"/>
        <v>0.16911458333333332</v>
      </c>
      <c r="BI19" s="68">
        <f t="shared" si="31"/>
        <v>0.25703124999999999</v>
      </c>
      <c r="BJ19" s="68">
        <f t="shared" si="20"/>
        <v>0.10770833333333334</v>
      </c>
      <c r="BK19" s="68">
        <f t="shared" si="18"/>
        <v>0.10630208333333332</v>
      </c>
      <c r="BL19" s="68">
        <f t="shared" si="12"/>
        <v>0.1059375</v>
      </c>
      <c r="BM19" s="68">
        <f t="shared" si="13"/>
        <v>8.7499999999999994E-2</v>
      </c>
      <c r="BN19" s="68">
        <f t="shared" si="14"/>
        <v>0.17473958333333334</v>
      </c>
      <c r="BO19" s="68">
        <f t="shared" si="19"/>
        <v>0.24395833333333333</v>
      </c>
      <c r="BP19" s="70">
        <f t="shared" si="4"/>
        <v>0.16134027777777776</v>
      </c>
      <c r="BQ19" s="180">
        <f>'FCs estimados em PVsyst'!Y17</f>
        <v>0.168125</v>
      </c>
      <c r="BR19" s="72">
        <f t="shared" si="22"/>
        <v>13.45</v>
      </c>
      <c r="BS19" s="73">
        <f t="shared" si="23"/>
        <v>2.3385416666666659E-2</v>
      </c>
      <c r="BT19" s="74">
        <f t="shared" si="7"/>
        <v>-6.7847222222222336E-3</v>
      </c>
      <c r="BU19" s="15" t="s">
        <v>24</v>
      </c>
      <c r="BV19" s="3"/>
      <c r="BW19" s="2"/>
      <c r="BX19" s="2"/>
    </row>
    <row r="20" spans="2:76" x14ac:dyDescent="0.3">
      <c r="B20" s="763"/>
      <c r="C20" s="61" t="s">
        <v>25</v>
      </c>
      <c r="D20" s="62">
        <v>86.1</v>
      </c>
      <c r="E20" s="226">
        <v>280.2</v>
      </c>
      <c r="F20" s="230">
        <v>451.5</v>
      </c>
      <c r="G20" s="234">
        <v>437.3</v>
      </c>
      <c r="H20" s="226">
        <v>302.3</v>
      </c>
      <c r="I20" s="246">
        <v>504.7</v>
      </c>
      <c r="J20" s="246">
        <v>565.5</v>
      </c>
      <c r="K20" s="246">
        <v>523.20000000000005</v>
      </c>
      <c r="L20" s="226">
        <v>396.5</v>
      </c>
      <c r="M20" s="228">
        <v>276.10000000000002</v>
      </c>
      <c r="N20" s="230">
        <v>404</v>
      </c>
      <c r="O20" s="246">
        <v>594.29999999999995</v>
      </c>
      <c r="P20" s="230">
        <v>481.6</v>
      </c>
      <c r="Q20" s="260">
        <v>214.9</v>
      </c>
      <c r="R20" s="226">
        <v>394.3</v>
      </c>
      <c r="S20" s="262">
        <v>477.3</v>
      </c>
      <c r="T20" s="233">
        <v>353</v>
      </c>
      <c r="U20" s="230">
        <v>481.8</v>
      </c>
      <c r="V20" s="215">
        <v>253.8</v>
      </c>
      <c r="W20" s="260">
        <v>121.7</v>
      </c>
      <c r="X20" s="15">
        <v>162</v>
      </c>
      <c r="Y20" s="212">
        <v>383</v>
      </c>
      <c r="Z20" s="269">
        <v>401.5</v>
      </c>
      <c r="AA20" s="143">
        <v>621.5</v>
      </c>
      <c r="AB20" s="215">
        <v>266.7</v>
      </c>
      <c r="AC20" s="15">
        <v>265.5</v>
      </c>
      <c r="AD20" s="15">
        <v>269.7</v>
      </c>
      <c r="AE20" s="221">
        <v>225.6</v>
      </c>
      <c r="AF20" s="15">
        <v>443.6</v>
      </c>
      <c r="AG20" s="18">
        <v>575.29999999999995</v>
      </c>
      <c r="AH20" s="278">
        <v>517.29999999999995</v>
      </c>
      <c r="AI20" s="155">
        <f t="shared" si="8"/>
        <v>11731.800000000001</v>
      </c>
      <c r="AJ20" s="118">
        <v>100</v>
      </c>
      <c r="AK20" s="121">
        <f t="shared" si="21"/>
        <v>1.0451388888888889E-2</v>
      </c>
      <c r="AL20" s="67">
        <f t="shared" si="33"/>
        <v>3.5874999999999997E-2</v>
      </c>
      <c r="AM20" s="68">
        <f t="shared" si="33"/>
        <v>0.11674999999999999</v>
      </c>
      <c r="AN20" s="68">
        <f t="shared" si="33"/>
        <v>0.18812499999999999</v>
      </c>
      <c r="AO20" s="68">
        <f t="shared" si="33"/>
        <v>0.18220833333333333</v>
      </c>
      <c r="AP20" s="68">
        <f t="shared" si="33"/>
        <v>0.12595833333333334</v>
      </c>
      <c r="AQ20" s="68">
        <f t="shared" si="33"/>
        <v>0.21029166666666665</v>
      </c>
      <c r="AR20" s="68">
        <f t="shared" si="33"/>
        <v>0.235625</v>
      </c>
      <c r="AS20" s="68">
        <f t="shared" si="33"/>
        <v>0.21800000000000003</v>
      </c>
      <c r="AT20" s="68">
        <f t="shared" ref="AT20:AZ20" si="35">IF(OR(L20="",L20="Sem monitoramento"),"VAZIO",IFERROR(L20/($AJ20*24),"-"))</f>
        <v>0.16520833333333335</v>
      </c>
      <c r="AU20" s="68">
        <f t="shared" si="35"/>
        <v>0.11504166666666668</v>
      </c>
      <c r="AV20" s="68">
        <f t="shared" si="35"/>
        <v>0.16833333333333333</v>
      </c>
      <c r="AW20" s="68">
        <f t="shared" si="35"/>
        <v>0.24762499999999998</v>
      </c>
      <c r="AX20" s="68">
        <f t="shared" si="35"/>
        <v>0.20066666666666669</v>
      </c>
      <c r="AY20" s="68">
        <f t="shared" si="35"/>
        <v>8.9541666666666672E-2</v>
      </c>
      <c r="AZ20" s="68">
        <f t="shared" si="35"/>
        <v>0.16429166666666667</v>
      </c>
      <c r="BA20" s="68">
        <f>IF(OR(S21="",S21="Sem monitoramento"),"VAZIO",IFERROR(S21/($AJ20*24),"-"))</f>
        <v>0.16570833333333332</v>
      </c>
      <c r="BB20" s="68">
        <f t="shared" si="32"/>
        <v>0.14708333333333334</v>
      </c>
      <c r="BC20" s="68">
        <f t="shared" si="25"/>
        <v>0.20075000000000001</v>
      </c>
      <c r="BD20" s="68">
        <f t="shared" si="26"/>
        <v>0.10575000000000001</v>
      </c>
      <c r="BE20" s="68">
        <f t="shared" si="27"/>
        <v>5.0708333333333334E-2</v>
      </c>
      <c r="BF20" s="68">
        <f t="shared" si="28"/>
        <v>6.7500000000000004E-2</v>
      </c>
      <c r="BG20" s="68">
        <f t="shared" si="29"/>
        <v>0.15958333333333333</v>
      </c>
      <c r="BH20" s="68">
        <f t="shared" si="30"/>
        <v>0.16729166666666667</v>
      </c>
      <c r="BI20" s="68">
        <f t="shared" si="31"/>
        <v>0.25895833333333335</v>
      </c>
      <c r="BJ20" s="68">
        <f t="shared" si="20"/>
        <v>0.111125</v>
      </c>
      <c r="BK20" s="68">
        <f t="shared" si="18"/>
        <v>0.110625</v>
      </c>
      <c r="BL20" s="68">
        <f t="shared" si="12"/>
        <v>0.11237499999999999</v>
      </c>
      <c r="BM20" s="68">
        <f t="shared" si="13"/>
        <v>9.4E-2</v>
      </c>
      <c r="BN20" s="68">
        <f t="shared" si="14"/>
        <v>0.18483333333333335</v>
      </c>
      <c r="BO20" s="68">
        <f t="shared" si="19"/>
        <v>0.2397083333333333</v>
      </c>
      <c r="BP20" s="70">
        <f t="shared" si="4"/>
        <v>0.16294166666666668</v>
      </c>
      <c r="BQ20" s="198">
        <f t="shared" ref="BQ20:BQ28" si="36">$BQ$19</f>
        <v>0.168125</v>
      </c>
      <c r="BR20" s="72">
        <f t="shared" si="22"/>
        <v>16.8125</v>
      </c>
      <c r="BS20" s="73">
        <f t="shared" si="23"/>
        <v>1.999999999999999E-2</v>
      </c>
      <c r="BT20" s="74">
        <f t="shared" si="7"/>
        <v>-5.1833333333333176E-3</v>
      </c>
      <c r="BU20" s="15" t="s">
        <v>25</v>
      </c>
      <c r="BV20" s="3"/>
      <c r="BW20" s="2"/>
      <c r="BX20" s="2"/>
    </row>
    <row r="21" spans="2:76" x14ac:dyDescent="0.3">
      <c r="B21" s="763"/>
      <c r="C21" s="61" t="s">
        <v>26</v>
      </c>
      <c r="D21" s="62">
        <v>73.400000000000006</v>
      </c>
      <c r="E21" s="226">
        <v>241.2</v>
      </c>
      <c r="F21" s="230">
        <v>397</v>
      </c>
      <c r="G21" s="234">
        <v>393.8</v>
      </c>
      <c r="H21" s="226">
        <v>260.39999999999998</v>
      </c>
      <c r="I21" s="246">
        <v>471.7</v>
      </c>
      <c r="J21" s="246">
        <v>501.8</v>
      </c>
      <c r="K21" s="246">
        <v>132.6</v>
      </c>
      <c r="L21" s="255">
        <v>30.4</v>
      </c>
      <c r="M21" s="228">
        <v>232.8</v>
      </c>
      <c r="N21" s="230">
        <v>334.8</v>
      </c>
      <c r="O21" s="246">
        <v>527.9</v>
      </c>
      <c r="P21" s="230">
        <v>425.6</v>
      </c>
      <c r="Q21" s="260">
        <v>176</v>
      </c>
      <c r="R21" s="226">
        <v>322.39999999999998</v>
      </c>
      <c r="S21" s="230">
        <v>397.7</v>
      </c>
      <c r="T21" s="233">
        <v>332</v>
      </c>
      <c r="U21" s="230">
        <v>414.6</v>
      </c>
      <c r="V21" s="215">
        <v>204.3</v>
      </c>
      <c r="W21" s="260">
        <v>97.5</v>
      </c>
      <c r="X21" s="15">
        <v>129.19999999999999</v>
      </c>
      <c r="Y21" s="212">
        <v>310.3</v>
      </c>
      <c r="Z21" s="269">
        <v>327.3</v>
      </c>
      <c r="AA21" s="143">
        <v>540.4</v>
      </c>
      <c r="AB21" s="215">
        <v>221.3</v>
      </c>
      <c r="AC21" s="15">
        <v>217.6</v>
      </c>
      <c r="AD21" s="15">
        <v>225</v>
      </c>
      <c r="AE21" s="221">
        <v>185.7</v>
      </c>
      <c r="AF21" s="15">
        <v>379.2</v>
      </c>
      <c r="AG21" s="18">
        <v>505.5</v>
      </c>
      <c r="AH21" s="278">
        <v>461.1</v>
      </c>
      <c r="AI21" s="155">
        <f t="shared" si="8"/>
        <v>9470.5000000000018</v>
      </c>
      <c r="AJ21" s="118">
        <v>100</v>
      </c>
      <c r="AK21" s="121">
        <f t="shared" si="21"/>
        <v>9.1898148148148156E-3</v>
      </c>
      <c r="AL21" s="67">
        <f t="shared" si="33"/>
        <v>3.0583333333333337E-2</v>
      </c>
      <c r="AM21" s="68">
        <f t="shared" si="33"/>
        <v>0.10049999999999999</v>
      </c>
      <c r="AN21" s="68">
        <f t="shared" si="33"/>
        <v>0.16541666666666666</v>
      </c>
      <c r="AO21" s="68">
        <f t="shared" si="33"/>
        <v>0.16408333333333333</v>
      </c>
      <c r="AP21" s="68">
        <f t="shared" si="33"/>
        <v>0.10849999999999999</v>
      </c>
      <c r="AQ21" s="68">
        <f t="shared" si="33"/>
        <v>0.19654166666666667</v>
      </c>
      <c r="AR21" s="68">
        <f t="shared" si="33"/>
        <v>0.20908333333333334</v>
      </c>
      <c r="AS21" s="68">
        <f t="shared" si="33"/>
        <v>5.525E-2</v>
      </c>
      <c r="AT21" s="68" t="e">
        <f>IF(OR(#REF!="",#REF!="Sem monitoramento"),"VAZIO",IFERROR(#REF!/($AJ21*24),"-"))</f>
        <v>#REF!</v>
      </c>
      <c r="AU21" s="68">
        <f t="shared" ref="AU21:AZ28" si="37">IF(OR(M21="",M21="Sem monitoramento"),"VAZIO",IFERROR(M21/($AJ21*24),"-"))</f>
        <v>9.7000000000000003E-2</v>
      </c>
      <c r="AV21" s="68">
        <f t="shared" si="37"/>
        <v>0.13950000000000001</v>
      </c>
      <c r="AW21" s="68">
        <f t="shared" si="37"/>
        <v>0.21995833333333331</v>
      </c>
      <c r="AX21" s="68">
        <f t="shared" si="37"/>
        <v>0.17733333333333334</v>
      </c>
      <c r="AY21" s="68">
        <f t="shared" si="37"/>
        <v>7.3333333333333334E-2</v>
      </c>
      <c r="AZ21" s="68">
        <f t="shared" si="37"/>
        <v>0.13433333333333333</v>
      </c>
      <c r="BA21" s="68" t="e">
        <f>IF(OR(#REF!="",#REF!="Sem monitoramento"),"VAZIO",IFERROR(#REF!/($AJ21*24),"-"))</f>
        <v>#REF!</v>
      </c>
      <c r="BB21" s="68">
        <f t="shared" si="32"/>
        <v>0.13833333333333334</v>
      </c>
      <c r="BC21" s="68">
        <f t="shared" si="25"/>
        <v>0.17275000000000001</v>
      </c>
      <c r="BD21" s="68">
        <f t="shared" si="26"/>
        <v>8.5125000000000006E-2</v>
      </c>
      <c r="BE21" s="68">
        <f t="shared" si="27"/>
        <v>4.0625000000000001E-2</v>
      </c>
      <c r="BF21" s="68">
        <f t="shared" si="28"/>
        <v>5.383333333333333E-2</v>
      </c>
      <c r="BG21" s="68">
        <f t="shared" si="29"/>
        <v>0.12929166666666667</v>
      </c>
      <c r="BH21" s="68">
        <f t="shared" si="30"/>
        <v>0.136375</v>
      </c>
      <c r="BI21" s="68">
        <f t="shared" si="31"/>
        <v>0.22516666666666665</v>
      </c>
      <c r="BJ21" s="68">
        <f>IF(OR(AB20="",AB20="Sem monitoramento"),"VAZIO",IFERROR(AB20/($AJ21*24),"-"))</f>
        <v>0.111125</v>
      </c>
      <c r="BK21" s="68">
        <f t="shared" si="18"/>
        <v>9.0666666666666659E-2</v>
      </c>
      <c r="BL21" s="68">
        <f t="shared" si="12"/>
        <v>9.375E-2</v>
      </c>
      <c r="BM21" s="68">
        <f t="shared" si="13"/>
        <v>7.7374999999999999E-2</v>
      </c>
      <c r="BN21" s="68">
        <f t="shared" si="14"/>
        <v>0.158</v>
      </c>
      <c r="BO21" s="68">
        <f t="shared" si="19"/>
        <v>0.21062500000000001</v>
      </c>
      <c r="BP21" s="70">
        <f t="shared" si="4"/>
        <v>0.13153472222222226</v>
      </c>
      <c r="BQ21" s="198">
        <f t="shared" si="36"/>
        <v>0.168125</v>
      </c>
      <c r="BR21" s="72">
        <f t="shared" si="22"/>
        <v>16.8125</v>
      </c>
      <c r="BS21" s="73">
        <f t="shared" si="23"/>
        <v>-2.7083333333333404E-3</v>
      </c>
      <c r="BT21" s="74">
        <f t="shared" si="7"/>
        <v>-3.6590277777777735E-2</v>
      </c>
      <c r="BU21" s="15" t="s">
        <v>26</v>
      </c>
      <c r="BV21" s="3"/>
      <c r="BW21" s="2"/>
      <c r="BX21" s="2"/>
    </row>
    <row r="22" spans="2:76" x14ac:dyDescent="0.3">
      <c r="B22" s="763"/>
      <c r="C22" s="61" t="s">
        <v>27</v>
      </c>
      <c r="D22" s="62">
        <v>96.9</v>
      </c>
      <c r="E22" s="228">
        <v>134.19999999999999</v>
      </c>
      <c r="F22" s="230">
        <v>245</v>
      </c>
      <c r="G22" s="234">
        <v>461.7</v>
      </c>
      <c r="H22" s="238">
        <v>265.10000000000002</v>
      </c>
      <c r="I22" s="246">
        <v>506.2</v>
      </c>
      <c r="J22" s="246">
        <v>454.9</v>
      </c>
      <c r="K22" s="246">
        <v>447.1</v>
      </c>
      <c r="L22" s="226">
        <v>256.39999999999998</v>
      </c>
      <c r="M22" s="228">
        <v>178.8</v>
      </c>
      <c r="N22" s="246">
        <v>552</v>
      </c>
      <c r="O22" s="246">
        <v>478</v>
      </c>
      <c r="P22" s="228">
        <v>131.4</v>
      </c>
      <c r="Q22" s="260">
        <v>106.4</v>
      </c>
      <c r="R22" s="226">
        <v>356.7</v>
      </c>
      <c r="S22" s="246">
        <v>571.4</v>
      </c>
      <c r="T22" s="230">
        <v>493.4</v>
      </c>
      <c r="U22" s="212">
        <v>211.1</v>
      </c>
      <c r="V22" s="215">
        <v>156.6</v>
      </c>
      <c r="W22" s="260">
        <v>150.30000000000001</v>
      </c>
      <c r="X22" s="15">
        <v>206.4</v>
      </c>
      <c r="Y22" s="212">
        <v>362.3</v>
      </c>
      <c r="Z22" s="268">
        <v>589.29999999999995</v>
      </c>
      <c r="AA22" s="143">
        <v>538.70000000000005</v>
      </c>
      <c r="AB22" s="276">
        <v>109.4</v>
      </c>
      <c r="AC22" s="15">
        <v>227.8</v>
      </c>
      <c r="AD22" s="221">
        <v>294.39999999999998</v>
      </c>
      <c r="AE22" s="15">
        <v>352.3</v>
      </c>
      <c r="AF22" s="15">
        <v>238.1</v>
      </c>
      <c r="AG22" s="15">
        <v>484.8</v>
      </c>
      <c r="AH22" s="278">
        <v>374.4</v>
      </c>
      <c r="AI22" s="155">
        <f t="shared" si="8"/>
        <v>10031.499999999996</v>
      </c>
      <c r="AJ22" s="118">
        <v>100</v>
      </c>
      <c r="AK22" s="121">
        <f t="shared" si="21"/>
        <v>5.6712962962962967E-3</v>
      </c>
      <c r="AL22" s="67">
        <f t="shared" ref="AL22:AL28" si="38">IF(OR(D22="",D22="Sem monitoramento"),"VAZIO",IFERROR(D22/($AJ22*24),"-"))</f>
        <v>4.0375000000000001E-2</v>
      </c>
      <c r="AM22" s="68">
        <f t="shared" ref="AM22:AT28" si="39">IF(OR(E22="",E22="Sem monitoramento"),"VAZIO",IFERROR(E22/($AJ22*24),"-"))</f>
        <v>5.5916666666666663E-2</v>
      </c>
      <c r="AN22" s="68">
        <f t="shared" si="39"/>
        <v>0.10208333333333333</v>
      </c>
      <c r="AO22" s="68">
        <f t="shared" si="39"/>
        <v>0.19237499999999999</v>
      </c>
      <c r="AP22" s="68">
        <f t="shared" si="39"/>
        <v>0.11045833333333334</v>
      </c>
      <c r="AQ22" s="68">
        <f t="shared" si="39"/>
        <v>0.21091666666666667</v>
      </c>
      <c r="AR22" s="68">
        <f t="shared" si="39"/>
        <v>0.18954166666666666</v>
      </c>
      <c r="AS22" s="68">
        <f t="shared" si="39"/>
        <v>0.18629166666666669</v>
      </c>
      <c r="AT22" s="68">
        <f t="shared" si="39"/>
        <v>0.10683333333333332</v>
      </c>
      <c r="AU22" s="68">
        <f t="shared" si="37"/>
        <v>7.4500000000000011E-2</v>
      </c>
      <c r="AV22" s="68">
        <f t="shared" si="37"/>
        <v>0.23</v>
      </c>
      <c r="AW22" s="68">
        <f t="shared" si="37"/>
        <v>0.19916666666666666</v>
      </c>
      <c r="AX22" s="68">
        <f t="shared" si="37"/>
        <v>5.475E-2</v>
      </c>
      <c r="AY22" s="68">
        <f t="shared" si="37"/>
        <v>4.4333333333333336E-2</v>
      </c>
      <c r="AZ22" s="68">
        <f t="shared" si="37"/>
        <v>0.14862500000000001</v>
      </c>
      <c r="BA22" s="68">
        <f t="shared" ref="BA22:BA28" si="40">IF(OR(S22="",S22="Sem monitoramento"),"VAZIO",IFERROR(S22/($AJ22*24),"-"))</f>
        <v>0.23808333333333331</v>
      </c>
      <c r="BB22" s="68">
        <f t="shared" si="32"/>
        <v>0.20558333333333331</v>
      </c>
      <c r="BC22" s="68">
        <f t="shared" si="25"/>
        <v>8.7958333333333333E-2</v>
      </c>
      <c r="BD22" s="68">
        <f t="shared" si="26"/>
        <v>6.5250000000000002E-2</v>
      </c>
      <c r="BE22" s="68">
        <f t="shared" si="27"/>
        <v>6.2625E-2</v>
      </c>
      <c r="BF22" s="68">
        <f t="shared" si="28"/>
        <v>8.6000000000000007E-2</v>
      </c>
      <c r="BG22" s="68">
        <f t="shared" si="29"/>
        <v>0.15095833333333333</v>
      </c>
      <c r="BH22" s="68">
        <f t="shared" si="30"/>
        <v>0.24554166666666666</v>
      </c>
      <c r="BI22" s="68">
        <f t="shared" si="31"/>
        <v>0.22445833333333334</v>
      </c>
      <c r="BJ22" s="68">
        <f>IF(OR(AB21="",AB21="Sem monitoramento"),"VAZIO",IFERROR(AB21/($AJ22*24),"-"))</f>
        <v>9.2208333333333337E-2</v>
      </c>
      <c r="BK22" s="68">
        <f t="shared" si="18"/>
        <v>9.4916666666666677E-2</v>
      </c>
      <c r="BL22" s="68">
        <f t="shared" si="12"/>
        <v>0.12266666666666666</v>
      </c>
      <c r="BM22" s="68">
        <f t="shared" si="13"/>
        <v>0.14679166666666668</v>
      </c>
      <c r="BN22" s="68">
        <f t="shared" si="14"/>
        <v>9.9208333333333329E-2</v>
      </c>
      <c r="BO22" s="68">
        <f t="shared" si="19"/>
        <v>0.20200000000000001</v>
      </c>
      <c r="BP22" s="70">
        <f t="shared" si="4"/>
        <v>0.13932638888888885</v>
      </c>
      <c r="BQ22" s="198">
        <f t="shared" si="36"/>
        <v>0.168125</v>
      </c>
      <c r="BR22" s="72">
        <f t="shared" si="22"/>
        <v>16.8125</v>
      </c>
      <c r="BS22" s="73">
        <f t="shared" si="23"/>
        <v>-6.6041666666666665E-2</v>
      </c>
      <c r="BT22" s="74">
        <f t="shared" si="7"/>
        <v>-2.879861111111115E-2</v>
      </c>
      <c r="BU22" s="15" t="s">
        <v>27</v>
      </c>
      <c r="BV22" s="3"/>
      <c r="BW22" s="2"/>
      <c r="BX22" s="2"/>
    </row>
    <row r="23" spans="2:76" x14ac:dyDescent="0.3">
      <c r="B23" s="763"/>
      <c r="C23" s="61" t="s">
        <v>28</v>
      </c>
      <c r="D23" s="223">
        <v>109</v>
      </c>
      <c r="E23" s="226">
        <v>243</v>
      </c>
      <c r="F23" s="233">
        <v>297.64999999999998</v>
      </c>
      <c r="G23" s="234">
        <v>352.41</v>
      </c>
      <c r="H23" s="234">
        <v>301.3</v>
      </c>
      <c r="I23" s="246">
        <v>427.1</v>
      </c>
      <c r="J23" s="246">
        <v>430.9</v>
      </c>
      <c r="K23" s="246">
        <v>402.45</v>
      </c>
      <c r="L23" s="226">
        <v>278.74</v>
      </c>
      <c r="M23" s="228">
        <v>219.34</v>
      </c>
      <c r="N23" s="230">
        <v>330.54</v>
      </c>
      <c r="O23" s="246">
        <v>445.69</v>
      </c>
      <c r="P23" s="230">
        <v>339.1</v>
      </c>
      <c r="Q23" s="260">
        <v>156.30000000000001</v>
      </c>
      <c r="R23" s="226">
        <v>222.22</v>
      </c>
      <c r="S23" s="246">
        <v>432.8</v>
      </c>
      <c r="T23" s="246">
        <v>441.2</v>
      </c>
      <c r="U23" s="230">
        <v>373.3</v>
      </c>
      <c r="V23" s="215">
        <v>184.42</v>
      </c>
      <c r="W23" s="260">
        <v>108.17</v>
      </c>
      <c r="X23" s="15">
        <v>140</v>
      </c>
      <c r="Y23" s="230">
        <v>312.08999999999997</v>
      </c>
      <c r="Z23" s="269">
        <v>435.1</v>
      </c>
      <c r="AA23" s="143">
        <v>502.07</v>
      </c>
      <c r="AB23" s="215">
        <v>232.2</v>
      </c>
      <c r="AC23" s="15">
        <v>244.33</v>
      </c>
      <c r="AD23" s="15">
        <v>258.87</v>
      </c>
      <c r="AE23" s="15">
        <v>240.51</v>
      </c>
      <c r="AF23" s="15">
        <v>259.89999999999998</v>
      </c>
      <c r="AG23" s="18">
        <v>479.22</v>
      </c>
      <c r="AH23" s="278">
        <v>356.39</v>
      </c>
      <c r="AI23" s="155">
        <f t="shared" si="8"/>
        <v>9556.31</v>
      </c>
      <c r="AJ23" s="118">
        <v>100</v>
      </c>
      <c r="AK23" s="121">
        <f t="shared" si="21"/>
        <v>6.890046296296296E-3</v>
      </c>
      <c r="AL23" s="67">
        <f t="shared" si="38"/>
        <v>4.5416666666666668E-2</v>
      </c>
      <c r="AM23" s="68">
        <f t="shared" si="39"/>
        <v>0.10125000000000001</v>
      </c>
      <c r="AN23" s="68">
        <f t="shared" si="39"/>
        <v>0.12402083333333333</v>
      </c>
      <c r="AO23" s="68">
        <f t="shared" si="39"/>
        <v>0.14683750000000001</v>
      </c>
      <c r="AP23" s="68">
        <f t="shared" si="39"/>
        <v>0.12554166666666666</v>
      </c>
      <c r="AQ23" s="68">
        <f t="shared" si="39"/>
        <v>0.17795833333333333</v>
      </c>
      <c r="AR23" s="68">
        <f t="shared" si="39"/>
        <v>0.17954166666666665</v>
      </c>
      <c r="AS23" s="68">
        <f t="shared" si="39"/>
        <v>0.16768749999999999</v>
      </c>
      <c r="AT23" s="68">
        <f t="shared" si="39"/>
        <v>0.11614166666666667</v>
      </c>
      <c r="AU23" s="68">
        <f t="shared" si="37"/>
        <v>9.1391666666666663E-2</v>
      </c>
      <c r="AV23" s="68">
        <f t="shared" si="37"/>
        <v>0.13772500000000001</v>
      </c>
      <c r="AW23" s="68">
        <f t="shared" si="37"/>
        <v>0.18570416666666667</v>
      </c>
      <c r="AX23" s="68">
        <f t="shared" si="37"/>
        <v>0.14129166666666668</v>
      </c>
      <c r="AY23" s="68">
        <f t="shared" si="37"/>
        <v>6.5125000000000002E-2</v>
      </c>
      <c r="AZ23" s="68">
        <f t="shared" si="37"/>
        <v>9.2591666666666669E-2</v>
      </c>
      <c r="BA23" s="68">
        <f t="shared" si="40"/>
        <v>0.18033333333333335</v>
      </c>
      <c r="BB23" s="68">
        <f t="shared" si="32"/>
        <v>0.18383333333333332</v>
      </c>
      <c r="BC23" s="68">
        <f t="shared" si="25"/>
        <v>0.15554166666666666</v>
      </c>
      <c r="BD23" s="68">
        <f t="shared" si="26"/>
        <v>7.6841666666666655E-2</v>
      </c>
      <c r="BE23" s="68">
        <f t="shared" si="27"/>
        <v>4.5070833333333331E-2</v>
      </c>
      <c r="BF23" s="68">
        <f t="shared" si="28"/>
        <v>5.8333333333333334E-2</v>
      </c>
      <c r="BG23" s="68">
        <f t="shared" si="29"/>
        <v>0.1300375</v>
      </c>
      <c r="BH23" s="68">
        <f t="shared" si="30"/>
        <v>0.18129166666666668</v>
      </c>
      <c r="BI23" s="68">
        <f t="shared" si="31"/>
        <v>0.20919583333333333</v>
      </c>
      <c r="BJ23" s="68">
        <f t="shared" ref="BJ23:BJ28" si="41">IF(OR(AB23="",AB23="Sem monitoramento"),"VAZIO",IFERROR(AB23/($AJ23*24),"-"))</f>
        <v>9.6749999999999989E-2</v>
      </c>
      <c r="BK23" s="68">
        <f t="shared" si="18"/>
        <v>0.10180416666666667</v>
      </c>
      <c r="BL23" s="68">
        <f t="shared" si="12"/>
        <v>0.1078625</v>
      </c>
      <c r="BM23" s="68">
        <f t="shared" si="13"/>
        <v>0.1002125</v>
      </c>
      <c r="BN23" s="68">
        <f t="shared" si="14"/>
        <v>0.10829166666666666</v>
      </c>
      <c r="BO23" s="68">
        <f t="shared" si="19"/>
        <v>0.19967500000000002</v>
      </c>
      <c r="BP23" s="70">
        <f t="shared" si="4"/>
        <v>0.13272652777777777</v>
      </c>
      <c r="BQ23" s="198">
        <f t="shared" si="36"/>
        <v>0.168125</v>
      </c>
      <c r="BR23" s="72">
        <f t="shared" si="22"/>
        <v>16.8125</v>
      </c>
      <c r="BS23" s="73">
        <f t="shared" si="23"/>
        <v>-4.4104166666666667E-2</v>
      </c>
      <c r="BT23" s="74">
        <f t="shared" si="7"/>
        <v>-3.5398472222222227E-2</v>
      </c>
      <c r="BU23" s="15" t="s">
        <v>28</v>
      </c>
      <c r="BV23" s="3"/>
      <c r="BW23" s="2"/>
      <c r="BX23" s="2"/>
    </row>
    <row r="24" spans="2:76" x14ac:dyDescent="0.3">
      <c r="B24" s="763"/>
      <c r="C24" s="61" t="s">
        <v>29</v>
      </c>
      <c r="D24" s="223">
        <v>85.6</v>
      </c>
      <c r="E24" s="226">
        <v>294.89999999999998</v>
      </c>
      <c r="F24" s="230">
        <v>410.9</v>
      </c>
      <c r="G24" s="234">
        <v>393.1</v>
      </c>
      <c r="H24" s="234">
        <v>352.6</v>
      </c>
      <c r="I24" s="246">
        <v>490.6</v>
      </c>
      <c r="J24" s="246">
        <v>498.8</v>
      </c>
      <c r="K24" s="246">
        <v>464.6</v>
      </c>
      <c r="L24" s="226">
        <v>323.3</v>
      </c>
      <c r="M24" s="228">
        <v>262.10000000000002</v>
      </c>
      <c r="N24" s="230">
        <v>379.1</v>
      </c>
      <c r="O24" s="246">
        <v>513.79999999999995</v>
      </c>
      <c r="P24" s="230">
        <v>394.2</v>
      </c>
      <c r="Q24" s="260">
        <v>187.8</v>
      </c>
      <c r="R24" s="226">
        <v>263.3</v>
      </c>
      <c r="S24" s="246">
        <v>491.1</v>
      </c>
      <c r="T24" s="246">
        <v>497.5</v>
      </c>
      <c r="U24" s="207">
        <v>426</v>
      </c>
      <c r="V24" s="215">
        <v>219.6</v>
      </c>
      <c r="W24" s="260">
        <v>131</v>
      </c>
      <c r="X24" s="15">
        <v>168.7</v>
      </c>
      <c r="Y24" s="207">
        <v>366.4</v>
      </c>
      <c r="Z24" s="269">
        <v>381.69</v>
      </c>
      <c r="AA24" s="143">
        <v>580.29999999999995</v>
      </c>
      <c r="AB24" s="215">
        <v>270.89999999999998</v>
      </c>
      <c r="AC24" s="15">
        <v>289.3</v>
      </c>
      <c r="AD24" s="15">
        <v>307.5</v>
      </c>
      <c r="AE24" s="15">
        <v>279.3</v>
      </c>
      <c r="AF24" s="15">
        <v>312.8</v>
      </c>
      <c r="AG24" s="18">
        <v>547.6</v>
      </c>
      <c r="AH24" s="278">
        <v>420.3</v>
      </c>
      <c r="AI24" s="155">
        <f t="shared" si="8"/>
        <v>11004.689999999997</v>
      </c>
      <c r="AJ24" s="118">
        <v>100</v>
      </c>
      <c r="AK24" s="121">
        <f t="shared" si="21"/>
        <v>9.5115740740740733E-3</v>
      </c>
      <c r="AL24" s="67">
        <f t="shared" si="38"/>
        <v>3.5666666666666666E-2</v>
      </c>
      <c r="AM24" s="68">
        <f t="shared" si="39"/>
        <v>0.12287499999999998</v>
      </c>
      <c r="AN24" s="68">
        <f t="shared" si="39"/>
        <v>0.17120833333333332</v>
      </c>
      <c r="AO24" s="68">
        <f t="shared" si="39"/>
        <v>0.16379166666666667</v>
      </c>
      <c r="AP24" s="68">
        <f t="shared" si="39"/>
        <v>0.14691666666666667</v>
      </c>
      <c r="AQ24" s="68">
        <f t="shared" si="39"/>
        <v>0.20441666666666666</v>
      </c>
      <c r="AR24" s="68">
        <f t="shared" si="39"/>
        <v>0.20783333333333334</v>
      </c>
      <c r="AS24" s="68">
        <f t="shared" si="39"/>
        <v>0.19358333333333333</v>
      </c>
      <c r="AT24" s="68">
        <f t="shared" si="39"/>
        <v>0.13470833333333335</v>
      </c>
      <c r="AU24" s="68">
        <f t="shared" si="37"/>
        <v>0.10920833333333334</v>
      </c>
      <c r="AV24" s="68">
        <f t="shared" si="37"/>
        <v>0.15795833333333334</v>
      </c>
      <c r="AW24" s="68">
        <f t="shared" si="37"/>
        <v>0.21408333333333332</v>
      </c>
      <c r="AX24" s="68">
        <f t="shared" si="37"/>
        <v>0.16425000000000001</v>
      </c>
      <c r="AY24" s="68">
        <f t="shared" si="37"/>
        <v>7.825E-2</v>
      </c>
      <c r="AZ24" s="68">
        <f t="shared" si="37"/>
        <v>0.10970833333333334</v>
      </c>
      <c r="BA24" s="68">
        <f t="shared" si="40"/>
        <v>0.204625</v>
      </c>
      <c r="BB24" s="68">
        <f t="shared" si="32"/>
        <v>0.20729166666666668</v>
      </c>
      <c r="BC24" s="68">
        <f t="shared" si="25"/>
        <v>0.17749999999999999</v>
      </c>
      <c r="BD24" s="68">
        <f t="shared" si="26"/>
        <v>9.1499999999999998E-2</v>
      </c>
      <c r="BE24" s="68">
        <f t="shared" si="27"/>
        <v>5.4583333333333331E-2</v>
      </c>
      <c r="BF24" s="68">
        <f t="shared" si="28"/>
        <v>7.0291666666666655E-2</v>
      </c>
      <c r="BG24" s="68">
        <f t="shared" si="29"/>
        <v>0.15266666666666664</v>
      </c>
      <c r="BH24" s="68">
        <f t="shared" si="30"/>
        <v>0.1590375</v>
      </c>
      <c r="BI24" s="68">
        <f t="shared" si="31"/>
        <v>0.24179166666666665</v>
      </c>
      <c r="BJ24" s="68">
        <f t="shared" si="41"/>
        <v>0.11287499999999999</v>
      </c>
      <c r="BK24" s="68">
        <f t="shared" si="18"/>
        <v>0.12054166666666667</v>
      </c>
      <c r="BL24" s="68">
        <f t="shared" si="12"/>
        <v>0.12812499999999999</v>
      </c>
      <c r="BM24" s="68">
        <f t="shared" si="13"/>
        <v>0.11637500000000001</v>
      </c>
      <c r="BN24" s="68">
        <f t="shared" si="14"/>
        <v>0.13033333333333333</v>
      </c>
      <c r="BO24" s="68">
        <f t="shared" si="19"/>
        <v>0.22816666666666668</v>
      </c>
      <c r="BP24" s="70">
        <f t="shared" si="4"/>
        <v>0.15284291666666663</v>
      </c>
      <c r="BQ24" s="198">
        <f t="shared" si="36"/>
        <v>0.168125</v>
      </c>
      <c r="BR24" s="72">
        <f t="shared" si="22"/>
        <v>16.8125</v>
      </c>
      <c r="BS24" s="73">
        <f t="shared" si="23"/>
        <v>3.0833333333333268E-3</v>
      </c>
      <c r="BT24" s="74">
        <f t="shared" si="7"/>
        <v>-1.5282083333333363E-2</v>
      </c>
      <c r="BU24" s="15" t="s">
        <v>29</v>
      </c>
      <c r="BV24" s="3"/>
      <c r="BW24" s="2"/>
      <c r="BX24" s="2"/>
    </row>
    <row r="25" spans="2:76" x14ac:dyDescent="0.3">
      <c r="B25" s="763"/>
      <c r="C25" s="61" t="s">
        <v>30</v>
      </c>
      <c r="D25" s="223">
        <f>44.1+96.1+92.7</f>
        <v>232.89999999999998</v>
      </c>
      <c r="E25" s="226">
        <v>815.6</v>
      </c>
      <c r="F25" s="230">
        <v>1154.8</v>
      </c>
      <c r="G25" s="234">
        <v>1140.8</v>
      </c>
      <c r="H25" s="226">
        <v>976.8</v>
      </c>
      <c r="I25" s="246">
        <v>1365.2</v>
      </c>
      <c r="J25" s="246">
        <v>1390</v>
      </c>
      <c r="K25" s="246">
        <v>1306.4000000000001</v>
      </c>
      <c r="L25" s="226">
        <v>903.4</v>
      </c>
      <c r="M25" s="228">
        <v>715.2</v>
      </c>
      <c r="N25" s="230">
        <v>1057.9000000000001</v>
      </c>
      <c r="O25" s="246">
        <v>1441.6</v>
      </c>
      <c r="P25" s="230">
        <v>1100</v>
      </c>
      <c r="Q25" s="260">
        <v>510.4</v>
      </c>
      <c r="R25" s="226">
        <v>722.4</v>
      </c>
      <c r="S25" s="246">
        <v>1408.3</v>
      </c>
      <c r="T25" s="246">
        <v>1415.2</v>
      </c>
      <c r="U25" s="207">
        <v>1220</v>
      </c>
      <c r="V25" s="215">
        <v>599.70000000000005</v>
      </c>
      <c r="W25" s="260">
        <v>354.6</v>
      </c>
      <c r="X25" s="15">
        <v>457.3</v>
      </c>
      <c r="Y25" s="230">
        <v>1003.5</v>
      </c>
      <c r="Z25" s="269">
        <v>1211.7</v>
      </c>
      <c r="AA25" s="143">
        <v>1624.7</v>
      </c>
      <c r="AB25" s="215">
        <v>751.9</v>
      </c>
      <c r="AC25" s="15">
        <v>790.2</v>
      </c>
      <c r="AD25" s="15">
        <v>846.2</v>
      </c>
      <c r="AE25" s="15">
        <v>782.9</v>
      </c>
      <c r="AF25" s="15">
        <v>863</v>
      </c>
      <c r="AG25" s="18">
        <v>1538</v>
      </c>
      <c r="AH25" s="278">
        <v>1167.5999999999999</v>
      </c>
      <c r="AI25" s="155">
        <f t="shared" si="8"/>
        <v>30868.2</v>
      </c>
      <c r="AJ25" s="118">
        <v>360</v>
      </c>
      <c r="AK25" s="121">
        <f t="shared" si="21"/>
        <v>7.4254115226337443E-3</v>
      </c>
      <c r="AL25" s="67">
        <f t="shared" si="38"/>
        <v>2.6956018518518515E-2</v>
      </c>
      <c r="AM25" s="68">
        <f t="shared" si="39"/>
        <v>9.4398148148148148E-2</v>
      </c>
      <c r="AN25" s="68">
        <f t="shared" si="39"/>
        <v>0.13365740740740739</v>
      </c>
      <c r="AO25" s="68">
        <f t="shared" si="39"/>
        <v>0.13203703703703704</v>
      </c>
      <c r="AP25" s="68">
        <f t="shared" si="39"/>
        <v>0.11305555555555555</v>
      </c>
      <c r="AQ25" s="68">
        <f t="shared" si="39"/>
        <v>0.15800925925925927</v>
      </c>
      <c r="AR25" s="68">
        <f t="shared" si="39"/>
        <v>0.16087962962962962</v>
      </c>
      <c r="AS25" s="68">
        <f t="shared" si="39"/>
        <v>0.1512037037037037</v>
      </c>
      <c r="AT25" s="68">
        <f t="shared" si="39"/>
        <v>0.10456018518518519</v>
      </c>
      <c r="AU25" s="68">
        <f t="shared" si="37"/>
        <v>8.2777777777777783E-2</v>
      </c>
      <c r="AV25" s="68">
        <f t="shared" si="37"/>
        <v>0.12244212962962964</v>
      </c>
      <c r="AW25" s="68">
        <f t="shared" si="37"/>
        <v>0.16685185185185183</v>
      </c>
      <c r="AX25" s="68">
        <f t="shared" si="37"/>
        <v>0.12731481481481483</v>
      </c>
      <c r="AY25" s="68">
        <f t="shared" si="37"/>
        <v>5.9074074074074071E-2</v>
      </c>
      <c r="AZ25" s="68">
        <f t="shared" si="37"/>
        <v>8.3611111111111108E-2</v>
      </c>
      <c r="BA25" s="68">
        <f t="shared" si="40"/>
        <v>0.16299768518518518</v>
      </c>
      <c r="BB25" s="68">
        <f t="shared" si="32"/>
        <v>0.1637962962962963</v>
      </c>
      <c r="BC25" s="68">
        <f t="shared" si="25"/>
        <v>0.14120370370370369</v>
      </c>
      <c r="BD25" s="68">
        <f t="shared" si="26"/>
        <v>6.9409722222222234E-2</v>
      </c>
      <c r="BE25" s="68">
        <f t="shared" si="27"/>
        <v>4.1041666666666671E-2</v>
      </c>
      <c r="BF25" s="68">
        <f t="shared" si="28"/>
        <v>5.2928240740740741E-2</v>
      </c>
      <c r="BG25" s="68">
        <f t="shared" si="29"/>
        <v>0.11614583333333334</v>
      </c>
      <c r="BH25" s="68">
        <f t="shared" si="30"/>
        <v>0.14024305555555555</v>
      </c>
      <c r="BI25" s="68">
        <f t="shared" si="31"/>
        <v>0.18804398148148149</v>
      </c>
      <c r="BJ25" s="68">
        <f t="shared" si="41"/>
        <v>8.7025462962962957E-2</v>
      </c>
      <c r="BK25" s="68">
        <f t="shared" si="18"/>
        <v>9.1458333333333336E-2</v>
      </c>
      <c r="BL25" s="68">
        <f t="shared" si="12"/>
        <v>9.7939814814814827E-2</v>
      </c>
      <c r="BM25" s="68">
        <f t="shared" si="13"/>
        <v>9.0613425925925917E-2</v>
      </c>
      <c r="BN25" s="68">
        <f t="shared" si="14"/>
        <v>9.9884259259259256E-2</v>
      </c>
      <c r="BO25" s="68">
        <f t="shared" si="19"/>
        <v>0.17800925925925926</v>
      </c>
      <c r="BP25" s="70">
        <f t="shared" si="4"/>
        <v>0.11909027777777778</v>
      </c>
      <c r="BQ25" s="198">
        <f t="shared" si="36"/>
        <v>0.168125</v>
      </c>
      <c r="BR25" s="72">
        <f t="shared" si="22"/>
        <v>60.524999999999999</v>
      </c>
      <c r="BS25" s="73">
        <f t="shared" si="23"/>
        <v>-3.4467592592592605E-2</v>
      </c>
      <c r="BT25" s="74">
        <f t="shared" si="7"/>
        <v>-4.9034722222222216E-2</v>
      </c>
      <c r="BU25" s="15" t="s">
        <v>30</v>
      </c>
      <c r="BV25" s="3"/>
      <c r="BW25" s="2"/>
      <c r="BX25" s="2"/>
    </row>
    <row r="26" spans="2:76" x14ac:dyDescent="0.3">
      <c r="B26" s="763"/>
      <c r="C26" s="61" t="s">
        <v>111</v>
      </c>
      <c r="D26" s="62">
        <v>81.7</v>
      </c>
      <c r="E26" s="228">
        <v>128.1</v>
      </c>
      <c r="F26" s="229">
        <v>207.5</v>
      </c>
      <c r="G26" s="234">
        <v>486</v>
      </c>
      <c r="H26" s="226">
        <v>387.3</v>
      </c>
      <c r="I26" s="251">
        <v>390</v>
      </c>
      <c r="J26" s="246">
        <v>396.3</v>
      </c>
      <c r="K26" s="246">
        <v>395</v>
      </c>
      <c r="L26" s="226">
        <v>300</v>
      </c>
      <c r="M26" s="228">
        <v>200</v>
      </c>
      <c r="N26" s="230">
        <v>390</v>
      </c>
      <c r="O26" s="246">
        <v>463.1</v>
      </c>
      <c r="P26" s="228">
        <v>254.7</v>
      </c>
      <c r="Q26" s="260">
        <v>141</v>
      </c>
      <c r="R26" s="226">
        <v>255.5</v>
      </c>
      <c r="S26" s="246">
        <v>562.1</v>
      </c>
      <c r="T26" s="230">
        <v>444.2</v>
      </c>
      <c r="U26" s="212">
        <v>340.3</v>
      </c>
      <c r="V26" s="215">
        <v>188.5</v>
      </c>
      <c r="W26" s="260">
        <v>147.9</v>
      </c>
      <c r="X26" s="15">
        <v>116.1</v>
      </c>
      <c r="Y26" s="212">
        <v>388</v>
      </c>
      <c r="Z26" s="269">
        <v>565.20000000000005</v>
      </c>
      <c r="AA26" s="203">
        <v>390.9</v>
      </c>
      <c r="AB26" s="215">
        <v>151.80000000000001</v>
      </c>
      <c r="AC26" s="15">
        <v>252.7</v>
      </c>
      <c r="AD26" s="221">
        <v>308.60000000000002</v>
      </c>
      <c r="AE26" s="15">
        <v>176</v>
      </c>
      <c r="AF26" s="260">
        <v>154.6</v>
      </c>
      <c r="AG26" s="15">
        <v>404.6</v>
      </c>
      <c r="AH26" s="278">
        <v>310.2</v>
      </c>
      <c r="AI26" s="155">
        <f t="shared" si="8"/>
        <v>9377.9000000000015</v>
      </c>
      <c r="AJ26" s="118">
        <v>100</v>
      </c>
      <c r="AK26" s="121">
        <f>F26/(AJ26*432)</f>
        <v>4.8032407407407407E-3</v>
      </c>
      <c r="AL26" s="67">
        <f t="shared" si="38"/>
        <v>3.4041666666666665E-2</v>
      </c>
      <c r="AM26" s="68">
        <f t="shared" si="39"/>
        <v>5.3374999999999999E-2</v>
      </c>
      <c r="AN26" s="68">
        <f t="shared" si="39"/>
        <v>8.6458333333333331E-2</v>
      </c>
      <c r="AO26" s="68">
        <f t="shared" si="39"/>
        <v>0.20250000000000001</v>
      </c>
      <c r="AP26" s="68">
        <f t="shared" si="39"/>
        <v>0.16137500000000002</v>
      </c>
      <c r="AQ26" s="68">
        <f t="shared" si="39"/>
        <v>0.16250000000000001</v>
      </c>
      <c r="AR26" s="68">
        <f t="shared" si="39"/>
        <v>0.16512499999999999</v>
      </c>
      <c r="AS26" s="68">
        <f t="shared" si="39"/>
        <v>0.16458333333333333</v>
      </c>
      <c r="AT26" s="68">
        <f t="shared" si="39"/>
        <v>0.125</v>
      </c>
      <c r="AU26" s="68">
        <f t="shared" si="37"/>
        <v>8.3333333333333329E-2</v>
      </c>
      <c r="AV26" s="68">
        <f t="shared" si="37"/>
        <v>0.16250000000000001</v>
      </c>
      <c r="AW26" s="68">
        <f t="shared" si="37"/>
        <v>0.19295833333333334</v>
      </c>
      <c r="AX26" s="68">
        <f t="shared" si="37"/>
        <v>0.106125</v>
      </c>
      <c r="AY26" s="68">
        <f t="shared" si="37"/>
        <v>5.8749999999999997E-2</v>
      </c>
      <c r="AZ26" s="68">
        <f t="shared" si="37"/>
        <v>0.10645833333333334</v>
      </c>
      <c r="BA26" s="68">
        <f t="shared" si="40"/>
        <v>0.23420833333333335</v>
      </c>
      <c r="BB26" s="68">
        <f t="shared" si="32"/>
        <v>0.18508333333333332</v>
      </c>
      <c r="BC26" s="68">
        <f t="shared" si="25"/>
        <v>0.14179166666666668</v>
      </c>
      <c r="BD26" s="68">
        <f t="shared" si="26"/>
        <v>7.8541666666666662E-2</v>
      </c>
      <c r="BE26" s="68">
        <f t="shared" si="27"/>
        <v>6.1624999999999999E-2</v>
      </c>
      <c r="BF26" s="68">
        <f t="shared" si="28"/>
        <v>4.8374999999999994E-2</v>
      </c>
      <c r="BG26" s="68">
        <f t="shared" si="29"/>
        <v>0.16166666666666665</v>
      </c>
      <c r="BH26" s="68">
        <f t="shared" si="30"/>
        <v>0.23550000000000001</v>
      </c>
      <c r="BI26" s="68">
        <f t="shared" si="31"/>
        <v>0.16287499999999999</v>
      </c>
      <c r="BJ26" s="68">
        <f t="shared" si="41"/>
        <v>6.3250000000000001E-2</v>
      </c>
      <c r="BK26" s="68">
        <f t="shared" si="18"/>
        <v>0.10529166666666666</v>
      </c>
      <c r="BL26" s="68">
        <f t="shared" si="12"/>
        <v>0.12858333333333336</v>
      </c>
      <c r="BM26" s="68">
        <f t="shared" si="13"/>
        <v>7.3333333333333334E-2</v>
      </c>
      <c r="BN26" s="68">
        <f t="shared" si="14"/>
        <v>6.4416666666666664E-2</v>
      </c>
      <c r="BO26" s="68">
        <f t="shared" si="19"/>
        <v>0.16858333333333334</v>
      </c>
      <c r="BP26" s="70">
        <f t="shared" si="4"/>
        <v>0.13024861111111113</v>
      </c>
      <c r="BQ26" s="198">
        <f t="shared" si="36"/>
        <v>0.168125</v>
      </c>
      <c r="BR26" s="72">
        <f t="shared" si="22"/>
        <v>16.8125</v>
      </c>
      <c r="BS26" s="73">
        <f t="shared" si="23"/>
        <v>-8.1666666666666665E-2</v>
      </c>
      <c r="BT26" s="74">
        <f t="shared" si="7"/>
        <v>-3.7876388888888862E-2</v>
      </c>
      <c r="BU26" s="15" t="s">
        <v>111</v>
      </c>
      <c r="BV26" s="3"/>
      <c r="BW26" s="2"/>
      <c r="BX26" s="2"/>
    </row>
    <row r="27" spans="2:76" x14ac:dyDescent="0.3">
      <c r="B27" s="763"/>
      <c r="C27" s="61" t="s">
        <v>32</v>
      </c>
      <c r="D27" s="62">
        <v>141.30000000000001</v>
      </c>
      <c r="E27" s="226">
        <v>227.3</v>
      </c>
      <c r="F27" s="230">
        <v>307.10000000000002</v>
      </c>
      <c r="G27" s="233">
        <v>64.400000000000006</v>
      </c>
      <c r="H27" s="234">
        <v>340.2</v>
      </c>
      <c r="I27" s="248">
        <v>137</v>
      </c>
      <c r="J27" s="246">
        <v>436.1</v>
      </c>
      <c r="K27" s="246">
        <v>445.8</v>
      </c>
      <c r="L27" s="226">
        <v>309.8</v>
      </c>
      <c r="M27" s="228">
        <v>209.9</v>
      </c>
      <c r="N27" s="63">
        <v>431.7</v>
      </c>
      <c r="O27" s="246">
        <v>456.9</v>
      </c>
      <c r="P27" s="228">
        <v>163.80000000000001</v>
      </c>
      <c r="Q27" s="260">
        <v>117.2</v>
      </c>
      <c r="R27" s="226">
        <v>241.9</v>
      </c>
      <c r="S27" s="246">
        <v>509.1</v>
      </c>
      <c r="T27" s="233">
        <v>22</v>
      </c>
      <c r="U27" s="264">
        <v>135.69999999999999</v>
      </c>
      <c r="V27" s="215">
        <v>221.8</v>
      </c>
      <c r="W27" s="260">
        <v>125.2</v>
      </c>
      <c r="X27" s="15">
        <v>113.8</v>
      </c>
      <c r="Y27" s="207">
        <v>437</v>
      </c>
      <c r="Z27" s="272">
        <v>177.3</v>
      </c>
      <c r="AA27" s="143">
        <v>533.9</v>
      </c>
      <c r="AB27" s="215">
        <v>256.5</v>
      </c>
      <c r="AC27" s="15">
        <v>140.6</v>
      </c>
      <c r="AD27" s="221">
        <v>382.4</v>
      </c>
      <c r="AE27" s="15">
        <v>256.8</v>
      </c>
      <c r="AF27" s="15">
        <v>297.10000000000002</v>
      </c>
      <c r="AG27" s="15">
        <v>519.4</v>
      </c>
      <c r="AH27" s="278">
        <v>348.8</v>
      </c>
      <c r="AI27" s="155">
        <f t="shared" si="8"/>
        <v>8507.8000000000011</v>
      </c>
      <c r="AJ27" s="118">
        <v>100</v>
      </c>
      <c r="AK27" s="121">
        <f>F27/(AJ27*432)</f>
        <v>7.1087962962962971E-3</v>
      </c>
      <c r="AL27" s="67">
        <f t="shared" si="38"/>
        <v>5.8875000000000004E-2</v>
      </c>
      <c r="AM27" s="68">
        <f t="shared" si="39"/>
        <v>9.4708333333333339E-2</v>
      </c>
      <c r="AN27" s="68">
        <f t="shared" si="39"/>
        <v>0.12795833333333334</v>
      </c>
      <c r="AO27" s="68">
        <f t="shared" si="39"/>
        <v>2.6833333333333334E-2</v>
      </c>
      <c r="AP27" s="68">
        <f t="shared" si="39"/>
        <v>0.14174999999999999</v>
      </c>
      <c r="AQ27" s="68">
        <f t="shared" si="39"/>
        <v>5.7083333333333333E-2</v>
      </c>
      <c r="AR27" s="68">
        <f t="shared" si="39"/>
        <v>0.18170833333333333</v>
      </c>
      <c r="AS27" s="68">
        <f t="shared" si="39"/>
        <v>0.18575</v>
      </c>
      <c r="AT27" s="68">
        <f t="shared" si="39"/>
        <v>0.12908333333333333</v>
      </c>
      <c r="AU27" s="68">
        <f t="shared" si="37"/>
        <v>8.7458333333333332E-2</v>
      </c>
      <c r="AV27" s="68">
        <f t="shared" si="37"/>
        <v>0.17987500000000001</v>
      </c>
      <c r="AW27" s="68">
        <f t="shared" si="37"/>
        <v>0.19037499999999999</v>
      </c>
      <c r="AX27" s="68">
        <f t="shared" si="37"/>
        <v>6.8250000000000005E-2</v>
      </c>
      <c r="AY27" s="68">
        <f t="shared" si="37"/>
        <v>4.8833333333333333E-2</v>
      </c>
      <c r="AZ27" s="68">
        <f t="shared" si="37"/>
        <v>0.10079166666666667</v>
      </c>
      <c r="BA27" s="68">
        <f t="shared" si="40"/>
        <v>0.21212500000000001</v>
      </c>
      <c r="BB27" s="68">
        <f t="shared" si="32"/>
        <v>9.1666666666666667E-3</v>
      </c>
      <c r="BC27" s="68">
        <f t="shared" si="25"/>
        <v>5.6541666666666664E-2</v>
      </c>
      <c r="BD27" s="68">
        <f t="shared" si="26"/>
        <v>9.2416666666666675E-2</v>
      </c>
      <c r="BE27" s="68">
        <f t="shared" si="27"/>
        <v>5.2166666666666667E-2</v>
      </c>
      <c r="BF27" s="68">
        <f t="shared" si="28"/>
        <v>4.7416666666666663E-2</v>
      </c>
      <c r="BG27" s="68">
        <f t="shared" si="29"/>
        <v>0.18208333333333335</v>
      </c>
      <c r="BH27" s="68">
        <f t="shared" si="30"/>
        <v>7.387500000000001E-2</v>
      </c>
      <c r="BI27" s="68">
        <f t="shared" si="31"/>
        <v>0.22245833333333331</v>
      </c>
      <c r="BJ27" s="68">
        <f t="shared" si="41"/>
        <v>0.106875</v>
      </c>
      <c r="BK27" s="68">
        <f t="shared" si="18"/>
        <v>5.8583333333333328E-2</v>
      </c>
      <c r="BL27" s="68">
        <f t="shared" si="12"/>
        <v>0.15933333333333333</v>
      </c>
      <c r="BM27" s="68">
        <f t="shared" si="13"/>
        <v>0.107</v>
      </c>
      <c r="BN27" s="68">
        <f t="shared" si="14"/>
        <v>0.12379166666666667</v>
      </c>
      <c r="BO27" s="68">
        <f t="shared" si="19"/>
        <v>0.21641666666666665</v>
      </c>
      <c r="BP27" s="70">
        <f t="shared" si="4"/>
        <v>0.1181638888888889</v>
      </c>
      <c r="BQ27" s="198">
        <f t="shared" si="36"/>
        <v>0.168125</v>
      </c>
      <c r="BR27" s="72">
        <f t="shared" si="22"/>
        <v>16.8125</v>
      </c>
      <c r="BS27" s="73">
        <f t="shared" si="23"/>
        <v>-4.0166666666666656E-2</v>
      </c>
      <c r="BT27" s="74">
        <f t="shared" si="7"/>
        <v>-4.9961111111111095E-2</v>
      </c>
      <c r="BU27" s="15" t="s">
        <v>32</v>
      </c>
      <c r="BV27" s="3"/>
      <c r="BW27" s="2"/>
      <c r="BX27" s="2"/>
    </row>
    <row r="28" spans="2:76" ht="15" thickBot="1" x14ac:dyDescent="0.35">
      <c r="B28" s="763"/>
      <c r="C28" s="61" t="s">
        <v>112</v>
      </c>
      <c r="D28" s="224">
        <v>101.5</v>
      </c>
      <c r="E28" s="228">
        <v>137.69999999999999</v>
      </c>
      <c r="F28" s="232">
        <v>245.7</v>
      </c>
      <c r="G28" s="236">
        <v>485.3</v>
      </c>
      <c r="H28" s="237">
        <v>239.2</v>
      </c>
      <c r="I28" s="247">
        <v>488.2</v>
      </c>
      <c r="J28" s="247">
        <v>467.9</v>
      </c>
      <c r="K28" s="253">
        <v>424.9</v>
      </c>
      <c r="L28" s="254">
        <v>257.8</v>
      </c>
      <c r="M28" s="258">
        <v>182.5</v>
      </c>
      <c r="N28" s="253">
        <v>501.4</v>
      </c>
      <c r="O28" s="253">
        <v>507.6</v>
      </c>
      <c r="P28" s="258">
        <v>135</v>
      </c>
      <c r="Q28" s="260">
        <v>109.1</v>
      </c>
      <c r="R28" s="254">
        <v>348.3</v>
      </c>
      <c r="S28" s="230">
        <v>574.1</v>
      </c>
      <c r="T28" s="232">
        <v>453.55</v>
      </c>
      <c r="U28" s="211">
        <v>205.2</v>
      </c>
      <c r="V28" s="216">
        <v>159.9</v>
      </c>
      <c r="W28" s="260">
        <v>151.30000000000001</v>
      </c>
      <c r="X28" s="22">
        <v>250.3</v>
      </c>
      <c r="Y28" s="230">
        <v>320.7</v>
      </c>
      <c r="Z28" s="271">
        <v>595.79999999999995</v>
      </c>
      <c r="AA28" s="199">
        <v>562.4</v>
      </c>
      <c r="AB28" s="216">
        <v>111.5</v>
      </c>
      <c r="AC28" s="22">
        <v>226.8</v>
      </c>
      <c r="AD28" s="277">
        <v>297.10000000000002</v>
      </c>
      <c r="AE28" s="22">
        <v>352.3</v>
      </c>
      <c r="AF28" s="22">
        <v>238.3</v>
      </c>
      <c r="AG28" s="22">
        <v>477.1</v>
      </c>
      <c r="AH28" s="280">
        <v>393.3</v>
      </c>
      <c r="AI28" s="155">
        <f t="shared" si="8"/>
        <v>10001.75</v>
      </c>
      <c r="AJ28" s="119">
        <v>100</v>
      </c>
      <c r="AK28" s="121"/>
      <c r="AL28" s="98">
        <f t="shared" si="38"/>
        <v>4.2291666666666665E-2</v>
      </c>
      <c r="AM28" s="99">
        <f t="shared" si="39"/>
        <v>5.7374999999999995E-2</v>
      </c>
      <c r="AN28" s="99">
        <f t="shared" si="39"/>
        <v>0.10237499999999999</v>
      </c>
      <c r="AO28" s="99">
        <f t="shared" si="39"/>
        <v>0.20220833333333335</v>
      </c>
      <c r="AP28" s="99">
        <f t="shared" si="39"/>
        <v>9.9666666666666667E-2</v>
      </c>
      <c r="AQ28" s="99">
        <f t="shared" si="39"/>
        <v>0.20341666666666666</v>
      </c>
      <c r="AR28" s="99">
        <f t="shared" si="39"/>
        <v>0.19495833333333332</v>
      </c>
      <c r="AS28" s="99">
        <f t="shared" si="39"/>
        <v>0.17704166666666665</v>
      </c>
      <c r="AT28" s="99">
        <f t="shared" si="39"/>
        <v>0.10741666666666667</v>
      </c>
      <c r="AU28" s="99">
        <f t="shared" si="37"/>
        <v>7.604166666666666E-2</v>
      </c>
      <c r="AV28" s="99">
        <f t="shared" si="37"/>
        <v>0.20891666666666667</v>
      </c>
      <c r="AW28" s="99">
        <f t="shared" si="37"/>
        <v>0.21150000000000002</v>
      </c>
      <c r="AX28" s="99">
        <f t="shared" si="37"/>
        <v>5.6250000000000001E-2</v>
      </c>
      <c r="AY28" s="99">
        <f t="shared" si="37"/>
        <v>4.545833333333333E-2</v>
      </c>
      <c r="AZ28" s="99">
        <f t="shared" si="37"/>
        <v>0.145125</v>
      </c>
      <c r="BA28" s="99">
        <f t="shared" si="40"/>
        <v>0.23920833333333336</v>
      </c>
      <c r="BB28" s="99">
        <f t="shared" si="32"/>
        <v>0.18897916666666667</v>
      </c>
      <c r="BC28" s="99">
        <f t="shared" si="25"/>
        <v>8.5499999999999993E-2</v>
      </c>
      <c r="BD28" s="99">
        <f t="shared" si="26"/>
        <v>6.6625000000000004E-2</v>
      </c>
      <c r="BE28" s="99">
        <f t="shared" si="27"/>
        <v>6.3041666666666676E-2</v>
      </c>
      <c r="BF28" s="99">
        <f t="shared" si="28"/>
        <v>0.10429166666666667</v>
      </c>
      <c r="BG28" s="99">
        <f t="shared" si="29"/>
        <v>0.13362499999999999</v>
      </c>
      <c r="BH28" s="99">
        <f t="shared" si="30"/>
        <v>0.24824999999999997</v>
      </c>
      <c r="BI28" s="99">
        <f t="shared" si="31"/>
        <v>0.23433333333333331</v>
      </c>
      <c r="BJ28" s="99">
        <f t="shared" si="41"/>
        <v>4.6458333333333331E-2</v>
      </c>
      <c r="BK28" s="99">
        <f t="shared" si="18"/>
        <v>9.4500000000000001E-2</v>
      </c>
      <c r="BL28" s="99">
        <f t="shared" si="12"/>
        <v>0.12379166666666667</v>
      </c>
      <c r="BM28" s="99">
        <f t="shared" si="13"/>
        <v>0.14679166666666668</v>
      </c>
      <c r="BN28" s="99">
        <f t="shared" si="14"/>
        <v>9.9291666666666667E-2</v>
      </c>
      <c r="BO28" s="99">
        <f t="shared" si="19"/>
        <v>0.19879166666666667</v>
      </c>
      <c r="BP28" s="101">
        <f t="shared" si="4"/>
        <v>0.13891319444444444</v>
      </c>
      <c r="BQ28" s="198">
        <f t="shared" si="36"/>
        <v>0.168125</v>
      </c>
      <c r="BR28" s="72">
        <f t="shared" si="22"/>
        <v>16.8125</v>
      </c>
      <c r="BS28" s="73">
        <f t="shared" si="23"/>
        <v>-6.5750000000000003E-2</v>
      </c>
      <c r="BT28" s="74">
        <f t="shared" si="7"/>
        <v>-2.9211805555555553E-2</v>
      </c>
      <c r="BU28" s="15" t="s">
        <v>112</v>
      </c>
      <c r="BV28" s="3"/>
      <c r="BW28" s="2"/>
      <c r="BX28" s="2"/>
    </row>
    <row r="29" spans="2:76" ht="18" x14ac:dyDescent="0.3">
      <c r="B29" s="766" t="s">
        <v>113</v>
      </c>
      <c r="C29" s="766"/>
      <c r="D29" s="103">
        <f t="shared" ref="D29:AJ29" si="42">SUM(D5:D28)</f>
        <v>1874</v>
      </c>
      <c r="E29" s="103">
        <f t="shared" si="42"/>
        <v>4865.7</v>
      </c>
      <c r="F29" s="103">
        <f t="shared" si="42"/>
        <v>6991.8499999999995</v>
      </c>
      <c r="G29" s="103">
        <f t="shared" si="42"/>
        <v>7857.01</v>
      </c>
      <c r="H29" s="103">
        <f t="shared" si="42"/>
        <v>6318.2000000000007</v>
      </c>
      <c r="I29" s="103">
        <f t="shared" si="42"/>
        <v>8568.3000000000011</v>
      </c>
      <c r="J29" s="103">
        <f t="shared" si="42"/>
        <v>8987.4999999999982</v>
      </c>
      <c r="K29" s="103">
        <f t="shared" si="42"/>
        <v>7949.6500000000005</v>
      </c>
      <c r="L29" s="103">
        <f t="shared" si="42"/>
        <v>6375.2400000000007</v>
      </c>
      <c r="M29" s="103">
        <f t="shared" si="42"/>
        <v>4538.54</v>
      </c>
      <c r="N29" s="103">
        <f t="shared" si="42"/>
        <v>7733.14</v>
      </c>
      <c r="O29" s="103">
        <f t="shared" si="42"/>
        <v>10561.789999999999</v>
      </c>
      <c r="P29" s="103">
        <f t="shared" si="42"/>
        <v>6660.7</v>
      </c>
      <c r="Q29" s="103">
        <f>SUM(Q5:Q28)</f>
        <v>3176.7000000000003</v>
      </c>
      <c r="R29" s="103">
        <f t="shared" si="42"/>
        <v>5464.62</v>
      </c>
      <c r="S29" s="103">
        <f t="shared" si="42"/>
        <v>9247.2000000000007</v>
      </c>
      <c r="T29" s="103">
        <f t="shared" si="42"/>
        <v>8724.2499999999982</v>
      </c>
      <c r="U29" s="104">
        <f t="shared" si="42"/>
        <v>7515.6</v>
      </c>
      <c r="V29" s="104">
        <f t="shared" si="42"/>
        <v>4270.8200000000006</v>
      </c>
      <c r="W29" s="104">
        <f t="shared" si="42"/>
        <v>2403.0700000000002</v>
      </c>
      <c r="X29" s="104">
        <f t="shared" si="42"/>
        <v>3080.4000000000005</v>
      </c>
      <c r="Y29" s="104">
        <f t="shared" si="42"/>
        <v>6895.3899999999994</v>
      </c>
      <c r="Z29" s="104">
        <f t="shared" si="42"/>
        <v>8448.99</v>
      </c>
      <c r="AA29" s="104">
        <f t="shared" si="42"/>
        <v>11342.269999999999</v>
      </c>
      <c r="AB29" s="104">
        <f t="shared" si="42"/>
        <v>4497.7</v>
      </c>
      <c r="AC29" s="104">
        <f t="shared" si="42"/>
        <v>5145.93</v>
      </c>
      <c r="AD29" s="104">
        <f t="shared" si="42"/>
        <v>5453.77</v>
      </c>
      <c r="AE29" s="104">
        <f t="shared" si="42"/>
        <v>4677.8100000000004</v>
      </c>
      <c r="AF29" s="104">
        <f t="shared" si="42"/>
        <v>6391.8</v>
      </c>
      <c r="AG29" s="104">
        <f t="shared" si="42"/>
        <v>9993.7199999999993</v>
      </c>
      <c r="AH29" s="104">
        <f t="shared" si="42"/>
        <v>8112.39</v>
      </c>
      <c r="AI29" s="189">
        <f t="shared" si="42"/>
        <v>204124.05000000002</v>
      </c>
      <c r="AJ29" s="104">
        <f t="shared" si="42"/>
        <v>2106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V29" s="3"/>
      <c r="BW29" s="2"/>
      <c r="BX29" s="2"/>
    </row>
    <row r="30" spans="2:76" ht="18.600000000000001" thickBot="1" x14ac:dyDescent="0.3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190" t="str">
        <f>_xlfn.CONCAT(ROUND(AI29/1000,3)," MWh")</f>
        <v>204,124 MWh</v>
      </c>
      <c r="AJ30" s="2"/>
      <c r="BR30" s="9"/>
      <c r="BT30" s="2"/>
      <c r="BV30" s="2"/>
      <c r="BW30" s="2"/>
      <c r="BX30" s="2"/>
    </row>
    <row r="31" spans="2:76" ht="15" thickBot="1" x14ac:dyDescent="0.35">
      <c r="C31" s="105"/>
      <c r="D31" t="s">
        <v>36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61"/>
      <c r="U31" s="2"/>
      <c r="V31" s="2"/>
      <c r="W31" s="2"/>
      <c r="X31" s="2"/>
      <c r="Y31" s="2"/>
      <c r="Z31" s="2"/>
      <c r="AA31" s="2"/>
      <c r="AB31" s="2"/>
      <c r="AC31" s="2"/>
      <c r="AD31" s="2"/>
      <c r="AE31" s="767" t="s">
        <v>194</v>
      </c>
      <c r="AF31" s="767"/>
      <c r="AG31" s="767"/>
      <c r="AH31" s="15"/>
      <c r="AI31" s="191" t="str">
        <f>_xlfn.CONCAT(ROUND($AI$29/COUNTIF($D$29:$AG$29,"&lt;&gt;0"),3)," kWh")</f>
        <v>6804,135 kWh</v>
      </c>
      <c r="AJ31" s="2"/>
      <c r="AK31" s="2"/>
      <c r="AL31" s="2"/>
      <c r="AM31" s="2"/>
      <c r="BR31" s="11"/>
      <c r="BT31" s="106"/>
      <c r="BU31" s="3" t="s">
        <v>114</v>
      </c>
    </row>
    <row r="32" spans="2:76" ht="15" thickBot="1" x14ac:dyDescent="0.35">
      <c r="C32" s="107"/>
      <c r="D32" t="s">
        <v>115</v>
      </c>
      <c r="E32" s="2"/>
      <c r="F32" s="2"/>
      <c r="G32" s="2"/>
      <c r="H32" s="161"/>
      <c r="I32" s="2"/>
      <c r="J32" s="161"/>
      <c r="K32" s="2"/>
      <c r="L32" s="161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>
        <f>37916.7-3.4</f>
        <v>37913.299999999996</v>
      </c>
      <c r="Y32" s="2">
        <v>38234</v>
      </c>
      <c r="Z32" s="2">
        <f>Y32-X32</f>
        <v>320.70000000000437</v>
      </c>
      <c r="AA32" s="2"/>
      <c r="AB32" s="2"/>
      <c r="AC32" s="2"/>
      <c r="AD32" s="2"/>
      <c r="AE32" s="767" t="s">
        <v>195</v>
      </c>
      <c r="AF32" s="767"/>
      <c r="AG32" s="767"/>
      <c r="AH32" s="15"/>
      <c r="AI32" s="191" t="str">
        <f>_xlfn.CONCAT(ROUND($AI$29/COUNTIF($D$29:$AG$29,"&lt;&gt;0"),3)*30," kWh")</f>
        <v>204124,05 kWh</v>
      </c>
      <c r="AJ32" s="2"/>
      <c r="AK32" s="2"/>
      <c r="AL32" s="2"/>
      <c r="AM32" s="2"/>
      <c r="BR32" s="2"/>
      <c r="BT32" s="109"/>
      <c r="BU32" s="5" t="s">
        <v>116</v>
      </c>
    </row>
    <row r="33" spans="2:39" x14ac:dyDescent="0.3">
      <c r="AE33" s="767" t="s">
        <v>195</v>
      </c>
      <c r="AF33" s="767"/>
      <c r="AG33" s="767"/>
      <c r="AH33" s="15"/>
      <c r="AI33" s="191" t="str">
        <f>_xlfn.CONCAT(ROUND(($AI$29/COUNTIF($D$29:$AG$29,"&lt;&gt;0"))*30/1000,3)," MWh")</f>
        <v>204,124 MWh</v>
      </c>
    </row>
    <row r="39" spans="2:39" x14ac:dyDescent="0.3">
      <c r="E39" t="str">
        <f>TEXT(E40,"dddd")</f>
        <v>sábado</v>
      </c>
      <c r="F39" t="str">
        <f>TEXT(F40,"dddd")</f>
        <v>domingo</v>
      </c>
      <c r="L39" t="str">
        <f>TEXT(L40,"dddd")</f>
        <v>sábado</v>
      </c>
      <c r="M39" t="str">
        <f>TEXT(M40,"dddd")</f>
        <v>domingo</v>
      </c>
      <c r="S39" t="str">
        <f>TEXT(S40,"dddd")</f>
        <v>sábado</v>
      </c>
      <c r="T39" t="str">
        <f>TEXT(T40,"dddd")</f>
        <v>domingo</v>
      </c>
      <c r="Z39" t="str">
        <f>TEXT(Z40,"dddd")</f>
        <v>sábado</v>
      </c>
      <c r="AA39" t="str">
        <f>TEXT(AA40,"dddd")</f>
        <v>domingo</v>
      </c>
      <c r="AG39" t="str">
        <f>TEXT(AG40,"dddd")</f>
        <v>sábado</v>
      </c>
    </row>
    <row r="40" spans="2:39" x14ac:dyDescent="0.3">
      <c r="B40" s="141" t="s">
        <v>117</v>
      </c>
      <c r="C40" s="141" t="s">
        <v>118</v>
      </c>
      <c r="D40" s="140">
        <v>45170</v>
      </c>
      <c r="E40" s="140">
        <v>45171</v>
      </c>
      <c r="F40" s="140">
        <v>45172</v>
      </c>
      <c r="G40" s="140">
        <v>45173</v>
      </c>
      <c r="H40" s="140">
        <v>45174</v>
      </c>
      <c r="I40" s="140">
        <v>45175</v>
      </c>
      <c r="J40" s="140">
        <v>45176</v>
      </c>
      <c r="K40" s="140">
        <v>45177</v>
      </c>
      <c r="L40" s="140">
        <v>45178</v>
      </c>
      <c r="M40" s="140">
        <v>45179</v>
      </c>
      <c r="N40" s="140">
        <v>45180</v>
      </c>
      <c r="O40" s="140">
        <v>45181</v>
      </c>
      <c r="P40" s="140">
        <v>45182</v>
      </c>
      <c r="Q40" s="140">
        <v>45183</v>
      </c>
      <c r="R40" s="140">
        <v>45184</v>
      </c>
      <c r="S40" s="140">
        <v>45185</v>
      </c>
      <c r="T40" s="140">
        <v>45186</v>
      </c>
      <c r="U40" s="140">
        <v>45187</v>
      </c>
      <c r="V40" s="140">
        <v>45188</v>
      </c>
      <c r="W40" s="140">
        <v>45189</v>
      </c>
      <c r="X40" s="140">
        <v>45190</v>
      </c>
      <c r="Y40" s="140">
        <v>45191</v>
      </c>
      <c r="Z40" s="140">
        <v>45192</v>
      </c>
      <c r="AA40" s="140">
        <v>45193</v>
      </c>
      <c r="AB40" s="140">
        <v>45194</v>
      </c>
      <c r="AC40" s="140">
        <v>45195</v>
      </c>
      <c r="AD40" s="140">
        <v>45196</v>
      </c>
      <c r="AE40" s="140">
        <v>45197</v>
      </c>
      <c r="AF40" s="140">
        <v>45198</v>
      </c>
      <c r="AG40" s="140">
        <v>45199</v>
      </c>
      <c r="AH40" s="281"/>
      <c r="AM40" s="63">
        <v>19.7</v>
      </c>
    </row>
    <row r="41" spans="2:39" x14ac:dyDescent="0.3">
      <c r="B41" s="751" t="s">
        <v>6</v>
      </c>
      <c r="C41" s="18" t="s">
        <v>7</v>
      </c>
      <c r="D41" s="163">
        <f>D5+Agosto23!AF41</f>
        <v>48853</v>
      </c>
      <c r="E41" s="164">
        <f>D41+E5</f>
        <v>48869.3</v>
      </c>
      <c r="F41" s="164">
        <f>E41+F5</f>
        <v>48905.700000000004</v>
      </c>
      <c r="G41" s="165">
        <v>49036.4</v>
      </c>
      <c r="H41" s="166">
        <v>49076</v>
      </c>
      <c r="I41" s="163">
        <f>H41+I5</f>
        <v>49127.7</v>
      </c>
      <c r="J41" s="163">
        <f t="shared" ref="J41:V41" si="43">I41+J5</f>
        <v>49186.1</v>
      </c>
      <c r="K41" s="163">
        <f t="shared" si="43"/>
        <v>49242.2</v>
      </c>
      <c r="L41" s="163">
        <f t="shared" si="43"/>
        <v>49280.5</v>
      </c>
      <c r="M41" s="163">
        <f t="shared" si="43"/>
        <v>49302.1</v>
      </c>
      <c r="N41" s="163">
        <f t="shared" si="43"/>
        <v>49343.5</v>
      </c>
      <c r="O41" s="163">
        <f t="shared" si="43"/>
        <v>49408.1</v>
      </c>
      <c r="P41" s="163">
        <f t="shared" si="43"/>
        <v>49453.9</v>
      </c>
      <c r="Q41" s="163">
        <f t="shared" si="43"/>
        <v>49465.8</v>
      </c>
      <c r="R41" s="163">
        <f t="shared" si="43"/>
        <v>49487.600000000006</v>
      </c>
      <c r="S41" s="163">
        <f t="shared" si="43"/>
        <v>49534.500000000007</v>
      </c>
      <c r="T41" s="163">
        <f t="shared" si="43"/>
        <v>49583.100000000006</v>
      </c>
      <c r="U41" s="163">
        <f t="shared" si="43"/>
        <v>49631.700000000004</v>
      </c>
      <c r="V41" s="163">
        <f t="shared" si="43"/>
        <v>49662.700000000004</v>
      </c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M41" s="63">
        <f>20.7+88.5</f>
        <v>109.2</v>
      </c>
    </row>
    <row r="42" spans="2:39" x14ac:dyDescent="0.3">
      <c r="B42" s="752"/>
      <c r="C42" s="18" t="s">
        <v>8</v>
      </c>
      <c r="D42" s="163">
        <f>D6+Agosto23!AF42</f>
        <v>98827.3</v>
      </c>
      <c r="E42" s="164">
        <f t="shared" ref="E42:F57" si="44">D42+E6</f>
        <v>98997.3</v>
      </c>
      <c r="F42" s="164">
        <f t="shared" si="44"/>
        <v>99174.6</v>
      </c>
      <c r="G42" s="165">
        <f>21775+78123.8</f>
        <v>99898.8</v>
      </c>
      <c r="H42" s="166">
        <f>21823+78322.8</f>
        <v>100145.8</v>
      </c>
      <c r="I42" s="163">
        <f t="shared" ref="I42:V57" si="45">H42+I6</f>
        <v>100425.40000000001</v>
      </c>
      <c r="J42" s="163">
        <f t="shared" si="45"/>
        <v>100773.3</v>
      </c>
      <c r="K42" s="163">
        <f t="shared" si="45"/>
        <v>101078.1</v>
      </c>
      <c r="L42" s="163">
        <f t="shared" si="45"/>
        <v>101295.70000000001</v>
      </c>
      <c r="M42" s="163">
        <f t="shared" si="45"/>
        <v>101422.1</v>
      </c>
      <c r="N42" s="163">
        <f t="shared" si="45"/>
        <v>101640.8</v>
      </c>
      <c r="O42" s="163">
        <f t="shared" si="45"/>
        <v>102017.7</v>
      </c>
      <c r="P42" s="163">
        <f t="shared" si="45"/>
        <v>102227.3</v>
      </c>
      <c r="Q42" s="163">
        <f t="shared" si="45"/>
        <v>102318.90000000001</v>
      </c>
      <c r="R42" s="163">
        <f t="shared" si="45"/>
        <v>102445.20000000001</v>
      </c>
      <c r="S42" s="163">
        <f t="shared" si="45"/>
        <v>102708.20000000001</v>
      </c>
      <c r="T42" s="163">
        <f t="shared" si="45"/>
        <v>102991.6</v>
      </c>
      <c r="U42" s="163">
        <f t="shared" si="45"/>
        <v>103261.6</v>
      </c>
      <c r="V42" s="163">
        <f t="shared" si="45"/>
        <v>103438.40000000001</v>
      </c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M42" s="63">
        <v>82.2</v>
      </c>
    </row>
    <row r="43" spans="2:39" x14ac:dyDescent="0.3">
      <c r="B43" s="752"/>
      <c r="C43" s="18" t="s">
        <v>9</v>
      </c>
      <c r="D43" s="163">
        <f>D7+Agosto23!AF43</f>
        <v>69707.199999999997</v>
      </c>
      <c r="E43" s="164">
        <f t="shared" si="44"/>
        <v>69836.099999999991</v>
      </c>
      <c r="F43" s="164">
        <f t="shared" si="44"/>
        <v>69990.799999999988</v>
      </c>
      <c r="G43" s="165">
        <v>70458.2</v>
      </c>
      <c r="H43" s="166">
        <v>70615.5</v>
      </c>
      <c r="I43" s="163">
        <f t="shared" si="45"/>
        <v>70824.5</v>
      </c>
      <c r="J43" s="163">
        <f t="shared" si="45"/>
        <v>71062.399999999994</v>
      </c>
      <c r="K43" s="163">
        <f t="shared" si="45"/>
        <v>71287.299999999988</v>
      </c>
      <c r="L43" s="163">
        <f t="shared" si="45"/>
        <v>71440.199999999983</v>
      </c>
      <c r="M43" s="163">
        <f t="shared" si="45"/>
        <v>71526.199999999983</v>
      </c>
      <c r="N43" s="163">
        <f t="shared" si="45"/>
        <v>71699.199999999983</v>
      </c>
      <c r="O43" s="163">
        <f t="shared" si="45"/>
        <v>71955.699999999983</v>
      </c>
      <c r="P43" s="163">
        <f t="shared" si="45"/>
        <v>72143.799999999988</v>
      </c>
      <c r="Q43" s="163">
        <f t="shared" si="45"/>
        <v>72210.299999999988</v>
      </c>
      <c r="R43" s="163">
        <f t="shared" si="45"/>
        <v>72299.999999999985</v>
      </c>
      <c r="S43" s="163">
        <f t="shared" si="45"/>
        <v>72493.499999999985</v>
      </c>
      <c r="T43" s="163">
        <f t="shared" si="45"/>
        <v>72688.299999999988</v>
      </c>
      <c r="U43" s="163">
        <f t="shared" si="45"/>
        <v>72883.699999999983</v>
      </c>
      <c r="V43" s="163">
        <f t="shared" si="45"/>
        <v>73006.999999999985</v>
      </c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M43" s="63">
        <v>57.3</v>
      </c>
    </row>
    <row r="44" spans="2:39" x14ac:dyDescent="0.3">
      <c r="B44" s="752"/>
      <c r="C44" s="18" t="s">
        <v>10</v>
      </c>
      <c r="D44" s="163">
        <f>D8+Agosto23!AF44</f>
        <v>95651.4</v>
      </c>
      <c r="E44" s="164">
        <f t="shared" si="44"/>
        <v>95739.9</v>
      </c>
      <c r="F44" s="164">
        <f t="shared" si="44"/>
        <v>95845.9</v>
      </c>
      <c r="G44" s="165">
        <v>96154</v>
      </c>
      <c r="H44" s="166">
        <v>96261.9</v>
      </c>
      <c r="I44" s="163">
        <f t="shared" si="45"/>
        <v>96401.7</v>
      </c>
      <c r="J44" s="163">
        <f t="shared" si="45"/>
        <v>96562.2</v>
      </c>
      <c r="K44" s="163">
        <f t="shared" si="45"/>
        <v>96709.599999999991</v>
      </c>
      <c r="L44" s="163">
        <f t="shared" si="45"/>
        <v>96812.999999999985</v>
      </c>
      <c r="M44" s="163">
        <f t="shared" si="45"/>
        <v>96872.699999999983</v>
      </c>
      <c r="N44" s="163">
        <f t="shared" si="45"/>
        <v>96990.999999999985</v>
      </c>
      <c r="O44" s="163">
        <f t="shared" si="45"/>
        <v>97162.099999999991</v>
      </c>
      <c r="P44" s="163">
        <f t="shared" si="45"/>
        <v>97287.9</v>
      </c>
      <c r="Q44" s="163">
        <f t="shared" si="45"/>
        <v>97334.2</v>
      </c>
      <c r="R44" s="163">
        <f t="shared" si="45"/>
        <v>97396.5</v>
      </c>
      <c r="S44" s="163">
        <f t="shared" si="45"/>
        <v>97527.8</v>
      </c>
      <c r="T44" s="163">
        <f t="shared" si="45"/>
        <v>97659.7</v>
      </c>
      <c r="U44" s="163">
        <f t="shared" si="45"/>
        <v>97790.7</v>
      </c>
      <c r="V44" s="163">
        <f t="shared" si="45"/>
        <v>97875.4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v>17.7</v>
      </c>
    </row>
    <row r="45" spans="2:39" x14ac:dyDescent="0.3">
      <c r="B45" s="752"/>
      <c r="C45" s="18" t="s">
        <v>11</v>
      </c>
      <c r="D45" s="163">
        <f>D9+Agosto23!AF45</f>
        <v>18766</v>
      </c>
      <c r="E45" s="164">
        <f t="shared" si="44"/>
        <v>18795.3</v>
      </c>
      <c r="F45" s="164">
        <f t="shared" si="44"/>
        <v>18830.5</v>
      </c>
      <c r="G45" s="165">
        <v>18957</v>
      </c>
      <c r="H45" s="166">
        <v>18998</v>
      </c>
      <c r="I45" s="163">
        <f t="shared" si="45"/>
        <v>19051.900000000001</v>
      </c>
      <c r="J45" s="163">
        <f t="shared" si="45"/>
        <v>19108.5</v>
      </c>
      <c r="K45" s="163">
        <f t="shared" si="45"/>
        <v>19159.2</v>
      </c>
      <c r="L45" s="163">
        <f t="shared" si="45"/>
        <v>19202.3</v>
      </c>
      <c r="M45" s="163">
        <f t="shared" si="45"/>
        <v>19223.2</v>
      </c>
      <c r="N45" s="163">
        <f t="shared" si="45"/>
        <v>19256</v>
      </c>
      <c r="O45" s="163">
        <f t="shared" si="45"/>
        <v>19318</v>
      </c>
      <c r="P45" s="163">
        <f t="shared" si="45"/>
        <v>19359.599999999999</v>
      </c>
      <c r="Q45" s="163">
        <f t="shared" si="45"/>
        <v>19375.199999999997</v>
      </c>
      <c r="R45" s="163">
        <f t="shared" si="45"/>
        <v>19396.099999999999</v>
      </c>
      <c r="S45" s="163">
        <f t="shared" si="45"/>
        <v>19432.8</v>
      </c>
      <c r="T45" s="163">
        <f t="shared" si="45"/>
        <v>19483.099999999999</v>
      </c>
      <c r="U45" s="163">
        <f t="shared" si="45"/>
        <v>19526.399999999998</v>
      </c>
      <c r="V45" s="163">
        <f t="shared" si="45"/>
        <v>19559.699999999997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37.700000000000003</v>
      </c>
    </row>
    <row r="46" spans="2:39" x14ac:dyDescent="0.3">
      <c r="B46" s="752"/>
      <c r="C46" s="18" t="s">
        <v>12</v>
      </c>
      <c r="D46" s="163">
        <f>D10+Agosto23!AF46</f>
        <v>58164.299999999996</v>
      </c>
      <c r="E46" s="164">
        <f t="shared" si="44"/>
        <v>58227.199999999997</v>
      </c>
      <c r="F46" s="164">
        <f t="shared" si="44"/>
        <v>58304.1</v>
      </c>
      <c r="G46" s="165">
        <v>58550</v>
      </c>
      <c r="H46" s="166">
        <v>58640</v>
      </c>
      <c r="I46" s="163">
        <f t="shared" si="45"/>
        <v>58755.9</v>
      </c>
      <c r="J46" s="163">
        <f t="shared" si="45"/>
        <v>58877.8</v>
      </c>
      <c r="K46" s="163">
        <f t="shared" si="45"/>
        <v>58984.3</v>
      </c>
      <c r="L46" s="163">
        <f t="shared" si="45"/>
        <v>59071.8</v>
      </c>
      <c r="M46" s="163">
        <f t="shared" si="45"/>
        <v>59117.3</v>
      </c>
      <c r="N46" s="163">
        <f t="shared" si="45"/>
        <v>59187.8</v>
      </c>
      <c r="O46" s="163">
        <f t="shared" si="45"/>
        <v>59320.3</v>
      </c>
      <c r="P46" s="163">
        <f t="shared" si="45"/>
        <v>59407</v>
      </c>
      <c r="Q46" s="163">
        <f t="shared" si="45"/>
        <v>59441.2</v>
      </c>
      <c r="R46" s="163">
        <f t="shared" si="45"/>
        <v>59486.299999999996</v>
      </c>
      <c r="S46" s="163">
        <f t="shared" si="45"/>
        <v>59563.399999999994</v>
      </c>
      <c r="T46" s="163">
        <f t="shared" si="45"/>
        <v>59666.299999999996</v>
      </c>
      <c r="U46" s="163">
        <f t="shared" si="45"/>
        <v>59754.799999999996</v>
      </c>
      <c r="V46" s="163">
        <f t="shared" si="45"/>
        <v>59824.799999999996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151.30000000000001</v>
      </c>
    </row>
    <row r="47" spans="2:39" x14ac:dyDescent="0.3">
      <c r="B47" s="752"/>
      <c r="C47" s="18" t="s">
        <v>13</v>
      </c>
      <c r="D47" s="163">
        <f>D11+Agosto23!AF47</f>
        <v>230042.6</v>
      </c>
      <c r="E47" s="164">
        <f t="shared" si="44"/>
        <v>230250.30000000002</v>
      </c>
      <c r="F47" s="164">
        <f t="shared" si="44"/>
        <v>230502.90000000002</v>
      </c>
      <c r="G47" s="165">
        <v>231148.9</v>
      </c>
      <c r="H47" s="166">
        <v>231319.5</v>
      </c>
      <c r="I47" s="163">
        <f t="shared" si="45"/>
        <v>231409.6</v>
      </c>
      <c r="J47" s="163">
        <f t="shared" si="45"/>
        <v>231409.6</v>
      </c>
      <c r="K47" s="163">
        <f t="shared" si="45"/>
        <v>231410.5</v>
      </c>
      <c r="L47" s="163">
        <f t="shared" si="45"/>
        <v>231648.4</v>
      </c>
      <c r="M47" s="163">
        <f t="shared" si="45"/>
        <v>231825.69999999998</v>
      </c>
      <c r="N47" s="163">
        <f t="shared" si="45"/>
        <v>232092.59999999998</v>
      </c>
      <c r="O47" s="163">
        <f t="shared" si="45"/>
        <v>232516.8</v>
      </c>
      <c r="P47" s="163">
        <f t="shared" si="45"/>
        <v>232782.5</v>
      </c>
      <c r="Q47" s="163">
        <f t="shared" si="45"/>
        <v>232894.9</v>
      </c>
      <c r="R47" s="163">
        <f t="shared" si="45"/>
        <v>233066.4</v>
      </c>
      <c r="S47" s="163">
        <f t="shared" si="45"/>
        <v>233368.4</v>
      </c>
      <c r="T47" s="163">
        <f t="shared" si="45"/>
        <v>233731.3</v>
      </c>
      <c r="U47" s="163">
        <f t="shared" si="45"/>
        <v>233999.3</v>
      </c>
      <c r="V47" s="163">
        <f t="shared" si="45"/>
        <v>234134.59999999998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82">
        <v>81.099999999999994</v>
      </c>
    </row>
    <row r="48" spans="2:39" x14ac:dyDescent="0.3">
      <c r="B48" s="753"/>
      <c r="C48" s="18" t="s">
        <v>14</v>
      </c>
      <c r="D48" s="163">
        <f>D12+Agosto23!AF48</f>
        <v>651.79999999999995</v>
      </c>
      <c r="E48" s="164">
        <f t="shared" si="44"/>
        <v>716.59999999999991</v>
      </c>
      <c r="F48" s="164">
        <f t="shared" si="44"/>
        <v>903.19999999999993</v>
      </c>
      <c r="G48" s="165">
        <v>1440</v>
      </c>
      <c r="H48" s="166">
        <v>1620</v>
      </c>
      <c r="I48" s="163">
        <f t="shared" si="45"/>
        <v>1930</v>
      </c>
      <c r="J48" s="163">
        <f t="shared" si="45"/>
        <v>2330</v>
      </c>
      <c r="K48" s="163">
        <f t="shared" si="45"/>
        <v>2680</v>
      </c>
      <c r="L48" s="163">
        <f t="shared" si="45"/>
        <v>2965</v>
      </c>
      <c r="M48" s="163">
        <f t="shared" si="45"/>
        <v>3115</v>
      </c>
      <c r="N48" s="163">
        <f t="shared" si="45"/>
        <v>3355</v>
      </c>
      <c r="O48" s="163">
        <f t="shared" si="45"/>
        <v>3689.6</v>
      </c>
      <c r="P48" s="163">
        <f t="shared" si="45"/>
        <v>3907.6</v>
      </c>
      <c r="Q48" s="163">
        <f t="shared" si="45"/>
        <v>3995.6</v>
      </c>
      <c r="R48" s="163">
        <f t="shared" si="45"/>
        <v>4111.8999999999996</v>
      </c>
      <c r="S48" s="163">
        <f t="shared" si="45"/>
        <v>4338.2999999999993</v>
      </c>
      <c r="T48" s="163">
        <f t="shared" si="45"/>
        <v>4593.1999999999989</v>
      </c>
      <c r="U48" s="163">
        <f t="shared" si="45"/>
        <v>4813.3999999999987</v>
      </c>
      <c r="V48" s="163">
        <f t="shared" si="45"/>
        <v>4983.0999999999985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156.9</v>
      </c>
    </row>
    <row r="49" spans="2:39" x14ac:dyDescent="0.3">
      <c r="B49" s="751" t="s">
        <v>16</v>
      </c>
      <c r="C49" s="18" t="s">
        <v>17</v>
      </c>
      <c r="D49" s="163">
        <f>D13+Agosto23!AF49</f>
        <v>137028.70000000001</v>
      </c>
      <c r="E49" s="164">
        <f t="shared" si="44"/>
        <v>137285.70000000001</v>
      </c>
      <c r="F49" s="164">
        <f t="shared" si="44"/>
        <v>137572.5</v>
      </c>
      <c r="G49" s="165">
        <v>138545</v>
      </c>
      <c r="H49" s="166">
        <v>138937</v>
      </c>
      <c r="I49" s="163">
        <f t="shared" si="45"/>
        <v>139375.4</v>
      </c>
      <c r="J49" s="163">
        <f t="shared" si="45"/>
        <v>139897.60000000001</v>
      </c>
      <c r="K49" s="163">
        <f t="shared" si="45"/>
        <v>140310.20000000001</v>
      </c>
      <c r="L49" s="163">
        <f t="shared" si="45"/>
        <v>140653.20000000001</v>
      </c>
      <c r="M49" s="163">
        <f t="shared" si="45"/>
        <v>140847.90000000002</v>
      </c>
      <c r="N49" s="163">
        <f t="shared" si="45"/>
        <v>141140.80000000002</v>
      </c>
      <c r="O49" s="163">
        <f t="shared" si="45"/>
        <v>141701.40000000002</v>
      </c>
      <c r="P49" s="163">
        <f t="shared" si="45"/>
        <v>142048.30000000002</v>
      </c>
      <c r="Q49" s="163">
        <f t="shared" si="45"/>
        <v>142196.90000000002</v>
      </c>
      <c r="R49" s="163">
        <f t="shared" si="45"/>
        <v>142393.50000000003</v>
      </c>
      <c r="S49" s="163">
        <f t="shared" si="45"/>
        <v>142740.30000000002</v>
      </c>
      <c r="T49" s="163">
        <f t="shared" si="45"/>
        <v>143134.50000000003</v>
      </c>
      <c r="U49" s="163">
        <f t="shared" si="45"/>
        <v>143490.60000000003</v>
      </c>
      <c r="V49" s="163">
        <f t="shared" si="45"/>
        <v>143776.70000000004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195.6</v>
      </c>
    </row>
    <row r="50" spans="2:39" x14ac:dyDescent="0.3">
      <c r="B50" s="752"/>
      <c r="C50" s="18" t="s">
        <v>18</v>
      </c>
      <c r="D50" s="163">
        <f>D14+Agosto23!AF50</f>
        <v>127372.8</v>
      </c>
      <c r="E50" s="164">
        <f t="shared" si="44"/>
        <v>127655.40000000001</v>
      </c>
      <c r="F50" s="164">
        <f t="shared" si="44"/>
        <v>127983.3</v>
      </c>
      <c r="G50" s="165">
        <v>128878</v>
      </c>
      <c r="H50" s="166">
        <v>129112</v>
      </c>
      <c r="I50" s="163">
        <f t="shared" si="45"/>
        <v>129232.1</v>
      </c>
      <c r="J50" s="163">
        <f t="shared" si="45"/>
        <v>129232.1</v>
      </c>
      <c r="K50" s="163">
        <f t="shared" si="45"/>
        <v>129232.40000000001</v>
      </c>
      <c r="L50" s="163">
        <f t="shared" si="45"/>
        <v>129569.1</v>
      </c>
      <c r="M50" s="163">
        <f t="shared" si="45"/>
        <v>129807.40000000001</v>
      </c>
      <c r="N50" s="163">
        <f t="shared" si="45"/>
        <v>130168.20000000001</v>
      </c>
      <c r="O50" s="163">
        <f t="shared" si="45"/>
        <v>130731.40000000001</v>
      </c>
      <c r="P50" s="163">
        <f t="shared" si="45"/>
        <v>131086.6</v>
      </c>
      <c r="Q50" s="163">
        <f t="shared" si="45"/>
        <v>131231.20000000001</v>
      </c>
      <c r="R50" s="163">
        <f t="shared" si="45"/>
        <v>131464</v>
      </c>
      <c r="S50" s="163">
        <f t="shared" si="45"/>
        <v>131867.6</v>
      </c>
      <c r="T50" s="163" t="e">
        <f>S50+#REF!</f>
        <v>#REF!</v>
      </c>
      <c r="U50" s="163" t="e">
        <f t="shared" si="45"/>
        <v>#REF!</v>
      </c>
      <c r="V50" s="163" t="e">
        <f t="shared" si="45"/>
        <v>#REF!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63">
        <v>55.4</v>
      </c>
    </row>
    <row r="51" spans="2:39" x14ac:dyDescent="0.3">
      <c r="B51" s="752"/>
      <c r="C51" s="18" t="s">
        <v>19</v>
      </c>
      <c r="D51" s="163">
        <f>D15+Agosto23!AF51</f>
        <v>37729.300000000003</v>
      </c>
      <c r="E51" s="164">
        <f t="shared" si="44"/>
        <v>37808.800000000003</v>
      </c>
      <c r="F51" s="164">
        <f t="shared" si="44"/>
        <v>37903.9</v>
      </c>
      <c r="G51" s="165">
        <v>38160</v>
      </c>
      <c r="H51" s="166">
        <v>38222</v>
      </c>
      <c r="I51" s="163">
        <f t="shared" si="45"/>
        <v>38254.699999999997</v>
      </c>
      <c r="J51" s="163">
        <f t="shared" si="45"/>
        <v>38254.699999999997</v>
      </c>
      <c r="K51" s="163">
        <f t="shared" si="45"/>
        <v>38254.799999999996</v>
      </c>
      <c r="L51" s="163">
        <f t="shared" si="45"/>
        <v>38349.699999999997</v>
      </c>
      <c r="M51" s="163">
        <f t="shared" si="45"/>
        <v>38414.1</v>
      </c>
      <c r="N51" s="163">
        <f t="shared" si="45"/>
        <v>38519.599999999999</v>
      </c>
      <c r="O51" s="163">
        <f t="shared" si="45"/>
        <v>38676.9</v>
      </c>
      <c r="P51" s="163">
        <f t="shared" si="45"/>
        <v>38777.5</v>
      </c>
      <c r="Q51" s="163">
        <f t="shared" si="45"/>
        <v>38816.699999999997</v>
      </c>
      <c r="R51" s="163">
        <f t="shared" si="45"/>
        <v>38880</v>
      </c>
      <c r="S51" s="163">
        <f t="shared" si="45"/>
        <v>38998.699999999997</v>
      </c>
      <c r="T51" s="163">
        <f t="shared" si="45"/>
        <v>39136.299999999996</v>
      </c>
      <c r="U51" s="163">
        <f t="shared" si="45"/>
        <v>39240.999999999993</v>
      </c>
      <c r="V51" s="163">
        <f t="shared" si="45"/>
        <v>39291.299999999996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183.6</v>
      </c>
    </row>
    <row r="52" spans="2:39" x14ac:dyDescent="0.3">
      <c r="B52" s="753"/>
      <c r="C52" s="18" t="s">
        <v>20</v>
      </c>
      <c r="D52" s="163">
        <f>D16+Agosto23!AF52</f>
        <v>97013.5</v>
      </c>
      <c r="E52" s="164">
        <f t="shared" si="44"/>
        <v>97277.2</v>
      </c>
      <c r="F52" s="164">
        <f t="shared" si="44"/>
        <v>97552.599999999991</v>
      </c>
      <c r="G52" s="165">
        <v>98510</v>
      </c>
      <c r="H52" s="166">
        <v>98809</v>
      </c>
      <c r="I52" s="163">
        <f t="shared" si="45"/>
        <v>99323.8</v>
      </c>
      <c r="J52" s="163">
        <f t="shared" si="45"/>
        <v>99794</v>
      </c>
      <c r="K52" s="163">
        <f t="shared" si="45"/>
        <v>100208.7</v>
      </c>
      <c r="L52" s="163">
        <f t="shared" si="45"/>
        <v>100557.4</v>
      </c>
      <c r="M52" s="163">
        <f t="shared" si="45"/>
        <v>100776.59999999999</v>
      </c>
      <c r="N52" s="163">
        <f t="shared" si="45"/>
        <v>101145.7</v>
      </c>
      <c r="O52" s="163">
        <f t="shared" si="45"/>
        <v>101663.7</v>
      </c>
      <c r="P52" s="163">
        <f t="shared" si="45"/>
        <v>101671.9</v>
      </c>
      <c r="Q52" s="163">
        <f t="shared" si="45"/>
        <v>101835.5</v>
      </c>
      <c r="R52" s="163">
        <f t="shared" si="45"/>
        <v>102077.9</v>
      </c>
      <c r="S52" s="163">
        <f t="shared" si="45"/>
        <v>102500.5</v>
      </c>
      <c r="T52" s="163">
        <f>S52+T14</f>
        <v>102963.4</v>
      </c>
      <c r="U52" s="163">
        <f t="shared" si="45"/>
        <v>103339.29999999999</v>
      </c>
      <c r="V52" s="163">
        <f t="shared" si="45"/>
        <v>103498.99999999999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 t="s">
        <v>31</v>
      </c>
    </row>
    <row r="53" spans="2:39" x14ac:dyDescent="0.3">
      <c r="B53" s="754" t="s">
        <v>21</v>
      </c>
      <c r="C53" s="18" t="s">
        <v>22</v>
      </c>
      <c r="D53" s="163">
        <f>D17+Agosto23!AF53</f>
        <v>65773</v>
      </c>
      <c r="E53" s="164">
        <f t="shared" si="44"/>
        <v>66015.7</v>
      </c>
      <c r="F53" s="164">
        <f t="shared" si="44"/>
        <v>66445.899999999994</v>
      </c>
      <c r="G53" s="165">
        <v>67299</v>
      </c>
      <c r="H53" s="166">
        <v>67726</v>
      </c>
      <c r="I53" s="163">
        <f t="shared" si="45"/>
        <v>68213.100000000006</v>
      </c>
      <c r="J53" s="163">
        <f t="shared" si="45"/>
        <v>68715.600000000006</v>
      </c>
      <c r="K53" s="163">
        <f t="shared" si="45"/>
        <v>69158.8</v>
      </c>
      <c r="L53" s="163">
        <f t="shared" si="45"/>
        <v>69507.400000000009</v>
      </c>
      <c r="M53" s="163">
        <f t="shared" si="45"/>
        <v>69727.000000000015</v>
      </c>
      <c r="N53" s="163">
        <f t="shared" si="45"/>
        <v>70074.900000000009</v>
      </c>
      <c r="O53" s="163">
        <f t="shared" si="45"/>
        <v>70588.100000000006</v>
      </c>
      <c r="P53" s="163">
        <f t="shared" si="45"/>
        <v>71001.200000000012</v>
      </c>
      <c r="Q53" s="163">
        <f t="shared" si="45"/>
        <v>71166.700000000012</v>
      </c>
      <c r="R53" s="163">
        <f t="shared" si="45"/>
        <v>71484.300000000017</v>
      </c>
      <c r="S53" s="163">
        <f t="shared" si="45"/>
        <v>71905.400000000023</v>
      </c>
      <c r="T53" s="163">
        <f t="shared" si="45"/>
        <v>72388.400000000023</v>
      </c>
      <c r="U53" s="163">
        <f t="shared" si="45"/>
        <v>72799.10000000002</v>
      </c>
      <c r="V53" s="163">
        <f t="shared" si="45"/>
        <v>73011.500000000015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40.200000000000003</v>
      </c>
    </row>
    <row r="54" spans="2:39" x14ac:dyDescent="0.3">
      <c r="B54" s="754"/>
      <c r="C54" s="18" t="s">
        <v>23</v>
      </c>
      <c r="D54" s="163">
        <f>D18+Agosto23!AF54</f>
        <v>74335.700000000012</v>
      </c>
      <c r="E54" s="164">
        <f t="shared" si="44"/>
        <v>74596.400000000009</v>
      </c>
      <c r="F54" s="164">
        <f t="shared" si="44"/>
        <v>75062.3</v>
      </c>
      <c r="G54" s="165">
        <v>75901</v>
      </c>
      <c r="H54" s="166">
        <v>76333</v>
      </c>
      <c r="I54" s="163">
        <f t="shared" si="45"/>
        <v>76849.100000000006</v>
      </c>
      <c r="J54" s="163">
        <f t="shared" si="45"/>
        <v>77382.200000000012</v>
      </c>
      <c r="K54" s="163">
        <f t="shared" si="45"/>
        <v>77853.100000000006</v>
      </c>
      <c r="L54" s="163">
        <f t="shared" si="45"/>
        <v>78225.100000000006</v>
      </c>
      <c r="M54" s="163">
        <f t="shared" si="45"/>
        <v>78459.600000000006</v>
      </c>
      <c r="N54" s="163">
        <f t="shared" si="45"/>
        <v>78855</v>
      </c>
      <c r="O54" s="163">
        <f t="shared" si="45"/>
        <v>79394.2</v>
      </c>
      <c r="P54" s="163">
        <f t="shared" si="45"/>
        <v>79833.2</v>
      </c>
      <c r="Q54" s="163">
        <f t="shared" si="45"/>
        <v>80008.899999999994</v>
      </c>
      <c r="R54" s="163">
        <f t="shared" si="45"/>
        <v>80348.899999999994</v>
      </c>
      <c r="S54" s="163">
        <f t="shared" si="45"/>
        <v>80804.899999999994</v>
      </c>
      <c r="T54" s="163">
        <f t="shared" si="45"/>
        <v>81320.299999999988</v>
      </c>
      <c r="U54" s="163">
        <f t="shared" si="45"/>
        <v>81757.999999999985</v>
      </c>
      <c r="V54" s="163">
        <f t="shared" si="45"/>
        <v>81986.999999999985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115</v>
      </c>
    </row>
    <row r="55" spans="2:39" x14ac:dyDescent="0.3">
      <c r="B55" s="754"/>
      <c r="C55" s="18" t="s">
        <v>24</v>
      </c>
      <c r="D55" s="163">
        <f>D19+Agosto23!AF55</f>
        <v>136043</v>
      </c>
      <c r="E55" s="164">
        <f t="shared" si="44"/>
        <v>136251.9</v>
      </c>
      <c r="F55" s="164">
        <f t="shared" si="44"/>
        <v>136619.6</v>
      </c>
      <c r="G55" s="165">
        <v>137294</v>
      </c>
      <c r="H55" s="166">
        <v>137664</v>
      </c>
      <c r="I55" s="163">
        <f t="shared" si="45"/>
        <v>138092.4</v>
      </c>
      <c r="J55" s="163">
        <f t="shared" si="45"/>
        <v>138526.5</v>
      </c>
      <c r="K55" s="163">
        <f t="shared" si="45"/>
        <v>138951</v>
      </c>
      <c r="L55" s="163">
        <f>K55+L21</f>
        <v>138981.4</v>
      </c>
      <c r="M55" s="163">
        <f t="shared" si="45"/>
        <v>139185.1</v>
      </c>
      <c r="N55" s="163">
        <f t="shared" si="45"/>
        <v>139503.6</v>
      </c>
      <c r="O55" s="163">
        <f t="shared" si="45"/>
        <v>139962.6</v>
      </c>
      <c r="P55" s="163">
        <f t="shared" si="45"/>
        <v>140353.60000000001</v>
      </c>
      <c r="Q55" s="163">
        <f t="shared" si="45"/>
        <v>140507.5</v>
      </c>
      <c r="R55" s="163">
        <f t="shared" si="45"/>
        <v>140798.5</v>
      </c>
      <c r="S55" s="163">
        <f t="shared" si="45"/>
        <v>141176.1</v>
      </c>
      <c r="T55" s="163">
        <f t="shared" si="45"/>
        <v>141599.80000000002</v>
      </c>
      <c r="U55" s="163">
        <f t="shared" si="45"/>
        <v>141993.50000000003</v>
      </c>
      <c r="V55" s="163">
        <f t="shared" si="45"/>
        <v>142138.50000000003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>
        <v>160.30000000000001</v>
      </c>
    </row>
    <row r="56" spans="2:39" x14ac:dyDescent="0.3">
      <c r="B56" s="754"/>
      <c r="C56" s="18" t="s">
        <v>25</v>
      </c>
      <c r="D56" s="163">
        <f>D20+Agosto23!AF56</f>
        <v>174417.1</v>
      </c>
      <c r="E56" s="164">
        <f t="shared" si="44"/>
        <v>174697.30000000002</v>
      </c>
      <c r="F56" s="164">
        <f t="shared" si="44"/>
        <v>175148.80000000002</v>
      </c>
      <c r="G56" s="165">
        <v>176032</v>
      </c>
      <c r="H56" s="166">
        <v>176536</v>
      </c>
      <c r="I56" s="163">
        <f t="shared" si="45"/>
        <v>177040.7</v>
      </c>
      <c r="J56" s="163">
        <f t="shared" si="45"/>
        <v>177606.2</v>
      </c>
      <c r="K56" s="163">
        <f t="shared" si="45"/>
        <v>178129.40000000002</v>
      </c>
      <c r="L56" s="163">
        <f t="shared" si="45"/>
        <v>178525.90000000002</v>
      </c>
      <c r="M56" s="163">
        <f t="shared" si="45"/>
        <v>178802.00000000003</v>
      </c>
      <c r="N56" s="163">
        <f t="shared" si="45"/>
        <v>179206.00000000003</v>
      </c>
      <c r="O56" s="163">
        <f t="shared" si="45"/>
        <v>179800.30000000002</v>
      </c>
      <c r="P56" s="163">
        <f t="shared" si="45"/>
        <v>180281.90000000002</v>
      </c>
      <c r="Q56" s="163">
        <f t="shared" si="45"/>
        <v>180496.80000000002</v>
      </c>
      <c r="R56" s="163">
        <f t="shared" si="45"/>
        <v>180891.1</v>
      </c>
      <c r="S56" s="163">
        <f>R56+S21</f>
        <v>181288.80000000002</v>
      </c>
      <c r="T56" s="163">
        <f t="shared" si="45"/>
        <v>181641.80000000002</v>
      </c>
      <c r="U56" s="163">
        <f t="shared" si="45"/>
        <v>182123.6</v>
      </c>
      <c r="V56" s="163">
        <f t="shared" si="45"/>
        <v>182377.4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136.9</v>
      </c>
    </row>
    <row r="57" spans="2:39" x14ac:dyDescent="0.3">
      <c r="B57" s="754"/>
      <c r="C57" s="18" t="s">
        <v>26</v>
      </c>
      <c r="D57" s="163">
        <f>D21+Agosto23!AF57</f>
        <v>82228</v>
      </c>
      <c r="E57" s="164">
        <f t="shared" si="44"/>
        <v>82469.2</v>
      </c>
      <c r="F57" s="164">
        <f t="shared" si="44"/>
        <v>82866.2</v>
      </c>
      <c r="G57" s="165">
        <v>83628</v>
      </c>
      <c r="H57" s="166">
        <v>84081</v>
      </c>
      <c r="I57" s="163">
        <f t="shared" si="45"/>
        <v>84552.7</v>
      </c>
      <c r="J57" s="163">
        <f t="shared" si="45"/>
        <v>85054.5</v>
      </c>
      <c r="K57" s="163">
        <f t="shared" si="45"/>
        <v>85187.1</v>
      </c>
      <c r="L57" s="163" t="e">
        <f>K57+#REF!</f>
        <v>#REF!</v>
      </c>
      <c r="M57" s="163" t="e">
        <f t="shared" si="45"/>
        <v>#REF!</v>
      </c>
      <c r="N57" s="163" t="e">
        <f t="shared" si="45"/>
        <v>#REF!</v>
      </c>
      <c r="O57" s="163" t="e">
        <f t="shared" si="45"/>
        <v>#REF!</v>
      </c>
      <c r="P57" s="163" t="e">
        <f t="shared" si="45"/>
        <v>#REF!</v>
      </c>
      <c r="Q57" s="163" t="e">
        <f t="shared" si="45"/>
        <v>#REF!</v>
      </c>
      <c r="R57" s="163" t="e">
        <f t="shared" si="45"/>
        <v>#REF!</v>
      </c>
      <c r="S57" s="163" t="e">
        <f>R57+#REF!</f>
        <v>#REF!</v>
      </c>
      <c r="T57" s="163" t="e">
        <f t="shared" si="45"/>
        <v>#REF!</v>
      </c>
      <c r="U57" s="163" t="e">
        <f t="shared" si="45"/>
        <v>#REF!</v>
      </c>
      <c r="V57" s="163" t="e">
        <f t="shared" si="45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147.5</v>
      </c>
    </row>
    <row r="58" spans="2:39" x14ac:dyDescent="0.3">
      <c r="B58" s="754"/>
      <c r="C58" s="18" t="s">
        <v>27</v>
      </c>
      <c r="D58" s="163">
        <f>D22+Agosto23!AF58</f>
        <v>61206.5</v>
      </c>
      <c r="E58" s="164">
        <f t="shared" ref="E58:F64" si="46">D58+E22</f>
        <v>61340.7</v>
      </c>
      <c r="F58" s="164">
        <f t="shared" si="46"/>
        <v>61585.7</v>
      </c>
      <c r="G58" s="165">
        <v>63058</v>
      </c>
      <c r="H58" s="166">
        <v>63281</v>
      </c>
      <c r="I58" s="163">
        <f t="shared" ref="I58:V64" si="47">H58+I22</f>
        <v>63787.199999999997</v>
      </c>
      <c r="J58" s="163">
        <f t="shared" si="47"/>
        <v>64242.1</v>
      </c>
      <c r="K58" s="163">
        <f t="shared" si="47"/>
        <v>64689.2</v>
      </c>
      <c r="L58" s="163">
        <f t="shared" si="47"/>
        <v>64945.599999999999</v>
      </c>
      <c r="M58" s="163">
        <f t="shared" si="47"/>
        <v>65124.4</v>
      </c>
      <c r="N58" s="163">
        <f t="shared" si="47"/>
        <v>65676.399999999994</v>
      </c>
      <c r="O58" s="163">
        <f t="shared" si="47"/>
        <v>66154.399999999994</v>
      </c>
      <c r="P58" s="163">
        <f t="shared" si="47"/>
        <v>66285.799999999988</v>
      </c>
      <c r="Q58" s="163">
        <f t="shared" si="47"/>
        <v>66392.199999999983</v>
      </c>
      <c r="R58" s="163">
        <f t="shared" si="47"/>
        <v>66748.89999999998</v>
      </c>
      <c r="S58" s="163">
        <f t="shared" si="47"/>
        <v>67320.299999999974</v>
      </c>
      <c r="T58" s="163">
        <f t="shared" si="47"/>
        <v>67813.699999999968</v>
      </c>
      <c r="U58" s="163">
        <f t="shared" si="47"/>
        <v>68024.799999999974</v>
      </c>
      <c r="V58" s="163">
        <f t="shared" si="47"/>
        <v>68181.39999999998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189.83</v>
      </c>
    </row>
    <row r="59" spans="2:39" x14ac:dyDescent="0.3">
      <c r="B59" s="754"/>
      <c r="C59" s="18" t="s">
        <v>28</v>
      </c>
      <c r="D59" s="163">
        <f>D23+Agosto23!AF59</f>
        <v>87384.47</v>
      </c>
      <c r="E59" s="164">
        <f t="shared" si="46"/>
        <v>87627.47</v>
      </c>
      <c r="F59" s="164">
        <f t="shared" si="46"/>
        <v>87925.119999999995</v>
      </c>
      <c r="G59" s="165">
        <v>87693.64</v>
      </c>
      <c r="H59" s="166">
        <v>87903.16</v>
      </c>
      <c r="I59" s="163">
        <f t="shared" si="47"/>
        <v>88330.260000000009</v>
      </c>
      <c r="J59" s="163">
        <f t="shared" si="47"/>
        <v>88761.16</v>
      </c>
      <c r="K59" s="163">
        <f t="shared" si="47"/>
        <v>89163.61</v>
      </c>
      <c r="L59" s="163">
        <f t="shared" si="47"/>
        <v>89442.35</v>
      </c>
      <c r="M59" s="163">
        <f t="shared" si="47"/>
        <v>89661.69</v>
      </c>
      <c r="N59" s="163">
        <f t="shared" si="47"/>
        <v>89992.23</v>
      </c>
      <c r="O59" s="163">
        <f t="shared" si="47"/>
        <v>90437.92</v>
      </c>
      <c r="P59" s="163">
        <f t="shared" si="47"/>
        <v>90777.02</v>
      </c>
      <c r="Q59" s="163">
        <f t="shared" si="47"/>
        <v>90933.32</v>
      </c>
      <c r="R59" s="163">
        <f t="shared" si="47"/>
        <v>91155.540000000008</v>
      </c>
      <c r="S59" s="163">
        <f t="shared" si="47"/>
        <v>91588.340000000011</v>
      </c>
      <c r="T59" s="163">
        <f t="shared" si="47"/>
        <v>92029.540000000008</v>
      </c>
      <c r="U59" s="163">
        <f t="shared" si="47"/>
        <v>92402.840000000011</v>
      </c>
      <c r="V59" s="163">
        <f t="shared" si="47"/>
        <v>92587.260000000009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223.4</v>
      </c>
    </row>
    <row r="60" spans="2:39" x14ac:dyDescent="0.3">
      <c r="B60" s="754"/>
      <c r="C60" s="18" t="s">
        <v>29</v>
      </c>
      <c r="D60" s="163">
        <f>D24+Agosto23!AF60</f>
        <v>128614.5</v>
      </c>
      <c r="E60" s="164">
        <f t="shared" si="46"/>
        <v>128909.4</v>
      </c>
      <c r="F60" s="164">
        <f t="shared" si="46"/>
        <v>129320.29999999999</v>
      </c>
      <c r="G60" s="165">
        <v>130195</v>
      </c>
      <c r="H60" s="166">
        <v>130451</v>
      </c>
      <c r="I60" s="163">
        <f t="shared" si="47"/>
        <v>130941.6</v>
      </c>
      <c r="J60" s="163">
        <f t="shared" si="47"/>
        <v>131440.4</v>
      </c>
      <c r="K60" s="163">
        <f t="shared" si="47"/>
        <v>131905</v>
      </c>
      <c r="L60" s="163">
        <f t="shared" si="47"/>
        <v>132228.29999999999</v>
      </c>
      <c r="M60" s="163">
        <f t="shared" si="47"/>
        <v>132490.4</v>
      </c>
      <c r="N60" s="163">
        <f t="shared" si="47"/>
        <v>132869.5</v>
      </c>
      <c r="O60" s="163">
        <f t="shared" si="47"/>
        <v>133383.29999999999</v>
      </c>
      <c r="P60" s="163">
        <f t="shared" si="47"/>
        <v>133777.5</v>
      </c>
      <c r="Q60" s="163">
        <f t="shared" si="47"/>
        <v>133965.29999999999</v>
      </c>
      <c r="R60" s="163">
        <f t="shared" si="47"/>
        <v>134228.59999999998</v>
      </c>
      <c r="S60" s="163">
        <f t="shared" si="47"/>
        <v>134719.69999999998</v>
      </c>
      <c r="T60" s="163">
        <f t="shared" si="47"/>
        <v>135217.19999999998</v>
      </c>
      <c r="U60" s="163">
        <f t="shared" si="47"/>
        <v>135643.19999999998</v>
      </c>
      <c r="V60" s="163">
        <f t="shared" si="47"/>
        <v>135862.79999999999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619</v>
      </c>
    </row>
    <row r="61" spans="2:39" x14ac:dyDescent="0.3">
      <c r="B61" s="754"/>
      <c r="C61" s="18" t="s">
        <v>30</v>
      </c>
      <c r="D61" s="163">
        <f>D25+Agosto23!AF61</f>
        <v>14310.9</v>
      </c>
      <c r="E61" s="164">
        <f t="shared" si="46"/>
        <v>15126.5</v>
      </c>
      <c r="F61" s="164">
        <f t="shared" si="46"/>
        <v>16281.3</v>
      </c>
      <c r="G61" s="165">
        <v>18667</v>
      </c>
      <c r="H61" s="166">
        <v>19364</v>
      </c>
      <c r="I61" s="163">
        <f t="shared" si="47"/>
        <v>20729.2</v>
      </c>
      <c r="J61" s="163">
        <f t="shared" si="47"/>
        <v>22119.200000000001</v>
      </c>
      <c r="K61" s="163">
        <f t="shared" si="47"/>
        <v>23425.600000000002</v>
      </c>
      <c r="L61" s="163">
        <f t="shared" si="47"/>
        <v>24329.000000000004</v>
      </c>
      <c r="M61" s="163">
        <f t="shared" si="47"/>
        <v>25044.200000000004</v>
      </c>
      <c r="N61" s="163">
        <f t="shared" si="47"/>
        <v>26102.100000000006</v>
      </c>
      <c r="O61" s="163">
        <f t="shared" si="47"/>
        <v>27543.700000000004</v>
      </c>
      <c r="P61" s="163">
        <f t="shared" si="47"/>
        <v>28643.700000000004</v>
      </c>
      <c r="Q61" s="163">
        <f t="shared" si="47"/>
        <v>29154.100000000006</v>
      </c>
      <c r="R61" s="163">
        <f t="shared" si="47"/>
        <v>29876.500000000007</v>
      </c>
      <c r="S61" s="163">
        <f t="shared" si="47"/>
        <v>31284.800000000007</v>
      </c>
      <c r="T61" s="163">
        <f t="shared" si="47"/>
        <v>32700.000000000007</v>
      </c>
      <c r="U61" s="163">
        <f t="shared" si="47"/>
        <v>33920.000000000007</v>
      </c>
      <c r="V61" s="163">
        <f t="shared" si="47"/>
        <v>34519.700000000004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219.3</v>
      </c>
    </row>
    <row r="62" spans="2:39" x14ac:dyDescent="0.3">
      <c r="B62" s="754"/>
      <c r="C62" s="18" t="s">
        <v>111</v>
      </c>
      <c r="D62" s="163">
        <f>D26+Agosto23!AF62</f>
        <v>44907.6</v>
      </c>
      <c r="E62" s="164">
        <f t="shared" si="46"/>
        <v>45035.7</v>
      </c>
      <c r="F62" s="164">
        <f t="shared" si="46"/>
        <v>45243.199999999997</v>
      </c>
      <c r="G62" s="165">
        <v>46772</v>
      </c>
      <c r="H62" s="166">
        <v>47086</v>
      </c>
      <c r="I62" s="163">
        <f t="shared" si="47"/>
        <v>47476</v>
      </c>
      <c r="J62" s="163">
        <f t="shared" si="47"/>
        <v>47872.3</v>
      </c>
      <c r="K62" s="163">
        <f t="shared" si="47"/>
        <v>48267.3</v>
      </c>
      <c r="L62" s="163">
        <f t="shared" si="47"/>
        <v>48567.3</v>
      </c>
      <c r="M62" s="163">
        <f t="shared" si="47"/>
        <v>48767.3</v>
      </c>
      <c r="N62" s="163">
        <f t="shared" si="47"/>
        <v>49157.3</v>
      </c>
      <c r="O62" s="163">
        <f t="shared" si="47"/>
        <v>49620.4</v>
      </c>
      <c r="P62" s="163">
        <f t="shared" si="47"/>
        <v>49875.1</v>
      </c>
      <c r="Q62" s="163">
        <f t="shared" si="47"/>
        <v>50016.1</v>
      </c>
      <c r="R62" s="163">
        <f t="shared" si="47"/>
        <v>50271.6</v>
      </c>
      <c r="S62" s="163">
        <f t="shared" si="47"/>
        <v>50833.7</v>
      </c>
      <c r="T62" s="163">
        <f t="shared" si="47"/>
        <v>51277.899999999994</v>
      </c>
      <c r="U62" s="163">
        <f t="shared" si="47"/>
        <v>51618.2</v>
      </c>
      <c r="V62" s="163">
        <f t="shared" si="47"/>
        <v>51806.7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66.900000000000006</v>
      </c>
    </row>
    <row r="63" spans="2:39" ht="15" thickBot="1" x14ac:dyDescent="0.35">
      <c r="B63" s="754"/>
      <c r="C63" s="18" t="s">
        <v>32</v>
      </c>
      <c r="D63" s="163">
        <f>D27+Agosto23!AF63</f>
        <v>9293</v>
      </c>
      <c r="E63" s="164">
        <f t="shared" si="46"/>
        <v>9520.2999999999993</v>
      </c>
      <c r="F63" s="164">
        <f t="shared" si="46"/>
        <v>9827.4</v>
      </c>
      <c r="G63" s="165">
        <v>10779</v>
      </c>
      <c r="H63" s="166">
        <v>10940</v>
      </c>
      <c r="I63" s="163">
        <f t="shared" si="47"/>
        <v>11077</v>
      </c>
      <c r="J63" s="163">
        <f t="shared" si="47"/>
        <v>11513.1</v>
      </c>
      <c r="K63" s="163">
        <f t="shared" si="47"/>
        <v>11958.9</v>
      </c>
      <c r="L63" s="163">
        <f t="shared" si="47"/>
        <v>12268.699999999999</v>
      </c>
      <c r="M63" s="163">
        <f t="shared" si="47"/>
        <v>12478.599999999999</v>
      </c>
      <c r="N63" s="163">
        <f t="shared" si="47"/>
        <v>12910.3</v>
      </c>
      <c r="O63" s="163">
        <f t="shared" si="47"/>
        <v>13367.199999999999</v>
      </c>
      <c r="P63" s="163">
        <f t="shared" si="47"/>
        <v>13530.999999999998</v>
      </c>
      <c r="Q63" s="163">
        <f t="shared" si="47"/>
        <v>13648.199999999999</v>
      </c>
      <c r="R63" s="163">
        <f t="shared" si="47"/>
        <v>13890.099999999999</v>
      </c>
      <c r="S63" s="163">
        <f t="shared" si="47"/>
        <v>14399.199999999999</v>
      </c>
      <c r="T63" s="163">
        <f t="shared" si="47"/>
        <v>14421.199999999999</v>
      </c>
      <c r="U63" s="163">
        <f t="shared" si="47"/>
        <v>14556.9</v>
      </c>
      <c r="V63" s="163">
        <f t="shared" si="47"/>
        <v>14778.699999999999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93">
        <v>150.6</v>
      </c>
    </row>
    <row r="64" spans="2:39" x14ac:dyDescent="0.3">
      <c r="B64" s="754"/>
      <c r="C64" s="18" t="s">
        <v>112</v>
      </c>
      <c r="D64" s="163">
        <f>D28+Agosto23!AF64</f>
        <v>18707.3</v>
      </c>
      <c r="E64" s="164">
        <f t="shared" si="46"/>
        <v>18845</v>
      </c>
      <c r="F64" s="164">
        <f t="shared" si="46"/>
        <v>19090.7</v>
      </c>
      <c r="G64" s="165">
        <v>20520.400000000001</v>
      </c>
      <c r="H64" s="166">
        <v>20739</v>
      </c>
      <c r="I64" s="163">
        <f t="shared" si="47"/>
        <v>21227.200000000001</v>
      </c>
      <c r="J64" s="163">
        <f t="shared" si="47"/>
        <v>21695.100000000002</v>
      </c>
      <c r="K64" s="163">
        <f t="shared" si="47"/>
        <v>22120.000000000004</v>
      </c>
      <c r="L64" s="163">
        <f t="shared" si="47"/>
        <v>22377.800000000003</v>
      </c>
      <c r="M64" s="163">
        <f t="shared" si="47"/>
        <v>22560.300000000003</v>
      </c>
      <c r="N64" s="163">
        <f t="shared" si="47"/>
        <v>23061.700000000004</v>
      </c>
      <c r="O64" s="163">
        <f t="shared" si="47"/>
        <v>23569.300000000003</v>
      </c>
      <c r="P64" s="163">
        <f t="shared" si="47"/>
        <v>23704.300000000003</v>
      </c>
      <c r="Q64" s="163">
        <f t="shared" si="47"/>
        <v>23813.4</v>
      </c>
      <c r="R64" s="163">
        <f t="shared" si="47"/>
        <v>24161.7</v>
      </c>
      <c r="S64" s="163">
        <f t="shared" si="47"/>
        <v>24735.8</v>
      </c>
      <c r="T64" s="163">
        <f t="shared" si="47"/>
        <v>25189.35</v>
      </c>
      <c r="U64" s="163">
        <f t="shared" si="47"/>
        <v>25394.55</v>
      </c>
      <c r="V64" s="163">
        <f t="shared" si="47"/>
        <v>25554.45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</row>
    <row r="65" spans="2:5" x14ac:dyDescent="0.3">
      <c r="B65" s="756" t="s">
        <v>196</v>
      </c>
      <c r="C65" s="756"/>
      <c r="D65" s="756"/>
      <c r="E65" s="756"/>
    </row>
    <row r="66" spans="2:5" x14ac:dyDescent="0.3">
      <c r="B66" s="757" t="s">
        <v>132</v>
      </c>
      <c r="C66" s="757"/>
      <c r="D66" s="757"/>
      <c r="E66" s="757"/>
    </row>
  </sheetData>
  <mergeCells count="13">
    <mergeCell ref="B66:E66"/>
    <mergeCell ref="AE32:AG32"/>
    <mergeCell ref="AE33:AG33"/>
    <mergeCell ref="B41:B48"/>
    <mergeCell ref="B49:B52"/>
    <mergeCell ref="B53:B64"/>
    <mergeCell ref="B65:E65"/>
    <mergeCell ref="AE31:AG31"/>
    <mergeCell ref="B4:C4"/>
    <mergeCell ref="B5:B12"/>
    <mergeCell ref="B13:B16"/>
    <mergeCell ref="B17:B28"/>
    <mergeCell ref="B29:C29"/>
  </mergeCells>
  <conditionalFormatting sqref="AL5:BO28">
    <cfRule type="cellIs" dxfId="164" priority="2" operator="equal">
      <formula>"VAZIO"</formula>
    </cfRule>
  </conditionalFormatting>
  <conditionalFormatting sqref="AL5:BP28">
    <cfRule type="expression" dxfId="163" priority="6">
      <formula>AL5&gt;$BQ5</formula>
    </cfRule>
    <cfRule type="expression" dxfId="162" priority="7">
      <formula>AL5&lt;($BQ5-0.01)</formula>
    </cfRule>
  </conditionalFormatting>
  <conditionalFormatting sqref="AM8:BO8 BJ9 AM16:BO16 AM24:BO25">
    <cfRule type="cellIs" dxfId="161" priority="3" operator="equal">
      <formula>"""VAZIO"""</formula>
    </cfRule>
  </conditionalFormatting>
  <conditionalFormatting sqref="AP5:BO28">
    <cfRule type="expression" dxfId="160" priority="1">
      <formula>AP5=0</formula>
    </cfRule>
  </conditionalFormatting>
  <conditionalFormatting sqref="BT5:BT28">
    <cfRule type="cellIs" dxfId="159" priority="4" operator="greaterThan">
      <formula>0</formula>
    </cfRule>
    <cfRule type="cellIs" dxfId="158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4E0EA-044E-40C7-8F35-AF03A87B621F}">
  <dimension ref="B3:BX69"/>
  <sheetViews>
    <sheetView zoomScale="85" zoomScaleNormal="85" workbookViewId="0">
      <pane xSplit="3" ySplit="4" topLeftCell="H5" activePane="bottomRight" state="frozen"/>
      <selection pane="topRight" activeCell="D1" sqref="D1"/>
      <selection pane="bottomLeft" activeCell="A5" sqref="A5"/>
      <selection pane="bottomRight" activeCell="C6" sqref="C6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18" width="16.44140625" customWidth="1"/>
    <col min="19" max="20" width="17.33203125" customWidth="1"/>
    <col min="21" max="21" width="17.6640625" customWidth="1"/>
    <col min="22" max="22" width="16.88671875" customWidth="1"/>
    <col min="23" max="23" width="16.44140625" customWidth="1"/>
    <col min="24" max="24" width="17.109375" customWidth="1"/>
    <col min="25" max="25" width="17.5546875" customWidth="1"/>
    <col min="26" max="26" width="16.44140625" customWidth="1"/>
    <col min="27" max="27" width="18.109375" customWidth="1"/>
    <col min="28" max="28" width="17.33203125" customWidth="1"/>
    <col min="29" max="29" width="16.44140625" customWidth="1"/>
    <col min="30" max="31" width="18.33203125" customWidth="1"/>
    <col min="32" max="32" width="17.6640625" customWidth="1"/>
    <col min="33" max="34" width="17.8867187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hidden="1" customWidth="1"/>
    <col min="70" max="71" width="9.109375" hidden="1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257</v>
      </c>
      <c r="E4" s="344" t="s">
        <v>258</v>
      </c>
      <c r="F4" s="344" t="s">
        <v>259</v>
      </c>
      <c r="G4" s="344" t="s">
        <v>260</v>
      </c>
      <c r="H4" s="344" t="s">
        <v>261</v>
      </c>
      <c r="I4" s="344" t="s">
        <v>262</v>
      </c>
      <c r="J4" s="344" t="s">
        <v>263</v>
      </c>
      <c r="K4" s="344" t="s">
        <v>264</v>
      </c>
      <c r="L4" s="344" t="s">
        <v>265</v>
      </c>
      <c r="M4" s="344" t="s">
        <v>266</v>
      </c>
      <c r="N4" s="344" t="s">
        <v>267</v>
      </c>
      <c r="O4" s="344" t="s">
        <v>268</v>
      </c>
      <c r="P4" s="344" t="s">
        <v>269</v>
      </c>
      <c r="Q4" s="344" t="s">
        <v>270</v>
      </c>
      <c r="R4" s="344" t="s">
        <v>271</v>
      </c>
      <c r="S4" s="344" t="s">
        <v>272</v>
      </c>
      <c r="T4" s="344" t="s">
        <v>273</v>
      </c>
      <c r="U4" s="344" t="s">
        <v>274</v>
      </c>
      <c r="V4" s="344" t="s">
        <v>275</v>
      </c>
      <c r="W4" s="344" t="s">
        <v>276</v>
      </c>
      <c r="X4" s="344" t="s">
        <v>277</v>
      </c>
      <c r="Y4" s="344" t="s">
        <v>278</v>
      </c>
      <c r="Z4" s="344" t="s">
        <v>279</v>
      </c>
      <c r="AA4" s="344" t="s">
        <v>280</v>
      </c>
      <c r="AB4" s="344" t="s">
        <v>281</v>
      </c>
      <c r="AC4" s="344" t="s">
        <v>282</v>
      </c>
      <c r="AD4" s="344" t="s">
        <v>283</v>
      </c>
      <c r="AE4" s="344" t="s">
        <v>284</v>
      </c>
      <c r="AF4" s="344" t="s">
        <v>285</v>
      </c>
      <c r="AG4" s="345" t="s">
        <v>286</v>
      </c>
      <c r="AH4" s="345" t="s">
        <v>287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60.8</v>
      </c>
      <c r="E5" s="103">
        <v>30.1</v>
      </c>
      <c r="F5" s="103">
        <v>45</v>
      </c>
      <c r="G5" s="103">
        <v>36</v>
      </c>
      <c r="H5" s="103">
        <v>74.7</v>
      </c>
      <c r="I5" s="331">
        <v>72.8</v>
      </c>
      <c r="J5" s="103">
        <v>56.8</v>
      </c>
      <c r="K5" s="103">
        <v>54.7</v>
      </c>
      <c r="L5" s="103">
        <v>70.5</v>
      </c>
      <c r="M5" s="103">
        <v>67.3</v>
      </c>
      <c r="N5" s="103">
        <v>67.599999999999994</v>
      </c>
      <c r="O5" s="103">
        <v>63.5</v>
      </c>
      <c r="P5" s="103">
        <v>64.099999999999994</v>
      </c>
      <c r="Q5" s="331">
        <v>65.599999999999994</v>
      </c>
      <c r="R5" s="103">
        <v>63.8</v>
      </c>
      <c r="S5" s="103">
        <v>60.4</v>
      </c>
      <c r="T5" s="103">
        <v>57</v>
      </c>
      <c r="U5" s="103">
        <v>58.5</v>
      </c>
      <c r="V5" s="103">
        <v>36.6</v>
      </c>
      <c r="W5" s="331">
        <v>25.9</v>
      </c>
      <c r="X5" s="103">
        <v>41.9</v>
      </c>
      <c r="Y5" s="103">
        <v>67</v>
      </c>
      <c r="Z5" s="104">
        <v>37.700000000000003</v>
      </c>
      <c r="AA5" s="332">
        <v>45.1</v>
      </c>
      <c r="AB5" s="333">
        <v>30.9</v>
      </c>
      <c r="AC5" s="104">
        <v>43.6</v>
      </c>
      <c r="AD5" s="104">
        <v>41.9</v>
      </c>
      <c r="AE5" s="104">
        <v>36.1</v>
      </c>
      <c r="AF5" s="104">
        <v>25</v>
      </c>
      <c r="AG5" s="104">
        <v>46.7</v>
      </c>
      <c r="AH5" s="334"/>
      <c r="AI5" s="335">
        <f>SUM(D5:AH5)</f>
        <v>1547.6000000000001</v>
      </c>
      <c r="AJ5" s="160">
        <v>12</v>
      </c>
      <c r="AK5" s="336">
        <f t="shared" ref="AK5:AK11" si="0">F5/(AJ5*432)</f>
        <v>8.6805555555555559E-3</v>
      </c>
      <c r="AL5" s="337">
        <f t="shared" ref="AL5:BA20" si="1">IF(OR(D5="",D5="Sem monitoramento"),"VAZIO",IFERROR(D5/($AJ5*24),"-"))</f>
        <v>0.21111111111111111</v>
      </c>
      <c r="AM5" s="338">
        <f t="shared" si="1"/>
        <v>0.10451388888888889</v>
      </c>
      <c r="AN5" s="338">
        <f t="shared" si="1"/>
        <v>0.15625</v>
      </c>
      <c r="AO5" s="338">
        <f t="shared" si="1"/>
        <v>0.125</v>
      </c>
      <c r="AP5" s="338">
        <f t="shared" si="1"/>
        <v>0.25937500000000002</v>
      </c>
      <c r="AQ5" s="338">
        <f t="shared" si="1"/>
        <v>0.25277777777777777</v>
      </c>
      <c r="AR5" s="338">
        <f t="shared" si="1"/>
        <v>0.19722222222222222</v>
      </c>
      <c r="AS5" s="338">
        <f t="shared" si="1"/>
        <v>0.18993055555555557</v>
      </c>
      <c r="AT5" s="338">
        <f t="shared" si="1"/>
        <v>0.24479166666666666</v>
      </c>
      <c r="AU5" s="338">
        <f t="shared" si="1"/>
        <v>0.23368055555555556</v>
      </c>
      <c r="AV5" s="338">
        <f t="shared" si="1"/>
        <v>0.23472222222222219</v>
      </c>
      <c r="AW5" s="338">
        <f t="shared" si="1"/>
        <v>0.2204861111111111</v>
      </c>
      <c r="AX5" s="338">
        <f t="shared" si="1"/>
        <v>0.22256944444444443</v>
      </c>
      <c r="AY5" s="338">
        <f t="shared" si="1"/>
        <v>0.22777777777777775</v>
      </c>
      <c r="AZ5" s="338">
        <f t="shared" si="1"/>
        <v>0.22152777777777777</v>
      </c>
      <c r="BA5" s="338">
        <f t="shared" si="1"/>
        <v>0.20972222222222223</v>
      </c>
      <c r="BB5" s="338">
        <f t="shared" ref="BB5:BO20" si="2">IF(OR(T5="",T5="Sem monitoramento"),"VAZIO",IFERROR(T5/($AJ5*24),"-"))</f>
        <v>0.19791666666666666</v>
      </c>
      <c r="BC5" s="338">
        <f t="shared" si="2"/>
        <v>0.203125</v>
      </c>
      <c r="BD5" s="338">
        <f t="shared" si="2"/>
        <v>0.12708333333333333</v>
      </c>
      <c r="BE5" s="338">
        <f t="shared" si="2"/>
        <v>8.9930555555555555E-2</v>
      </c>
      <c r="BF5" s="338">
        <f t="shared" si="2"/>
        <v>0.14548611111111109</v>
      </c>
      <c r="BG5" s="338">
        <f t="shared" si="2"/>
        <v>0.2326388888888889</v>
      </c>
      <c r="BH5" s="338">
        <f t="shared" si="2"/>
        <v>0.13090277777777778</v>
      </c>
      <c r="BI5" s="338">
        <f t="shared" si="2"/>
        <v>0.15659722222222222</v>
      </c>
      <c r="BJ5" s="338">
        <f t="shared" si="2"/>
        <v>0.10729166666666666</v>
      </c>
      <c r="BK5" s="338" t="e">
        <f>IF(OR(#REF!="",#REF!="Sem monitoramento"),"VAZIO",IFERROR(#REF!/($AJ5*24),"-"))</f>
        <v>#REF!</v>
      </c>
      <c r="BL5" s="338">
        <f t="shared" si="2"/>
        <v>0.14548611111111109</v>
      </c>
      <c r="BM5" s="338">
        <f t="shared" si="2"/>
        <v>0.12534722222222222</v>
      </c>
      <c r="BN5" s="338">
        <f t="shared" si="2"/>
        <v>8.6805555555555552E-2</v>
      </c>
      <c r="BO5" s="338">
        <f t="shared" si="2"/>
        <v>0.16215277777777778</v>
      </c>
      <c r="BP5" s="339">
        <f t="shared" ref="BP5:BP31" si="3">AI5/(AJ5*(COUNTA(D5:AG5)*24))</f>
        <v>0.17912037037037037</v>
      </c>
      <c r="BQ5" s="180">
        <f>'FCs estimados em PVsyst'!Y3</f>
        <v>0.1804398148148148</v>
      </c>
      <c r="BR5" s="340">
        <f t="shared" ref="BR5:BR11" si="4">AJ5*BQ5</f>
        <v>2.1652777777777779</v>
      </c>
      <c r="BS5" s="341">
        <f t="shared" ref="BS5:BS11" si="5">AN5-BQ5</f>
        <v>-2.4189814814814803E-2</v>
      </c>
      <c r="BT5" s="342">
        <f t="shared" ref="BT5:BT29" si="6">BP5-BQ5</f>
        <v>-1.3194444444444287E-3</v>
      </c>
      <c r="BU5" s="15" t="s">
        <v>7</v>
      </c>
      <c r="BV5" s="75" t="s">
        <v>107</v>
      </c>
      <c r="BW5" s="7">
        <f>COUNTIF(BT5:BT29,"&gt;0")</f>
        <v>14</v>
      </c>
      <c r="BX5" s="2"/>
    </row>
    <row r="6" spans="2:76" x14ac:dyDescent="0.3">
      <c r="B6" s="771"/>
      <c r="C6" s="325" t="s">
        <v>8</v>
      </c>
      <c r="D6" s="62">
        <f>178.5+63.6</f>
        <v>242.1</v>
      </c>
      <c r="E6" s="63">
        <f>32.1+135.4</f>
        <v>167.5</v>
      </c>
      <c r="F6" s="63">
        <f>209.3+54.2</f>
        <v>263.5</v>
      </c>
      <c r="G6" s="63">
        <f>209.3+40.2</f>
        <v>249.5</v>
      </c>
      <c r="H6" s="63">
        <f>79.1+328.7</f>
        <v>407.79999999999995</v>
      </c>
      <c r="I6" s="283">
        <f>71.6+301.1</f>
        <v>372.70000000000005</v>
      </c>
      <c r="J6" s="63">
        <f>59.1+249.5</f>
        <v>308.60000000000002</v>
      </c>
      <c r="K6" s="63">
        <f>58.1+245</f>
        <v>303.10000000000002</v>
      </c>
      <c r="L6" s="63">
        <f>77.2+324.9</f>
        <v>402.09999999999997</v>
      </c>
      <c r="M6" s="63">
        <f>72.8+306.3</f>
        <v>379.1</v>
      </c>
      <c r="N6" s="63">
        <f>311.6+74</f>
        <v>385.6</v>
      </c>
      <c r="O6" s="63">
        <f>301.3+70.8</f>
        <v>372.1</v>
      </c>
      <c r="P6" s="63">
        <f>291.8+69.2</f>
        <v>361</v>
      </c>
      <c r="Q6" s="283">
        <f>302.6+70.9</f>
        <v>373.5</v>
      </c>
      <c r="R6" s="63">
        <f>294.5+69.1</f>
        <v>363.6</v>
      </c>
      <c r="S6" s="319">
        <f>283.8+56</f>
        <v>339.8</v>
      </c>
      <c r="T6" s="63">
        <f>256+62.2</f>
        <v>318.2</v>
      </c>
      <c r="U6" s="63">
        <f>275.6+64.6</f>
        <v>340.20000000000005</v>
      </c>
      <c r="V6" s="63">
        <f>163.2+37.9</f>
        <v>201.1</v>
      </c>
      <c r="W6" s="283">
        <f>121.1+28.9</f>
        <v>150</v>
      </c>
      <c r="X6" s="63">
        <f>40.5+179.1</f>
        <v>219.6</v>
      </c>
      <c r="Y6" s="63">
        <f>313.1+71.7</f>
        <v>384.8</v>
      </c>
      <c r="Z6" s="15">
        <f>172.1+40.7</f>
        <v>212.8</v>
      </c>
      <c r="AA6" s="18">
        <f>193.6+45.8</f>
        <v>239.39999999999998</v>
      </c>
      <c r="AB6" s="20">
        <f>152.6+35.3</f>
        <v>187.89999999999998</v>
      </c>
      <c r="AC6" s="31">
        <f>48.6+200.4</f>
        <v>249</v>
      </c>
      <c r="AD6" s="15">
        <f>180.4+43.4</f>
        <v>223.8</v>
      </c>
      <c r="AE6" s="15">
        <f>169.6+40.1</f>
        <v>209.7</v>
      </c>
      <c r="AF6" s="15">
        <f>28.2</f>
        <v>28.2</v>
      </c>
      <c r="AG6" s="15">
        <f>213+51.9</f>
        <v>264.89999999999998</v>
      </c>
      <c r="AH6" s="64"/>
      <c r="AI6" s="290">
        <f>SUM(D6:AH6)</f>
        <v>8521.2000000000007</v>
      </c>
      <c r="AJ6" s="118">
        <v>67</v>
      </c>
      <c r="AK6" s="121">
        <f t="shared" si="0"/>
        <v>9.1037866224433391E-3</v>
      </c>
      <c r="AL6" s="67">
        <f t="shared" si="1"/>
        <v>0.15055970149253731</v>
      </c>
      <c r="AM6" s="68">
        <f t="shared" si="1"/>
        <v>0.10416666666666667</v>
      </c>
      <c r="AN6" s="68">
        <f t="shared" si="1"/>
        <v>0.1638681592039801</v>
      </c>
      <c r="AO6" s="68">
        <f t="shared" si="1"/>
        <v>0.15516169154228857</v>
      </c>
      <c r="AP6" s="68">
        <f t="shared" si="1"/>
        <v>0.25360696517412934</v>
      </c>
      <c r="AQ6" s="68">
        <f t="shared" si="1"/>
        <v>0.23177860696517416</v>
      </c>
      <c r="AR6" s="68">
        <f t="shared" si="1"/>
        <v>0.19191542288557215</v>
      </c>
      <c r="AS6" s="68">
        <f t="shared" si="1"/>
        <v>0.18849502487562189</v>
      </c>
      <c r="AT6" s="68">
        <f t="shared" si="1"/>
        <v>0.25006218905472632</v>
      </c>
      <c r="AU6" s="68">
        <f t="shared" si="1"/>
        <v>0.2357587064676617</v>
      </c>
      <c r="AV6" s="68">
        <f t="shared" si="1"/>
        <v>0.23980099502487565</v>
      </c>
      <c r="AW6" s="68">
        <f t="shared" si="1"/>
        <v>0.23140547263681593</v>
      </c>
      <c r="AX6" s="68">
        <f t="shared" si="1"/>
        <v>0.22450248756218905</v>
      </c>
      <c r="AY6" s="68">
        <f t="shared" si="1"/>
        <v>0.23227611940298507</v>
      </c>
      <c r="AZ6" s="68">
        <f t="shared" si="1"/>
        <v>0.22611940298507463</v>
      </c>
      <c r="BA6" s="68">
        <f t="shared" si="1"/>
        <v>0.21131840796019902</v>
      </c>
      <c r="BB6" s="68">
        <f t="shared" si="2"/>
        <v>0.19788557213930347</v>
      </c>
      <c r="BC6" s="68">
        <f t="shared" si="2"/>
        <v>0.21156716417910451</v>
      </c>
      <c r="BD6" s="68">
        <f t="shared" si="2"/>
        <v>0.12506218905472635</v>
      </c>
      <c r="BE6" s="68">
        <f t="shared" si="2"/>
        <v>9.3283582089552244E-2</v>
      </c>
      <c r="BF6" s="68">
        <f t="shared" si="2"/>
        <v>0.13656716417910447</v>
      </c>
      <c r="BG6" s="68">
        <f t="shared" si="2"/>
        <v>0.23930348258706469</v>
      </c>
      <c r="BH6" s="68">
        <f t="shared" si="2"/>
        <v>0.13233830845771144</v>
      </c>
      <c r="BI6" s="68">
        <f t="shared" si="2"/>
        <v>0.14888059701492537</v>
      </c>
      <c r="BJ6" s="68">
        <f t="shared" si="2"/>
        <v>0.11685323383084575</v>
      </c>
      <c r="BK6" s="68">
        <f>IF(OR(AC5="",AC5="Sem monitoramento"),"VAZIO",IFERROR(AC5/($AJ6*24),"-"))</f>
        <v>2.7114427860696518E-2</v>
      </c>
      <c r="BL6" s="68">
        <f t="shared" si="2"/>
        <v>0.13917910447761195</v>
      </c>
      <c r="BM6" s="68">
        <f t="shared" si="2"/>
        <v>0.13041044776119401</v>
      </c>
      <c r="BN6" s="68">
        <f t="shared" si="2"/>
        <v>1.7537313432835822E-2</v>
      </c>
      <c r="BO6" s="68">
        <f t="shared" si="2"/>
        <v>0.16473880597014923</v>
      </c>
      <c r="BP6" s="70">
        <f t="shared" si="3"/>
        <v>0.17664179104477615</v>
      </c>
      <c r="BQ6" s="180">
        <f>'FCs estimados em PVsyst'!Y4</f>
        <v>0.1868988391376451</v>
      </c>
      <c r="BR6" s="72">
        <f t="shared" si="4"/>
        <v>12.522222222222222</v>
      </c>
      <c r="BS6" s="73">
        <f t="shared" si="5"/>
        <v>-2.3030679933665005E-2</v>
      </c>
      <c r="BT6" s="74">
        <f t="shared" si="6"/>
        <v>-1.0257048092868953E-2</v>
      </c>
      <c r="BU6" s="15" t="s">
        <v>8</v>
      </c>
      <c r="BV6" s="77" t="s">
        <v>108</v>
      </c>
      <c r="BW6" s="78">
        <f>(COUNTA(BU5:BU29)-BW5-BW7)</f>
        <v>5</v>
      </c>
      <c r="BX6" s="2"/>
    </row>
    <row r="7" spans="2:76" x14ac:dyDescent="0.3">
      <c r="B7" s="771"/>
      <c r="C7" s="326" t="s">
        <v>9</v>
      </c>
      <c r="D7" s="62">
        <v>245.5</v>
      </c>
      <c r="E7" s="63">
        <v>124.8</v>
      </c>
      <c r="F7" s="63">
        <v>185.7</v>
      </c>
      <c r="G7" s="63">
        <v>146.4</v>
      </c>
      <c r="H7" s="63">
        <v>294.89999999999998</v>
      </c>
      <c r="I7" s="283">
        <v>290.8</v>
      </c>
      <c r="J7" s="63">
        <v>234.2</v>
      </c>
      <c r="K7" s="63">
        <v>231.9</v>
      </c>
      <c r="L7" s="282">
        <v>163.6</v>
      </c>
      <c r="M7" s="282">
        <v>0</v>
      </c>
      <c r="N7" s="282">
        <v>0</v>
      </c>
      <c r="O7" s="317">
        <v>0</v>
      </c>
      <c r="P7" s="282">
        <v>0</v>
      </c>
      <c r="Q7" s="282">
        <v>0</v>
      </c>
      <c r="R7" s="282">
        <v>0</v>
      </c>
      <c r="S7" s="282">
        <v>0</v>
      </c>
      <c r="T7" s="282">
        <v>0</v>
      </c>
      <c r="U7" s="282">
        <v>0</v>
      </c>
      <c r="V7" s="282">
        <v>0</v>
      </c>
      <c r="W7" s="282">
        <v>0</v>
      </c>
      <c r="X7" s="282">
        <v>0</v>
      </c>
      <c r="Y7" s="283">
        <v>200</v>
      </c>
      <c r="Z7" s="15">
        <v>135</v>
      </c>
      <c r="AA7" s="18">
        <v>140</v>
      </c>
      <c r="AB7" s="20">
        <v>105</v>
      </c>
      <c r="AC7" s="15">
        <v>145</v>
      </c>
      <c r="AD7" s="15">
        <v>132</v>
      </c>
      <c r="AE7" s="15">
        <v>105</v>
      </c>
      <c r="AF7" s="15">
        <v>103.9</v>
      </c>
      <c r="AG7" s="15">
        <v>192.8</v>
      </c>
      <c r="AH7" s="64"/>
      <c r="AI7" s="290">
        <f t="shared" ref="AI7:AI31" si="7">SUM(D7:AH7)</f>
        <v>3176.5000000000005</v>
      </c>
      <c r="AJ7" s="118">
        <v>49</v>
      </c>
      <c r="AK7" s="121">
        <f t="shared" si="0"/>
        <v>8.7726757369614508E-3</v>
      </c>
      <c r="AL7" s="67">
        <f t="shared" si="1"/>
        <v>0.20875850340136054</v>
      </c>
      <c r="AM7" s="68">
        <f t="shared" si="1"/>
        <v>0.10612244897959183</v>
      </c>
      <c r="AN7" s="68">
        <f t="shared" si="1"/>
        <v>0.1579081632653061</v>
      </c>
      <c r="AO7" s="68">
        <f t="shared" si="1"/>
        <v>0.12448979591836735</v>
      </c>
      <c r="AP7" s="68">
        <f t="shared" si="1"/>
        <v>0.25076530612244896</v>
      </c>
      <c r="AQ7" s="68">
        <f t="shared" si="1"/>
        <v>0.24727891156462586</v>
      </c>
      <c r="AR7" s="68">
        <f t="shared" si="1"/>
        <v>0.19914965986394556</v>
      </c>
      <c r="AS7" s="68">
        <f t="shared" si="1"/>
        <v>0.19719387755102041</v>
      </c>
      <c r="AT7" s="68">
        <f t="shared" si="1"/>
        <v>0.13911564625850339</v>
      </c>
      <c r="AU7" s="68">
        <f t="shared" si="1"/>
        <v>0</v>
      </c>
      <c r="AV7" s="68">
        <f t="shared" si="1"/>
        <v>0</v>
      </c>
      <c r="AW7" s="68">
        <f t="shared" si="1"/>
        <v>0</v>
      </c>
      <c r="AX7" s="68">
        <f t="shared" si="1"/>
        <v>0</v>
      </c>
      <c r="AY7" s="68">
        <f t="shared" si="1"/>
        <v>0</v>
      </c>
      <c r="AZ7" s="68">
        <f t="shared" si="1"/>
        <v>0</v>
      </c>
      <c r="BA7" s="68">
        <f t="shared" si="1"/>
        <v>0</v>
      </c>
      <c r="BB7" s="68">
        <f t="shared" si="2"/>
        <v>0</v>
      </c>
      <c r="BC7" s="68">
        <f t="shared" si="2"/>
        <v>0</v>
      </c>
      <c r="BD7" s="68">
        <f t="shared" si="2"/>
        <v>0</v>
      </c>
      <c r="BE7" s="68">
        <f t="shared" si="2"/>
        <v>0</v>
      </c>
      <c r="BF7" s="68">
        <f t="shared" si="2"/>
        <v>0</v>
      </c>
      <c r="BG7" s="68">
        <f t="shared" si="2"/>
        <v>0.17006802721088435</v>
      </c>
      <c r="BH7" s="68">
        <f t="shared" si="2"/>
        <v>0.11479591836734694</v>
      </c>
      <c r="BI7" s="68">
        <f t="shared" si="2"/>
        <v>0.11904761904761904</v>
      </c>
      <c r="BJ7" s="68">
        <f t="shared" si="2"/>
        <v>8.9285714285714288E-2</v>
      </c>
      <c r="BK7" s="68" t="e">
        <f>IF(OR(#REF!="",#REF!="Sem monitoramento"),"VAZIO",IFERROR(#REF!/($AJ7*24),"-"))</f>
        <v>#REF!</v>
      </c>
      <c r="BL7" s="68">
        <f t="shared" si="2"/>
        <v>0.11224489795918367</v>
      </c>
      <c r="BM7" s="68">
        <f t="shared" si="2"/>
        <v>8.9285714285714288E-2</v>
      </c>
      <c r="BN7" s="68">
        <f t="shared" si="2"/>
        <v>8.8350340136054431E-2</v>
      </c>
      <c r="BO7" s="68" t="e">
        <f>IF(OR(#REF!="",#REF!="Sem monitoramento"),"VAZIO",IFERROR(#REF!/($AJ7*24),"-"))</f>
        <v>#REF!</v>
      </c>
      <c r="BP7" s="70">
        <f>AI7/(AJ7*(COUNTA(D7:AG7)*24))</f>
        <v>9.0036848072562375E-2</v>
      </c>
      <c r="BQ7" s="180">
        <f>'FCs estimados em PVsyst'!Y5</f>
        <v>0.17987528344671203</v>
      </c>
      <c r="BR7" s="72">
        <f t="shared" si="4"/>
        <v>8.81388888888889</v>
      </c>
      <c r="BS7" s="73">
        <f t="shared" si="5"/>
        <v>-2.1967120181405925E-2</v>
      </c>
      <c r="BT7" s="74">
        <f t="shared" si="6"/>
        <v>-8.983843537414965E-2</v>
      </c>
      <c r="BU7" s="15" t="s">
        <v>9</v>
      </c>
      <c r="BV7" s="79" t="s">
        <v>109</v>
      </c>
      <c r="BW7" s="80">
        <f>COUNTIF(BT5:BT29,"&lt;-0,01")</f>
        <v>5</v>
      </c>
      <c r="BX7" s="2"/>
    </row>
    <row r="8" spans="2:76" x14ac:dyDescent="0.3">
      <c r="B8" s="771"/>
      <c r="C8" s="326" t="s">
        <v>10</v>
      </c>
      <c r="D8" s="62">
        <v>160.1</v>
      </c>
      <c r="E8" s="63">
        <v>86.1</v>
      </c>
      <c r="F8" s="63">
        <v>125.1</v>
      </c>
      <c r="G8" s="63">
        <v>99.8</v>
      </c>
      <c r="H8" s="63">
        <v>195</v>
      </c>
      <c r="I8" s="283">
        <v>191.6</v>
      </c>
      <c r="J8" s="63">
        <v>156.80000000000001</v>
      </c>
      <c r="K8" s="63">
        <v>156.19999999999999</v>
      </c>
      <c r="L8" s="282">
        <v>110.5</v>
      </c>
      <c r="M8" s="282">
        <v>21.7</v>
      </c>
      <c r="N8" s="282">
        <v>117.7</v>
      </c>
      <c r="O8" s="63">
        <v>172.4</v>
      </c>
      <c r="P8" s="63">
        <v>169.1</v>
      </c>
      <c r="Q8" s="283">
        <v>155</v>
      </c>
      <c r="R8" s="63">
        <v>145</v>
      </c>
      <c r="S8" s="63">
        <v>130</v>
      </c>
      <c r="T8" s="63">
        <v>119</v>
      </c>
      <c r="U8" s="63">
        <v>121</v>
      </c>
      <c r="V8" s="63">
        <v>61</v>
      </c>
      <c r="W8" s="283">
        <v>50</v>
      </c>
      <c r="X8" s="63">
        <v>65</v>
      </c>
      <c r="Y8" s="283">
        <v>120</v>
      </c>
      <c r="Z8" s="15">
        <v>80</v>
      </c>
      <c r="AA8" s="18">
        <v>83</v>
      </c>
      <c r="AB8" s="20">
        <v>62</v>
      </c>
      <c r="AC8" s="15">
        <v>85</v>
      </c>
      <c r="AD8" s="15">
        <v>78</v>
      </c>
      <c r="AE8" s="15">
        <v>65</v>
      </c>
      <c r="AF8" s="15">
        <v>72.2</v>
      </c>
      <c r="AG8" s="15">
        <v>129</v>
      </c>
      <c r="AH8" s="64"/>
      <c r="AI8" s="290">
        <f t="shared" si="7"/>
        <v>3382.3</v>
      </c>
      <c r="AJ8" s="118">
        <v>33</v>
      </c>
      <c r="AK8" s="121">
        <f t="shared" si="0"/>
        <v>8.7752525252525245E-3</v>
      </c>
      <c r="AL8" s="67">
        <f t="shared" si="1"/>
        <v>0.20214646464646463</v>
      </c>
      <c r="AM8" s="68">
        <f t="shared" si="1"/>
        <v>0.1087121212121212</v>
      </c>
      <c r="AN8" s="68">
        <f t="shared" si="1"/>
        <v>0.15795454545454546</v>
      </c>
      <c r="AO8" s="68">
        <f t="shared" si="1"/>
        <v>0.12601010101010102</v>
      </c>
      <c r="AP8" s="68">
        <f t="shared" si="1"/>
        <v>0.24621212121212122</v>
      </c>
      <c r="AQ8" s="68">
        <f t="shared" si="1"/>
        <v>0.24191919191919192</v>
      </c>
      <c r="AR8" s="68">
        <f t="shared" si="1"/>
        <v>0.19797979797979801</v>
      </c>
      <c r="AS8" s="68">
        <f t="shared" si="1"/>
        <v>0.19722222222222222</v>
      </c>
      <c r="AT8" s="68">
        <f t="shared" si="1"/>
        <v>0.13952020202020202</v>
      </c>
      <c r="AU8" s="68">
        <f t="shared" si="1"/>
        <v>2.7398989898989898E-2</v>
      </c>
      <c r="AV8" s="68">
        <f t="shared" si="1"/>
        <v>0.14861111111111111</v>
      </c>
      <c r="AW8" s="68">
        <f t="shared" si="1"/>
        <v>0.21767676767676769</v>
      </c>
      <c r="AX8" s="68">
        <f t="shared" si="1"/>
        <v>0.21351010101010101</v>
      </c>
      <c r="AY8" s="68">
        <f t="shared" si="1"/>
        <v>0.19570707070707072</v>
      </c>
      <c r="AZ8" s="68">
        <f t="shared" si="1"/>
        <v>0.18308080808080809</v>
      </c>
      <c r="BA8" s="68">
        <f t="shared" si="1"/>
        <v>0.16414141414141414</v>
      </c>
      <c r="BB8" s="68">
        <f t="shared" si="2"/>
        <v>0.15025252525252525</v>
      </c>
      <c r="BC8" s="68">
        <f t="shared" si="2"/>
        <v>0.15277777777777779</v>
      </c>
      <c r="BD8" s="68">
        <f t="shared" si="2"/>
        <v>7.7020202020202017E-2</v>
      </c>
      <c r="BE8" s="68">
        <f t="shared" si="2"/>
        <v>6.3131313131313135E-2</v>
      </c>
      <c r="BF8" s="68">
        <f t="shared" si="2"/>
        <v>8.2070707070707072E-2</v>
      </c>
      <c r="BG8" s="68">
        <f t="shared" si="2"/>
        <v>0.15151515151515152</v>
      </c>
      <c r="BH8" s="68">
        <f t="shared" si="2"/>
        <v>0.10101010101010101</v>
      </c>
      <c r="BI8" s="68">
        <f t="shared" si="2"/>
        <v>0.10479797979797979</v>
      </c>
      <c r="BJ8" s="68">
        <f t="shared" si="2"/>
        <v>7.8282828282828287E-2</v>
      </c>
      <c r="BK8" s="68" t="e">
        <f>IF(OR(#REF!="",#REF!="Sem monitoramento"),"VAZIO",IFERROR(#REF!/($AJ8*24),"-"))</f>
        <v>#REF!</v>
      </c>
      <c r="BL8" s="68">
        <f t="shared" si="2"/>
        <v>9.8484848484848481E-2</v>
      </c>
      <c r="BM8" s="68">
        <f t="shared" si="2"/>
        <v>8.2070707070707072E-2</v>
      </c>
      <c r="BN8" s="68">
        <f t="shared" si="2"/>
        <v>9.1161616161616166E-2</v>
      </c>
      <c r="BO8" s="68" t="e">
        <f>IF(OR(#REF!="",#REF!="Sem monitoramento"),"VAZIO",IFERROR(#REF!/($AJ8*24),"-"))</f>
        <v>#REF!</v>
      </c>
      <c r="BP8" s="70">
        <f>AI8/(AJ8*(COUNTA(D8:AG8)*24))</f>
        <v>0.14235269360269362</v>
      </c>
      <c r="BQ8" s="180">
        <f>'FCs estimados em PVsyst'!Y6</f>
        <v>0.18501683501683502</v>
      </c>
      <c r="BR8" s="72">
        <f t="shared" si="4"/>
        <v>6.1055555555555561</v>
      </c>
      <c r="BS8" s="73">
        <f t="shared" si="5"/>
        <v>-2.7062289562289565E-2</v>
      </c>
      <c r="BT8" s="74">
        <f t="shared" si="6"/>
        <v>-4.2664141414141404E-2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306">
        <v>200</v>
      </c>
      <c r="E9" s="309">
        <v>95</v>
      </c>
      <c r="F9" s="63">
        <v>102</v>
      </c>
      <c r="G9" s="82">
        <v>25.5</v>
      </c>
      <c r="H9" s="82">
        <v>65</v>
      </c>
      <c r="I9" s="308">
        <v>61.5</v>
      </c>
      <c r="J9" s="63">
        <v>52.7</v>
      </c>
      <c r="K9" s="63">
        <v>48</v>
      </c>
      <c r="L9" s="63">
        <v>62.3</v>
      </c>
      <c r="M9" s="63">
        <v>58.7</v>
      </c>
      <c r="N9" s="63">
        <v>60.7</v>
      </c>
      <c r="O9" s="63">
        <v>59.1</v>
      </c>
      <c r="P9" s="63">
        <v>58</v>
      </c>
      <c r="Q9" s="283">
        <v>58.6</v>
      </c>
      <c r="R9" s="63">
        <v>58.3</v>
      </c>
      <c r="S9" s="63">
        <v>57.7</v>
      </c>
      <c r="T9" s="63">
        <v>52.6</v>
      </c>
      <c r="U9" s="63">
        <v>55.8</v>
      </c>
      <c r="V9" s="63">
        <v>32.6</v>
      </c>
      <c r="W9" s="283">
        <v>28.5</v>
      </c>
      <c r="X9" s="63">
        <v>35.299999999999997</v>
      </c>
      <c r="Y9" s="63">
        <v>59.3</v>
      </c>
      <c r="Z9" s="15">
        <v>37.200000000000003</v>
      </c>
      <c r="AA9" s="18">
        <v>40.200000000000003</v>
      </c>
      <c r="AB9" s="323">
        <v>32.299999999999997</v>
      </c>
      <c r="AC9" s="15">
        <v>41.3</v>
      </c>
      <c r="AD9" s="15">
        <v>35.5</v>
      </c>
      <c r="AE9" s="15">
        <v>33</v>
      </c>
      <c r="AF9" s="15">
        <v>24.3</v>
      </c>
      <c r="AG9" s="15">
        <v>45.4</v>
      </c>
      <c r="AH9" s="64"/>
      <c r="AI9" s="290">
        <f t="shared" si="7"/>
        <v>1676.3999999999999</v>
      </c>
      <c r="AJ9" s="118">
        <v>12</v>
      </c>
      <c r="AK9" s="121">
        <f t="shared" si="0"/>
        <v>1.9675925925925927E-2</v>
      </c>
      <c r="AL9" s="67">
        <f t="shared" si="1"/>
        <v>0.69444444444444442</v>
      </c>
      <c r="AM9" s="68">
        <f t="shared" si="1"/>
        <v>0.3298611111111111</v>
      </c>
      <c r="AN9" s="68">
        <f t="shared" si="1"/>
        <v>0.35416666666666669</v>
      </c>
      <c r="AO9" s="68">
        <f t="shared" si="1"/>
        <v>8.8541666666666671E-2</v>
      </c>
      <c r="AP9" s="68">
        <f t="shared" si="1"/>
        <v>0.22569444444444445</v>
      </c>
      <c r="AQ9" s="68">
        <f t="shared" si="1"/>
        <v>0.21354166666666666</v>
      </c>
      <c r="AR9" s="68">
        <f t="shared" si="1"/>
        <v>0.18298611111111113</v>
      </c>
      <c r="AS9" s="68">
        <f t="shared" si="1"/>
        <v>0.16666666666666666</v>
      </c>
      <c r="AT9" s="68">
        <f t="shared" si="1"/>
        <v>0.21631944444444443</v>
      </c>
      <c r="AU9" s="68">
        <f t="shared" si="1"/>
        <v>0.20381944444444444</v>
      </c>
      <c r="AV9" s="68">
        <f t="shared" si="1"/>
        <v>0.21076388888888889</v>
      </c>
      <c r="AW9" s="68">
        <f t="shared" si="1"/>
        <v>0.20520833333333333</v>
      </c>
      <c r="AX9" s="68">
        <f t="shared" si="1"/>
        <v>0.2013888888888889</v>
      </c>
      <c r="AY9" s="68">
        <f t="shared" si="1"/>
        <v>0.20347222222222222</v>
      </c>
      <c r="AZ9" s="68">
        <f t="shared" si="1"/>
        <v>0.20243055555555556</v>
      </c>
      <c r="BA9" s="68">
        <f t="shared" si="1"/>
        <v>0.20034722222222223</v>
      </c>
      <c r="BB9" s="68">
        <f t="shared" si="2"/>
        <v>0.18263888888888891</v>
      </c>
      <c r="BC9" s="68">
        <f t="shared" si="2"/>
        <v>0.19374999999999998</v>
      </c>
      <c r="BD9" s="68">
        <f t="shared" si="2"/>
        <v>0.11319444444444444</v>
      </c>
      <c r="BE9" s="68">
        <f t="shared" si="2"/>
        <v>9.8958333333333329E-2</v>
      </c>
      <c r="BF9" s="68">
        <f t="shared" si="2"/>
        <v>0.12256944444444444</v>
      </c>
      <c r="BG9" s="68">
        <f t="shared" si="2"/>
        <v>0.20590277777777777</v>
      </c>
      <c r="BH9" s="68">
        <f t="shared" si="2"/>
        <v>0.12916666666666668</v>
      </c>
      <c r="BI9" s="68">
        <f t="shared" si="2"/>
        <v>0.13958333333333334</v>
      </c>
      <c r="BJ9" s="68">
        <f t="shared" si="2"/>
        <v>0.11215277777777777</v>
      </c>
      <c r="BK9" s="68">
        <f>IF(OR(AC7="",AC7="Sem monitoramento"),"VAZIO",IFERROR(AC7/($AJ9*24),"-"))</f>
        <v>0.50347222222222221</v>
      </c>
      <c r="BL9" s="68">
        <f t="shared" si="2"/>
        <v>0.1232638888888889</v>
      </c>
      <c r="BM9" s="68">
        <f t="shared" si="2"/>
        <v>0.11458333333333333</v>
      </c>
      <c r="BN9" s="68">
        <f t="shared" si="2"/>
        <v>8.4375000000000006E-2</v>
      </c>
      <c r="BO9" s="68">
        <f>IF(OR(AG7="",AG7="Sem monitoramento"),"VAZIO",IFERROR(AG7/($AJ9*24),"-"))</f>
        <v>0.66944444444444451</v>
      </c>
      <c r="BP9" s="70">
        <f t="shared" si="3"/>
        <v>0.19402777777777777</v>
      </c>
      <c r="BQ9" s="180">
        <f>'FCs estimados em PVsyst'!Y7</f>
        <v>0.18333333333333332</v>
      </c>
      <c r="BR9" s="72">
        <f t="shared" si="4"/>
        <v>2.1999999999999997</v>
      </c>
      <c r="BS9" s="73">
        <f t="shared" si="5"/>
        <v>0.17083333333333336</v>
      </c>
      <c r="BT9" s="74">
        <f t="shared" si="6"/>
        <v>1.0694444444444451E-2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306">
        <v>119.5</v>
      </c>
      <c r="E10" s="309">
        <v>56</v>
      </c>
      <c r="F10" s="63">
        <v>74</v>
      </c>
      <c r="G10" s="82">
        <v>78</v>
      </c>
      <c r="H10" s="82">
        <v>135.1</v>
      </c>
      <c r="I10" s="63">
        <v>124.3</v>
      </c>
      <c r="J10" s="63">
        <v>102.9</v>
      </c>
      <c r="K10" s="63">
        <v>95.1</v>
      </c>
      <c r="L10" s="63">
        <v>130.19999999999999</v>
      </c>
      <c r="M10" s="63">
        <v>124.9</v>
      </c>
      <c r="N10" s="63">
        <v>126.8</v>
      </c>
      <c r="O10" s="63">
        <v>125</v>
      </c>
      <c r="P10" s="63">
        <v>122.3</v>
      </c>
      <c r="Q10" s="283">
        <v>123.4</v>
      </c>
      <c r="R10" s="63">
        <v>122.3</v>
      </c>
      <c r="S10" s="63">
        <v>122.5</v>
      </c>
      <c r="T10" s="63">
        <v>112.3</v>
      </c>
      <c r="U10" s="63">
        <v>116.5</v>
      </c>
      <c r="V10" s="63">
        <v>67.400000000000006</v>
      </c>
      <c r="W10" s="283">
        <v>58</v>
      </c>
      <c r="X10" s="63">
        <v>71.2</v>
      </c>
      <c r="Y10" s="63">
        <v>124.5</v>
      </c>
      <c r="Z10" s="15">
        <v>77.7</v>
      </c>
      <c r="AA10" s="18">
        <v>83.5</v>
      </c>
      <c r="AB10" s="323">
        <v>68.099999999999994</v>
      </c>
      <c r="AC10" s="15">
        <v>85.4</v>
      </c>
      <c r="AD10" s="15">
        <v>72.400000000000006</v>
      </c>
      <c r="AE10" s="15">
        <v>67.400000000000006</v>
      </c>
      <c r="AF10" s="15">
        <v>49.7</v>
      </c>
      <c r="AG10" s="15">
        <v>92.8</v>
      </c>
      <c r="AH10" s="64"/>
      <c r="AI10" s="290">
        <f t="shared" si="7"/>
        <v>2929.2</v>
      </c>
      <c r="AJ10" s="118">
        <v>25</v>
      </c>
      <c r="AK10" s="121">
        <f t="shared" si="0"/>
        <v>6.851851851851852E-3</v>
      </c>
      <c r="AL10" s="67">
        <f t="shared" si="1"/>
        <v>0.19916666666666666</v>
      </c>
      <c r="AM10" s="68">
        <f t="shared" si="1"/>
        <v>9.3333333333333338E-2</v>
      </c>
      <c r="AN10" s="68">
        <f t="shared" si="1"/>
        <v>0.12333333333333334</v>
      </c>
      <c r="AO10" s="68">
        <f t="shared" si="1"/>
        <v>0.13</v>
      </c>
      <c r="AP10" s="68">
        <f t="shared" si="1"/>
        <v>0.22516666666666665</v>
      </c>
      <c r="AQ10" s="68">
        <f t="shared" si="1"/>
        <v>0.20716666666666667</v>
      </c>
      <c r="AR10" s="68">
        <f t="shared" si="1"/>
        <v>0.17150000000000001</v>
      </c>
      <c r="AS10" s="68">
        <f t="shared" si="1"/>
        <v>0.1585</v>
      </c>
      <c r="AT10" s="68">
        <f t="shared" si="1"/>
        <v>0.21699999999999997</v>
      </c>
      <c r="AU10" s="68">
        <f t="shared" si="1"/>
        <v>0.20816666666666667</v>
      </c>
      <c r="AV10" s="68">
        <f t="shared" si="1"/>
        <v>0.21133333333333332</v>
      </c>
      <c r="AW10" s="68">
        <f t="shared" si="1"/>
        <v>0.20833333333333334</v>
      </c>
      <c r="AX10" s="68">
        <f t="shared" si="1"/>
        <v>0.20383333333333334</v>
      </c>
      <c r="AY10" s="68">
        <f t="shared" si="1"/>
        <v>0.20566666666666666</v>
      </c>
      <c r="AZ10" s="68">
        <f t="shared" si="1"/>
        <v>0.20383333333333334</v>
      </c>
      <c r="BA10" s="68">
        <f t="shared" si="1"/>
        <v>0.20416666666666666</v>
      </c>
      <c r="BB10" s="68">
        <f t="shared" si="2"/>
        <v>0.18716666666666668</v>
      </c>
      <c r="BC10" s="68">
        <f t="shared" si="2"/>
        <v>0.19416666666666665</v>
      </c>
      <c r="BD10" s="68">
        <f t="shared" si="2"/>
        <v>0.11233333333333334</v>
      </c>
      <c r="BE10" s="68">
        <f t="shared" si="2"/>
        <v>9.6666666666666665E-2</v>
      </c>
      <c r="BF10" s="68">
        <f t="shared" si="2"/>
        <v>0.11866666666666667</v>
      </c>
      <c r="BG10" s="68">
        <f t="shared" si="2"/>
        <v>0.20749999999999999</v>
      </c>
      <c r="BH10" s="68">
        <f t="shared" si="2"/>
        <v>0.1295</v>
      </c>
      <c r="BI10" s="68">
        <f t="shared" si="2"/>
        <v>0.13916666666666666</v>
      </c>
      <c r="BJ10" s="68">
        <f t="shared" si="2"/>
        <v>0.11349999999999999</v>
      </c>
      <c r="BK10" s="68">
        <f>IF(OR(AC8="",AC8="Sem monitoramento"),"VAZIO",IFERROR(AC8/($AJ10*24),"-"))</f>
        <v>0.14166666666666666</v>
      </c>
      <c r="BL10" s="68">
        <f t="shared" si="2"/>
        <v>0.12066666666666667</v>
      </c>
      <c r="BM10" s="68">
        <f t="shared" si="2"/>
        <v>0.11233333333333334</v>
      </c>
      <c r="BN10" s="68">
        <f t="shared" si="2"/>
        <v>8.2833333333333342E-2</v>
      </c>
      <c r="BO10" s="68">
        <f>IF(OR(AG8="",AG8="Sem monitoramento"),"VAZIO",IFERROR(AG8/($AJ10*24),"-"))</f>
        <v>0.215</v>
      </c>
      <c r="BP10" s="70">
        <f t="shared" si="3"/>
        <v>0.16273333333333331</v>
      </c>
      <c r="BQ10" s="180">
        <f>'FCs estimados em PVsyst'!Y8</f>
        <v>0.185</v>
      </c>
      <c r="BR10" s="72">
        <f t="shared" si="4"/>
        <v>4.625</v>
      </c>
      <c r="BS10" s="73">
        <f t="shared" si="5"/>
        <v>-6.1666666666666661E-2</v>
      </c>
      <c r="BT10" s="74">
        <f t="shared" si="6"/>
        <v>-2.2266666666666685E-2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155.5</v>
      </c>
      <c r="E11" s="63">
        <v>106.2</v>
      </c>
      <c r="F11" s="63">
        <v>117.7</v>
      </c>
      <c r="G11" s="63">
        <v>129.1</v>
      </c>
      <c r="H11" s="63">
        <v>200.8</v>
      </c>
      <c r="I11" s="283">
        <v>202.9</v>
      </c>
      <c r="J11" s="283">
        <v>404.3</v>
      </c>
      <c r="K11" s="283">
        <v>361</v>
      </c>
      <c r="L11" s="63">
        <v>482.6</v>
      </c>
      <c r="M11" s="63">
        <v>451.9</v>
      </c>
      <c r="N11" s="63">
        <v>447.4</v>
      </c>
      <c r="O11" s="63">
        <v>448.7</v>
      </c>
      <c r="P11" s="63">
        <v>436.1</v>
      </c>
      <c r="Q11" s="283">
        <v>447.6</v>
      </c>
      <c r="R11" s="63">
        <v>431.4</v>
      </c>
      <c r="S11" s="63">
        <v>420.6</v>
      </c>
      <c r="T11" s="63">
        <v>411.5</v>
      </c>
      <c r="U11" s="63">
        <v>409.9</v>
      </c>
      <c r="V11" s="283">
        <v>287</v>
      </c>
      <c r="W11" s="283">
        <v>165.3</v>
      </c>
      <c r="X11" s="63">
        <v>278.39999999999998</v>
      </c>
      <c r="Y11" s="63">
        <v>424.5</v>
      </c>
      <c r="Z11" s="15">
        <v>267.89999999999998</v>
      </c>
      <c r="AA11" s="18">
        <v>281.3</v>
      </c>
      <c r="AB11" s="323">
        <v>241.9</v>
      </c>
      <c r="AC11" s="221">
        <v>256.8</v>
      </c>
      <c r="AD11" s="15">
        <v>277.60000000000002</v>
      </c>
      <c r="AE11" s="221">
        <v>242.9</v>
      </c>
      <c r="AF11" s="15">
        <v>198.1</v>
      </c>
      <c r="AG11" s="15">
        <v>372.4</v>
      </c>
      <c r="AH11" s="64"/>
      <c r="AI11" s="290">
        <f t="shared" si="7"/>
        <v>9359.2999999999993</v>
      </c>
      <c r="AJ11" s="118">
        <v>78</v>
      </c>
      <c r="AK11" s="121">
        <f t="shared" si="0"/>
        <v>3.4929962013295346E-3</v>
      </c>
      <c r="AL11" s="67">
        <f t="shared" si="1"/>
        <v>8.3066239316239313E-2</v>
      </c>
      <c r="AM11" s="68">
        <f t="shared" si="1"/>
        <v>5.673076923076923E-2</v>
      </c>
      <c r="AN11" s="68">
        <f t="shared" si="1"/>
        <v>6.2873931623931623E-2</v>
      </c>
      <c r="AO11" s="68">
        <f t="shared" si="1"/>
        <v>6.8963675213675205E-2</v>
      </c>
      <c r="AP11" s="68">
        <f t="shared" si="1"/>
        <v>0.10726495726495727</v>
      </c>
      <c r="AQ11" s="68">
        <f t="shared" si="1"/>
        <v>0.10838675213675214</v>
      </c>
      <c r="AR11" s="68">
        <f t="shared" si="1"/>
        <v>0.21597222222222223</v>
      </c>
      <c r="AS11" s="68">
        <f t="shared" si="1"/>
        <v>0.19284188034188035</v>
      </c>
      <c r="AT11" s="68">
        <f t="shared" si="1"/>
        <v>0.25779914529914533</v>
      </c>
      <c r="AU11" s="68">
        <f t="shared" si="1"/>
        <v>0.24139957264957262</v>
      </c>
      <c r="AV11" s="68">
        <f t="shared" si="1"/>
        <v>0.23899572649572648</v>
      </c>
      <c r="AW11" s="68">
        <f t="shared" si="1"/>
        <v>0.23969017094017092</v>
      </c>
      <c r="AX11" s="68">
        <f t="shared" si="1"/>
        <v>0.23295940170940171</v>
      </c>
      <c r="AY11" s="68">
        <f t="shared" si="1"/>
        <v>0.23910256410256411</v>
      </c>
      <c r="AZ11" s="68">
        <f t="shared" si="1"/>
        <v>0.23044871794871793</v>
      </c>
      <c r="BA11" s="68">
        <f t="shared" si="1"/>
        <v>0.22467948717948719</v>
      </c>
      <c r="BB11" s="68">
        <f t="shared" si="2"/>
        <v>0.21981837606837606</v>
      </c>
      <c r="BC11" s="68">
        <f t="shared" si="2"/>
        <v>0.21896367521367521</v>
      </c>
      <c r="BD11" s="68">
        <f t="shared" si="2"/>
        <v>0.15331196581196582</v>
      </c>
      <c r="BE11" s="68">
        <f t="shared" si="2"/>
        <v>8.8301282051282057E-2</v>
      </c>
      <c r="BF11" s="68">
        <f t="shared" si="2"/>
        <v>0.14871794871794872</v>
      </c>
      <c r="BG11" s="68">
        <f t="shared" si="2"/>
        <v>0.22676282051282051</v>
      </c>
      <c r="BH11" s="68">
        <f t="shared" si="2"/>
        <v>0.14310897435897435</v>
      </c>
      <c r="BI11" s="68">
        <f t="shared" si="2"/>
        <v>0.15026709401709401</v>
      </c>
      <c r="BJ11" s="68">
        <f>IF(OR(AB9="",AB9="Sem monitoramento"),"VAZIO",IFERROR(AB9/($AJ11*24),"-"))</f>
        <v>1.7254273504273502E-2</v>
      </c>
      <c r="BK11" s="68">
        <f t="shared" ref="BK11:BO31" si="8">IF(OR(AC11="",AC11="Sem monitoramento"),"VAZIO",IFERROR(AC11/($AJ11*24),"-"))</f>
        <v>0.13717948717948719</v>
      </c>
      <c r="BL11" s="68">
        <f t="shared" si="2"/>
        <v>0.14829059829059829</v>
      </c>
      <c r="BM11" s="68">
        <f t="shared" si="2"/>
        <v>0.12975427350427352</v>
      </c>
      <c r="BN11" s="68">
        <f t="shared" si="2"/>
        <v>0.10582264957264957</v>
      </c>
      <c r="BO11" s="68">
        <f t="shared" si="2"/>
        <v>0.19893162393162392</v>
      </c>
      <c r="BP11" s="70">
        <f t="shared" si="3"/>
        <v>0.16665420227920227</v>
      </c>
      <c r="BQ11" s="198">
        <f>BQ19</f>
        <v>0.168125</v>
      </c>
      <c r="BR11" s="72">
        <f t="shared" si="4"/>
        <v>13.11375</v>
      </c>
      <c r="BS11" s="73">
        <f t="shared" si="5"/>
        <v>-0.10525106837606837</v>
      </c>
      <c r="BT11" s="74">
        <f t="shared" si="6"/>
        <v>-1.470797720797723E-3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291">
        <v>269.7</v>
      </c>
      <c r="E12" s="308">
        <v>157</v>
      </c>
      <c r="F12" s="82">
        <v>224.9</v>
      </c>
      <c r="G12" s="82">
        <v>198.4</v>
      </c>
      <c r="H12" s="82">
        <v>389.3</v>
      </c>
      <c r="I12" s="308">
        <v>355.9</v>
      </c>
      <c r="J12" s="82">
        <v>290.89999999999998</v>
      </c>
      <c r="K12" s="82">
        <v>260.5</v>
      </c>
      <c r="L12" s="82">
        <v>372.9</v>
      </c>
      <c r="M12" s="82">
        <v>349.2</v>
      </c>
      <c r="N12" s="82">
        <v>357</v>
      </c>
      <c r="O12" s="82">
        <v>350.1</v>
      </c>
      <c r="P12" s="82">
        <v>345.4</v>
      </c>
      <c r="Q12" s="308">
        <v>349</v>
      </c>
      <c r="R12" s="82">
        <v>344.2</v>
      </c>
      <c r="S12" s="82">
        <v>335.6</v>
      </c>
      <c r="T12" s="82">
        <v>317.39999999999998</v>
      </c>
      <c r="U12" s="82">
        <v>323.39999999999998</v>
      </c>
      <c r="V12" s="82">
        <v>181.8</v>
      </c>
      <c r="W12" s="308">
        <v>143.80000000000001</v>
      </c>
      <c r="X12" s="82">
        <v>189.4</v>
      </c>
      <c r="Y12" s="82">
        <v>351</v>
      </c>
      <c r="Z12" s="16">
        <v>198.5</v>
      </c>
      <c r="AA12" s="17">
        <v>222.8</v>
      </c>
      <c r="AB12" s="324">
        <v>182.6</v>
      </c>
      <c r="AC12" s="16">
        <v>227</v>
      </c>
      <c r="AD12" s="16">
        <v>192</v>
      </c>
      <c r="AE12" s="16">
        <v>171.3</v>
      </c>
      <c r="AF12" s="16">
        <v>132.30000000000001</v>
      </c>
      <c r="AG12" s="16">
        <v>257.39999999999998</v>
      </c>
      <c r="AH12" s="86"/>
      <c r="AI12" s="290">
        <f t="shared" si="7"/>
        <v>8040.7</v>
      </c>
      <c r="AJ12" s="123">
        <v>61</v>
      </c>
      <c r="AK12" s="121" t="s">
        <v>31</v>
      </c>
      <c r="AL12" s="67">
        <f t="shared" si="1"/>
        <v>0.18422131147540982</v>
      </c>
      <c r="AM12" s="68">
        <f t="shared" si="1"/>
        <v>0.10724043715846994</v>
      </c>
      <c r="AN12" s="68">
        <f t="shared" si="1"/>
        <v>0.15362021857923497</v>
      </c>
      <c r="AO12" s="68">
        <f t="shared" si="1"/>
        <v>0.13551912568306013</v>
      </c>
      <c r="AP12" s="68">
        <f t="shared" si="1"/>
        <v>0.26591530054644807</v>
      </c>
      <c r="AQ12" s="68">
        <f t="shared" si="1"/>
        <v>0.24310109289617485</v>
      </c>
      <c r="AR12" s="68">
        <f t="shared" si="1"/>
        <v>0.19870218579234972</v>
      </c>
      <c r="AS12" s="68">
        <f t="shared" si="1"/>
        <v>0.17793715846994534</v>
      </c>
      <c r="AT12" s="68">
        <f t="shared" si="1"/>
        <v>0.25471311475409836</v>
      </c>
      <c r="AU12" s="68">
        <f t="shared" si="1"/>
        <v>0.23852459016393443</v>
      </c>
      <c r="AV12" s="68">
        <f t="shared" si="1"/>
        <v>0.24385245901639344</v>
      </c>
      <c r="AW12" s="68">
        <f t="shared" si="1"/>
        <v>0.23913934426229511</v>
      </c>
      <c r="AX12" s="68">
        <f t="shared" si="1"/>
        <v>0.23592896174863387</v>
      </c>
      <c r="AY12" s="68">
        <f t="shared" si="1"/>
        <v>0.23838797814207649</v>
      </c>
      <c r="AZ12" s="68">
        <f t="shared" si="1"/>
        <v>0.23510928961748634</v>
      </c>
      <c r="BA12" s="68">
        <f t="shared" si="1"/>
        <v>0.22923497267759566</v>
      </c>
      <c r="BB12" s="68">
        <f t="shared" si="2"/>
        <v>0.21680327868852459</v>
      </c>
      <c r="BC12" s="68">
        <f t="shared" si="2"/>
        <v>0.22090163934426227</v>
      </c>
      <c r="BD12" s="68">
        <f t="shared" si="2"/>
        <v>0.12418032786885247</v>
      </c>
      <c r="BE12" s="68">
        <f t="shared" si="2"/>
        <v>9.8224043715847004E-2</v>
      </c>
      <c r="BF12" s="68">
        <f t="shared" si="2"/>
        <v>0.12937158469945356</v>
      </c>
      <c r="BG12" s="68">
        <f t="shared" si="2"/>
        <v>0.23975409836065573</v>
      </c>
      <c r="BH12" s="68">
        <f t="shared" si="2"/>
        <v>0.13558743169398907</v>
      </c>
      <c r="BI12" s="68">
        <f t="shared" si="2"/>
        <v>0.15218579234972679</v>
      </c>
      <c r="BJ12" s="68">
        <f t="shared" si="2"/>
        <v>0.12472677595628415</v>
      </c>
      <c r="BK12" s="68">
        <f t="shared" si="8"/>
        <v>0.15505464480874318</v>
      </c>
      <c r="BL12" s="68">
        <f t="shared" si="2"/>
        <v>0.13114754098360656</v>
      </c>
      <c r="BM12" s="68">
        <f t="shared" si="2"/>
        <v>0.11700819672131148</v>
      </c>
      <c r="BN12" s="68">
        <f t="shared" si="2"/>
        <v>9.0368852459016408E-2</v>
      </c>
      <c r="BO12" s="68">
        <f t="shared" si="2"/>
        <v>0.17581967213114752</v>
      </c>
      <c r="BP12" s="70">
        <f t="shared" si="3"/>
        <v>0.18307604735883423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6"/>
        <v>-1.5778688524590301E-3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62">
        <v>259</v>
      </c>
      <c r="E13" s="63">
        <v>256</v>
      </c>
      <c r="F13" s="63">
        <v>353.3</v>
      </c>
      <c r="G13" s="63">
        <v>311.89999999999998</v>
      </c>
      <c r="H13" s="63">
        <v>607.6</v>
      </c>
      <c r="I13" s="283">
        <v>556.70000000000005</v>
      </c>
      <c r="J13" s="63">
        <v>432.1</v>
      </c>
      <c r="K13" s="63">
        <v>382.3</v>
      </c>
      <c r="L13" s="63">
        <v>591.70000000000005</v>
      </c>
      <c r="M13" s="63">
        <v>556.4</v>
      </c>
      <c r="N13" s="63">
        <v>562.1</v>
      </c>
      <c r="O13" s="63">
        <v>570.20000000000005</v>
      </c>
      <c r="P13" s="63">
        <v>567</v>
      </c>
      <c r="Q13" s="283">
        <v>570.6</v>
      </c>
      <c r="R13" s="63">
        <v>562.4</v>
      </c>
      <c r="S13" s="63">
        <v>562.29999999999995</v>
      </c>
      <c r="T13" s="63">
        <v>528.29999999999995</v>
      </c>
      <c r="U13" s="63">
        <v>551.9</v>
      </c>
      <c r="V13" s="63">
        <v>288.60000000000002</v>
      </c>
      <c r="W13" s="283">
        <v>243.9</v>
      </c>
      <c r="X13" s="63">
        <v>290.39999999999998</v>
      </c>
      <c r="Y13" s="63">
        <v>563.9</v>
      </c>
      <c r="Z13" s="15">
        <v>340.3</v>
      </c>
      <c r="AA13" s="18">
        <v>377</v>
      </c>
      <c r="AB13" s="323">
        <v>322.3</v>
      </c>
      <c r="AC13" s="15">
        <v>381.4</v>
      </c>
      <c r="AD13" s="15">
        <v>310.3</v>
      </c>
      <c r="AE13" s="15">
        <v>283.39999999999998</v>
      </c>
      <c r="AF13" s="15">
        <v>222.7</v>
      </c>
      <c r="AG13" s="15">
        <v>425.7</v>
      </c>
      <c r="AH13" s="64"/>
      <c r="AI13" s="290">
        <f t="shared" si="7"/>
        <v>12831.699999999997</v>
      </c>
      <c r="AJ13" s="118">
        <v>100</v>
      </c>
      <c r="AK13" s="121">
        <f t="shared" ref="AK13:AK25" si="9">F13/(AJ13*432)</f>
        <v>8.1782407407407411E-3</v>
      </c>
      <c r="AL13" s="67">
        <f t="shared" si="1"/>
        <v>0.10791666666666666</v>
      </c>
      <c r="AM13" s="68">
        <f t="shared" si="1"/>
        <v>0.10666666666666667</v>
      </c>
      <c r="AN13" s="68">
        <f t="shared" si="1"/>
        <v>0.14720833333333333</v>
      </c>
      <c r="AO13" s="68">
        <f t="shared" si="1"/>
        <v>0.12995833333333331</v>
      </c>
      <c r="AP13" s="68">
        <f t="shared" si="1"/>
        <v>0.25316666666666665</v>
      </c>
      <c r="AQ13" s="68">
        <f t="shared" si="1"/>
        <v>0.23195833333333335</v>
      </c>
      <c r="AR13" s="68">
        <f t="shared" si="1"/>
        <v>0.18004166666666668</v>
      </c>
      <c r="AS13" s="68">
        <f t="shared" si="1"/>
        <v>0.15929166666666666</v>
      </c>
      <c r="AT13" s="68">
        <f t="shared" si="1"/>
        <v>0.24654166666666669</v>
      </c>
      <c r="AU13" s="68">
        <f t="shared" si="1"/>
        <v>0.23183333333333334</v>
      </c>
      <c r="AV13" s="68">
        <f t="shared" si="1"/>
        <v>0.23420833333333335</v>
      </c>
      <c r="AW13" s="68">
        <f t="shared" si="1"/>
        <v>0.23758333333333334</v>
      </c>
      <c r="AX13" s="68">
        <f t="shared" si="1"/>
        <v>0.23624999999999999</v>
      </c>
      <c r="AY13" s="68">
        <f t="shared" si="1"/>
        <v>0.23775000000000002</v>
      </c>
      <c r="AZ13" s="68">
        <f t="shared" si="1"/>
        <v>0.23433333333333331</v>
      </c>
      <c r="BA13" s="68">
        <f t="shared" si="1"/>
        <v>0.23429166666666665</v>
      </c>
      <c r="BB13" s="68">
        <f t="shared" si="2"/>
        <v>0.22012499999999999</v>
      </c>
      <c r="BC13" s="68">
        <f t="shared" si="2"/>
        <v>0.22995833333333332</v>
      </c>
      <c r="BD13" s="68">
        <f t="shared" si="2"/>
        <v>0.12025000000000001</v>
      </c>
      <c r="BE13" s="68">
        <f t="shared" si="2"/>
        <v>0.10162500000000001</v>
      </c>
      <c r="BF13" s="68">
        <f t="shared" si="2"/>
        <v>0.121</v>
      </c>
      <c r="BG13" s="68">
        <f t="shared" si="2"/>
        <v>0.23495833333333332</v>
      </c>
      <c r="BH13" s="68">
        <f t="shared" si="2"/>
        <v>0.14179166666666668</v>
      </c>
      <c r="BI13" s="68">
        <f t="shared" si="2"/>
        <v>0.15708333333333332</v>
      </c>
      <c r="BJ13" s="68">
        <f t="shared" si="2"/>
        <v>0.13429166666666667</v>
      </c>
      <c r="BK13" s="68">
        <f t="shared" si="8"/>
        <v>0.15891666666666665</v>
      </c>
      <c r="BL13" s="68">
        <f t="shared" si="2"/>
        <v>0.12929166666666667</v>
      </c>
      <c r="BM13" s="68">
        <f t="shared" si="2"/>
        <v>0.11808333333333332</v>
      </c>
      <c r="BN13" s="68">
        <f t="shared" si="2"/>
        <v>9.2791666666666661E-2</v>
      </c>
      <c r="BO13" s="68">
        <f t="shared" si="2"/>
        <v>0.177375</v>
      </c>
      <c r="BP13" s="70">
        <f t="shared" si="3"/>
        <v>0.1782180555555555</v>
      </c>
      <c r="BQ13" s="198">
        <f>BQ19</f>
        <v>0.168125</v>
      </c>
      <c r="BR13" s="72">
        <f t="shared" ref="BR13:BR29" si="10">AJ13*BQ13</f>
        <v>16.8125</v>
      </c>
      <c r="BS13" s="73">
        <f t="shared" ref="BS13:BS29" si="11">AN13-BQ13</f>
        <v>-2.0916666666666667E-2</v>
      </c>
      <c r="BT13" s="74">
        <f t="shared" si="6"/>
        <v>1.0093055555555508E-2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480.3</v>
      </c>
      <c r="E14" s="63">
        <v>343.1</v>
      </c>
      <c r="F14" s="63">
        <v>374.3</v>
      </c>
      <c r="G14" s="63">
        <v>411.6</v>
      </c>
      <c r="H14" s="63">
        <v>637</v>
      </c>
      <c r="I14" s="283">
        <v>629.29999999999995</v>
      </c>
      <c r="J14" s="283">
        <v>508.4</v>
      </c>
      <c r="K14" s="283">
        <v>465.6</v>
      </c>
      <c r="L14" s="63">
        <v>624.79999999999995</v>
      </c>
      <c r="M14" s="63">
        <v>601.79999999999995</v>
      </c>
      <c r="N14" s="63">
        <v>586.29999999999995</v>
      </c>
      <c r="O14" s="63">
        <v>606.5</v>
      </c>
      <c r="P14" s="63">
        <v>593.79999999999995</v>
      </c>
      <c r="Q14" s="283">
        <v>606.4</v>
      </c>
      <c r="R14" s="63">
        <v>584.29999999999995</v>
      </c>
      <c r="S14" s="63">
        <v>574.4</v>
      </c>
      <c r="T14" s="63">
        <v>558.5</v>
      </c>
      <c r="U14" s="63">
        <v>569.29999999999995</v>
      </c>
      <c r="V14" s="283">
        <v>386.8</v>
      </c>
      <c r="W14" s="283">
        <v>220.2</v>
      </c>
      <c r="X14" s="63">
        <v>371.2</v>
      </c>
      <c r="Y14" s="63">
        <v>574.70000000000005</v>
      </c>
      <c r="Z14" s="15">
        <v>362.1</v>
      </c>
      <c r="AA14" s="18">
        <v>377.5</v>
      </c>
      <c r="AB14" s="323">
        <v>327.7</v>
      </c>
      <c r="AC14" s="221">
        <v>350.8</v>
      </c>
      <c r="AD14" s="15">
        <v>387.3</v>
      </c>
      <c r="AE14" s="15">
        <v>327.2</v>
      </c>
      <c r="AF14" s="15">
        <v>264.89999999999998</v>
      </c>
      <c r="AG14" s="15">
        <v>518.1</v>
      </c>
      <c r="AH14" s="64"/>
      <c r="AI14" s="290">
        <f t="shared" si="7"/>
        <v>14224.200000000003</v>
      </c>
      <c r="AJ14" s="118">
        <v>100</v>
      </c>
      <c r="AK14" s="121">
        <f t="shared" si="9"/>
        <v>8.6643518518518519E-3</v>
      </c>
      <c r="AL14" s="67">
        <f t="shared" si="1"/>
        <v>0.200125</v>
      </c>
      <c r="AM14" s="68">
        <f t="shared" si="1"/>
        <v>0.14295833333333335</v>
      </c>
      <c r="AN14" s="68">
        <f t="shared" si="1"/>
        <v>0.15595833333333334</v>
      </c>
      <c r="AO14" s="68">
        <f t="shared" si="1"/>
        <v>0.17150000000000001</v>
      </c>
      <c r="AP14" s="68">
        <f t="shared" si="1"/>
        <v>0.26541666666666669</v>
      </c>
      <c r="AQ14" s="68">
        <f t="shared" si="1"/>
        <v>0.26220833333333332</v>
      </c>
      <c r="AR14" s="68">
        <f t="shared" si="1"/>
        <v>0.21183333333333332</v>
      </c>
      <c r="AS14" s="68">
        <f t="shared" si="1"/>
        <v>0.19400000000000001</v>
      </c>
      <c r="AT14" s="68">
        <f t="shared" si="1"/>
        <v>0.26033333333333331</v>
      </c>
      <c r="AU14" s="68">
        <f t="shared" si="1"/>
        <v>0.25074999999999997</v>
      </c>
      <c r="AV14" s="68">
        <f t="shared" si="1"/>
        <v>0.24429166666666666</v>
      </c>
      <c r="AW14" s="68">
        <f>IF(OR(O14="",O14="Sem monitoramento"),"VAZIO",IFERROR(O14/($AJ14*24),"-"))</f>
        <v>0.25270833333333331</v>
      </c>
      <c r="AX14" s="68">
        <f t="shared" si="1"/>
        <v>0.24741666666666665</v>
      </c>
      <c r="AY14" s="68">
        <f t="shared" si="1"/>
        <v>0.25266666666666665</v>
      </c>
      <c r="AZ14" s="68">
        <f t="shared" si="1"/>
        <v>0.2434583333333333</v>
      </c>
      <c r="BA14" s="68">
        <f t="shared" si="1"/>
        <v>0.23933333333333331</v>
      </c>
      <c r="BB14" s="68" t="e">
        <f>IF(OR(#REF!="",#REF!="Sem monitoramento"),"VAZIO",IFERROR(#REF!/($AJ14*24),"-"))</f>
        <v>#REF!</v>
      </c>
      <c r="BC14" s="68">
        <f>IF(OR(U14="",U14="Sem monitoramento"),"VAZIO",IFERROR(U14/($AJ14*24),"-"))</f>
        <v>0.23720833333333333</v>
      </c>
      <c r="BD14" s="68">
        <f t="shared" si="2"/>
        <v>0.16116666666666668</v>
      </c>
      <c r="BE14" s="68">
        <f t="shared" si="2"/>
        <v>9.1749999999999998E-2</v>
      </c>
      <c r="BF14" s="68">
        <f t="shared" si="2"/>
        <v>0.15466666666666667</v>
      </c>
      <c r="BG14" s="68">
        <f t="shared" si="2"/>
        <v>0.23945833333333336</v>
      </c>
      <c r="BH14" s="68">
        <f t="shared" si="2"/>
        <v>0.15087500000000001</v>
      </c>
      <c r="BI14" s="68">
        <f t="shared" si="2"/>
        <v>0.15729166666666666</v>
      </c>
      <c r="BJ14" s="68">
        <f t="shared" si="2"/>
        <v>0.13654166666666667</v>
      </c>
      <c r="BK14" s="68">
        <f t="shared" si="8"/>
        <v>0.14616666666666667</v>
      </c>
      <c r="BL14" s="68">
        <f t="shared" si="2"/>
        <v>0.16137500000000002</v>
      </c>
      <c r="BM14" s="68">
        <f t="shared" si="2"/>
        <v>0.13633333333333333</v>
      </c>
      <c r="BN14" s="68">
        <f t="shared" si="2"/>
        <v>0.11037499999999999</v>
      </c>
      <c r="BO14" s="68">
        <f t="shared" si="2"/>
        <v>0.21587500000000001</v>
      </c>
      <c r="BP14" s="70">
        <f t="shared" si="3"/>
        <v>0.19755833333333336</v>
      </c>
      <c r="BQ14" s="198">
        <f>$BQ$19</f>
        <v>0.168125</v>
      </c>
      <c r="BR14" s="72">
        <f t="shared" si="10"/>
        <v>16.8125</v>
      </c>
      <c r="BS14" s="73">
        <f t="shared" si="11"/>
        <v>-1.2166666666666659E-2</v>
      </c>
      <c r="BT14" s="74">
        <f t="shared" si="6"/>
        <v>2.9433333333333367E-2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143.80000000000001</v>
      </c>
      <c r="E15" s="63">
        <v>94.5</v>
      </c>
      <c r="F15" s="63">
        <v>109.2</v>
      </c>
      <c r="G15" s="63">
        <v>74.2</v>
      </c>
      <c r="H15" s="63">
        <v>183.3</v>
      </c>
      <c r="I15" s="283">
        <v>184.6</v>
      </c>
      <c r="J15" s="283">
        <v>151.1</v>
      </c>
      <c r="K15" s="283">
        <v>137</v>
      </c>
      <c r="L15" s="63">
        <v>177.2</v>
      </c>
      <c r="M15" s="63">
        <v>160</v>
      </c>
      <c r="N15" s="63">
        <v>166</v>
      </c>
      <c r="O15" s="63">
        <v>165.3</v>
      </c>
      <c r="P15" s="63">
        <v>162.19999999999999</v>
      </c>
      <c r="Q15" s="283">
        <v>165.7</v>
      </c>
      <c r="R15" s="63">
        <v>158.80000000000001</v>
      </c>
      <c r="S15" s="63">
        <v>155.6</v>
      </c>
      <c r="T15" s="63">
        <v>151.4</v>
      </c>
      <c r="U15" s="63">
        <v>151.69999999999999</v>
      </c>
      <c r="V15" s="283">
        <v>105.7</v>
      </c>
      <c r="W15" s="283">
        <v>59.6</v>
      </c>
      <c r="X15" s="63">
        <v>106.5</v>
      </c>
      <c r="Y15" s="63">
        <v>164.1</v>
      </c>
      <c r="Z15" s="15">
        <v>97.6</v>
      </c>
      <c r="AA15" s="18">
        <v>104.3</v>
      </c>
      <c r="AB15" s="323">
        <v>88.8</v>
      </c>
      <c r="AC15" s="221">
        <v>97</v>
      </c>
      <c r="AD15" s="221">
        <v>110.7</v>
      </c>
      <c r="AE15" s="15">
        <v>89.5</v>
      </c>
      <c r="AF15" s="15">
        <v>71.7</v>
      </c>
      <c r="AG15" s="15">
        <v>149.1</v>
      </c>
      <c r="AH15" s="64"/>
      <c r="AI15" s="290">
        <f t="shared" si="7"/>
        <v>3936.1999999999994</v>
      </c>
      <c r="AJ15" s="118">
        <v>29</v>
      </c>
      <c r="AK15" s="121">
        <f t="shared" si="9"/>
        <v>8.7164750957854416E-3</v>
      </c>
      <c r="AL15" s="67">
        <f t="shared" si="1"/>
        <v>0.20660919540229886</v>
      </c>
      <c r="AM15" s="68">
        <f t="shared" si="1"/>
        <v>0.13577586206896552</v>
      </c>
      <c r="AN15" s="68">
        <f t="shared" si="1"/>
        <v>0.15689655172413794</v>
      </c>
      <c r="AO15" s="68">
        <f t="shared" si="1"/>
        <v>0.10660919540229885</v>
      </c>
      <c r="AP15" s="68">
        <f t="shared" si="1"/>
        <v>0.26336206896551728</v>
      </c>
      <c r="AQ15" s="68">
        <f t="shared" si="1"/>
        <v>0.26522988505747125</v>
      </c>
      <c r="AR15" s="68">
        <f t="shared" si="1"/>
        <v>0.21709770114942528</v>
      </c>
      <c r="AS15" s="68">
        <f t="shared" si="1"/>
        <v>0.19683908045977011</v>
      </c>
      <c r="AT15" s="68">
        <f t="shared" si="1"/>
        <v>0.25459770114942526</v>
      </c>
      <c r="AU15" s="68">
        <f t="shared" si="1"/>
        <v>0.22988505747126436</v>
      </c>
      <c r="AV15" s="68">
        <f t="shared" si="1"/>
        <v>0.23850574712643677</v>
      </c>
      <c r="AW15" s="68">
        <f>IF(OR(O15="",O15="Sem monitoramento"),"VAZIO",IFERROR(O15/($AJ15*24),"-"))</f>
        <v>0.23750000000000002</v>
      </c>
      <c r="AX15" s="68">
        <f t="shared" si="1"/>
        <v>0.23304597701149424</v>
      </c>
      <c r="AY15" s="68">
        <f t="shared" si="1"/>
        <v>0.23807471264367813</v>
      </c>
      <c r="AZ15" s="68">
        <f t="shared" si="1"/>
        <v>0.22816091954022991</v>
      </c>
      <c r="BA15" s="68">
        <f t="shared" si="1"/>
        <v>0.22356321839080459</v>
      </c>
      <c r="BB15" s="68">
        <f>IF(OR(T15="",T15="Sem monitoramento"),"VAZIO",IFERROR(T15/($AJ15*24),"-"))</f>
        <v>0.21752873563218392</v>
      </c>
      <c r="BC15" s="68">
        <f>IF(OR(U15="",U15="Sem monitoramento"),"VAZIO",IFERROR(U15/($AJ15*24),"-"))</f>
        <v>0.21795977011494252</v>
      </c>
      <c r="BD15" s="68">
        <f t="shared" si="2"/>
        <v>0.15186781609195402</v>
      </c>
      <c r="BE15" s="68">
        <f t="shared" si="2"/>
        <v>8.5632183908045972E-2</v>
      </c>
      <c r="BF15" s="68">
        <f t="shared" si="2"/>
        <v>0.15301724137931033</v>
      </c>
      <c r="BG15" s="68">
        <f t="shared" si="2"/>
        <v>0.2357758620689655</v>
      </c>
      <c r="BH15" s="68">
        <f t="shared" si="2"/>
        <v>0.14022988505747125</v>
      </c>
      <c r="BI15" s="68">
        <f t="shared" si="2"/>
        <v>0.14985632183908046</v>
      </c>
      <c r="BJ15" s="68">
        <f t="shared" si="2"/>
        <v>0.12758620689655173</v>
      </c>
      <c r="BK15" s="68">
        <f t="shared" si="8"/>
        <v>0.13936781609195403</v>
      </c>
      <c r="BL15" s="68">
        <f t="shared" si="2"/>
        <v>0.15905172413793103</v>
      </c>
      <c r="BM15" s="68">
        <f t="shared" si="2"/>
        <v>0.12859195402298851</v>
      </c>
      <c r="BN15" s="68">
        <f t="shared" si="2"/>
        <v>0.10301724137931034</v>
      </c>
      <c r="BO15" s="68">
        <f t="shared" si="2"/>
        <v>0.21422413793103448</v>
      </c>
      <c r="BP15" s="70">
        <f t="shared" si="3"/>
        <v>0.18851532567049806</v>
      </c>
      <c r="BQ15" s="180">
        <f>'FCs estimados em PVsyst'!Y13</f>
        <v>0.1850095785440613</v>
      </c>
      <c r="BR15" s="72">
        <f t="shared" si="10"/>
        <v>5.365277777777778</v>
      </c>
      <c r="BS15" s="73">
        <f t="shared" si="11"/>
        <v>-2.8113026819923365E-2</v>
      </c>
      <c r="BT15" s="74">
        <f t="shared" si="6"/>
        <v>3.5057471264367535E-3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466.8</v>
      </c>
      <c r="E16" s="63">
        <v>286</v>
      </c>
      <c r="F16" s="63">
        <v>420.6</v>
      </c>
      <c r="G16" s="63">
        <v>414.8</v>
      </c>
      <c r="H16" s="246">
        <v>601.79999999999995</v>
      </c>
      <c r="I16" s="63">
        <v>588.1</v>
      </c>
      <c r="J16" s="63">
        <v>510.7</v>
      </c>
      <c r="K16" s="63">
        <v>449.8</v>
      </c>
      <c r="L16" s="63">
        <v>601.29999999999995</v>
      </c>
      <c r="M16" s="63">
        <v>581.70000000000005</v>
      </c>
      <c r="N16" s="63">
        <v>584.4</v>
      </c>
      <c r="O16" s="63">
        <v>578.20000000000005</v>
      </c>
      <c r="P16" s="283">
        <v>573.79999999999995</v>
      </c>
      <c r="Q16" s="283">
        <v>574.1</v>
      </c>
      <c r="R16" s="63">
        <v>550.9</v>
      </c>
      <c r="S16" s="63">
        <v>518.29999999999995</v>
      </c>
      <c r="T16" s="141">
        <v>513.79999999999995</v>
      </c>
      <c r="U16" s="63">
        <v>529.1</v>
      </c>
      <c r="V16" s="63">
        <v>338.2</v>
      </c>
      <c r="W16" s="283">
        <v>207.2</v>
      </c>
      <c r="X16" s="63">
        <v>378.5</v>
      </c>
      <c r="Y16" s="63">
        <v>409.29</v>
      </c>
      <c r="Z16" s="15">
        <v>348.9</v>
      </c>
      <c r="AA16" s="18">
        <v>363.9</v>
      </c>
      <c r="AB16" s="323">
        <v>254.5</v>
      </c>
      <c r="AC16" s="15">
        <v>350.1</v>
      </c>
      <c r="AD16" s="15">
        <v>329.3</v>
      </c>
      <c r="AE16" s="15">
        <v>323.8</v>
      </c>
      <c r="AF16" s="15">
        <v>245</v>
      </c>
      <c r="AG16" s="15">
        <v>361.3</v>
      </c>
      <c r="AH16" s="64"/>
      <c r="AI16" s="290">
        <f t="shared" si="7"/>
        <v>13254.189999999999</v>
      </c>
      <c r="AJ16" s="118">
        <v>100</v>
      </c>
      <c r="AK16" s="121">
        <f t="shared" si="9"/>
        <v>9.736111111111112E-3</v>
      </c>
      <c r="AL16" s="67">
        <f t="shared" si="1"/>
        <v>0.19450000000000001</v>
      </c>
      <c r="AM16" s="68">
        <f t="shared" si="1"/>
        <v>0.11916666666666667</v>
      </c>
      <c r="AN16" s="68">
        <f t="shared" si="1"/>
        <v>0.17525000000000002</v>
      </c>
      <c r="AO16" s="68">
        <f t="shared" si="1"/>
        <v>0.17283333333333334</v>
      </c>
      <c r="AP16" s="68">
        <f t="shared" si="1"/>
        <v>0.25074999999999997</v>
      </c>
      <c r="AQ16" s="68">
        <f t="shared" si="1"/>
        <v>0.24504166666666669</v>
      </c>
      <c r="AR16" s="68">
        <f t="shared" si="1"/>
        <v>0.21279166666666666</v>
      </c>
      <c r="AS16" s="68">
        <f t="shared" si="1"/>
        <v>0.18741666666666668</v>
      </c>
      <c r="AT16" s="68">
        <f t="shared" si="1"/>
        <v>0.25054166666666666</v>
      </c>
      <c r="AU16" s="68">
        <f t="shared" si="1"/>
        <v>0.24237500000000001</v>
      </c>
      <c r="AV16" s="68">
        <f t="shared" si="1"/>
        <v>0.24349999999999999</v>
      </c>
      <c r="AW16" s="68">
        <f t="shared" si="1"/>
        <v>0.2409166666666667</v>
      </c>
      <c r="AX16" s="68">
        <f t="shared" si="1"/>
        <v>0.23908333333333331</v>
      </c>
      <c r="AY16" s="68">
        <f t="shared" si="1"/>
        <v>0.23920833333333336</v>
      </c>
      <c r="AZ16" s="68">
        <f t="shared" si="1"/>
        <v>0.22954166666666664</v>
      </c>
      <c r="BA16" s="68">
        <f t="shared" si="1"/>
        <v>0.21595833333333331</v>
      </c>
      <c r="BB16" s="68">
        <f>IF(OR(T14="",T14="Sem monitoramento"),"VAZIO",IFERROR(T14/($AJ16*24),"-"))</f>
        <v>0.23270833333333332</v>
      </c>
      <c r="BC16" s="68">
        <f t="shared" si="2"/>
        <v>0.22045833333333334</v>
      </c>
      <c r="BD16" s="68">
        <f t="shared" si="2"/>
        <v>0.14091666666666666</v>
      </c>
      <c r="BE16" s="68">
        <f t="shared" si="2"/>
        <v>8.6333333333333331E-2</v>
      </c>
      <c r="BF16" s="68">
        <f t="shared" si="2"/>
        <v>0.15770833333333334</v>
      </c>
      <c r="BG16" s="68">
        <f t="shared" si="2"/>
        <v>0.17053750000000001</v>
      </c>
      <c r="BH16" s="68">
        <f t="shared" si="2"/>
        <v>0.145375</v>
      </c>
      <c r="BI16" s="68">
        <f t="shared" si="2"/>
        <v>0.15162499999999998</v>
      </c>
      <c r="BJ16" s="68">
        <f t="shared" si="2"/>
        <v>0.10604166666666667</v>
      </c>
      <c r="BK16" s="68">
        <f t="shared" si="8"/>
        <v>0.145875</v>
      </c>
      <c r="BL16" s="68">
        <f t="shared" si="2"/>
        <v>0.13720833333333335</v>
      </c>
      <c r="BM16" s="68">
        <f t="shared" si="2"/>
        <v>0.13491666666666668</v>
      </c>
      <c r="BN16" s="68">
        <f t="shared" si="2"/>
        <v>0.10208333333333333</v>
      </c>
      <c r="BO16" s="68">
        <f t="shared" si="2"/>
        <v>0.15054166666666668</v>
      </c>
      <c r="BP16" s="70">
        <f t="shared" si="3"/>
        <v>0.1840859722222222</v>
      </c>
      <c r="BQ16" s="180">
        <f>'FCs estimados em PVsyst'!Y14</f>
        <v>0.16425000000000001</v>
      </c>
      <c r="BR16" s="72">
        <f t="shared" si="10"/>
        <v>16.425000000000001</v>
      </c>
      <c r="BS16" s="73">
        <f t="shared" si="11"/>
        <v>1.100000000000001E-2</v>
      </c>
      <c r="BT16" s="74">
        <f t="shared" si="6"/>
        <v>1.9835972222222192E-2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305">
        <v>353.2</v>
      </c>
      <c r="E17" s="63">
        <v>323.39999999999998</v>
      </c>
      <c r="F17" s="82">
        <v>424.6</v>
      </c>
      <c r="G17" s="82">
        <v>405.6</v>
      </c>
      <c r="H17" s="82">
        <v>594.9</v>
      </c>
      <c r="I17" s="82">
        <v>550.6</v>
      </c>
      <c r="J17" s="82">
        <v>467.6</v>
      </c>
      <c r="K17" s="63">
        <v>527.4</v>
      </c>
      <c r="L17" s="63">
        <v>589.70000000000005</v>
      </c>
      <c r="M17" s="63">
        <v>569</v>
      </c>
      <c r="N17" s="63">
        <v>584.79999999999995</v>
      </c>
      <c r="O17" s="63">
        <v>586.1</v>
      </c>
      <c r="P17" s="283">
        <v>572.79999999999995</v>
      </c>
      <c r="Q17" s="283">
        <v>578.29999999999995</v>
      </c>
      <c r="R17" s="63">
        <v>563.79999999999995</v>
      </c>
      <c r="S17" s="63">
        <v>571.6</v>
      </c>
      <c r="T17" s="63">
        <v>529.5</v>
      </c>
      <c r="U17" s="63">
        <v>551.70000000000005</v>
      </c>
      <c r="V17" s="63">
        <v>152.9</v>
      </c>
      <c r="W17" s="283">
        <v>234.1</v>
      </c>
      <c r="X17" s="63">
        <v>387.5</v>
      </c>
      <c r="Y17" s="63">
        <v>582.5</v>
      </c>
      <c r="Z17" s="15">
        <v>561.6</v>
      </c>
      <c r="AA17" s="18">
        <v>310</v>
      </c>
      <c r="AB17" s="20">
        <v>314</v>
      </c>
      <c r="AC17" s="15">
        <v>393.8</v>
      </c>
      <c r="AD17" s="221">
        <v>360.6</v>
      </c>
      <c r="AE17" s="15">
        <v>331.9</v>
      </c>
      <c r="AF17" s="15">
        <v>285.8</v>
      </c>
      <c r="AG17" s="15">
        <v>524.29999999999995</v>
      </c>
      <c r="AH17" s="64"/>
      <c r="AI17" s="290">
        <f t="shared" si="7"/>
        <v>13783.6</v>
      </c>
      <c r="AJ17" s="118">
        <v>100</v>
      </c>
      <c r="AK17" s="122">
        <f t="shared" si="9"/>
        <v>9.8287037037037041E-3</v>
      </c>
      <c r="AL17" s="67">
        <f t="shared" si="1"/>
        <v>0.14716666666666667</v>
      </c>
      <c r="AM17" s="68">
        <f t="shared" si="1"/>
        <v>0.13474999999999998</v>
      </c>
      <c r="AN17" s="68">
        <f t="shared" si="1"/>
        <v>0.17691666666666667</v>
      </c>
      <c r="AO17" s="68">
        <f t="shared" si="1"/>
        <v>0.16900000000000001</v>
      </c>
      <c r="AP17" s="68">
        <f t="shared" si="1"/>
        <v>0.24787499999999998</v>
      </c>
      <c r="AQ17" s="68">
        <f t="shared" si="1"/>
        <v>0.22941666666666669</v>
      </c>
      <c r="AR17" s="68">
        <f t="shared" si="1"/>
        <v>0.19483333333333333</v>
      </c>
      <c r="AS17" s="68">
        <f t="shared" si="1"/>
        <v>0.21975</v>
      </c>
      <c r="AT17" s="68">
        <f t="shared" si="1"/>
        <v>0.24570833333333336</v>
      </c>
      <c r="AU17" s="68">
        <f t="shared" si="1"/>
        <v>0.23708333333333334</v>
      </c>
      <c r="AV17" s="68">
        <f t="shared" si="1"/>
        <v>0.24366666666666664</v>
      </c>
      <c r="AW17" s="68">
        <f t="shared" si="1"/>
        <v>0.24420833333333333</v>
      </c>
      <c r="AX17" s="68">
        <f t="shared" si="1"/>
        <v>0.23866666666666664</v>
      </c>
      <c r="AY17" s="68">
        <f t="shared" si="1"/>
        <v>0.2409583333333333</v>
      </c>
      <c r="AZ17" s="68">
        <f t="shared" si="1"/>
        <v>0.23491666666666663</v>
      </c>
      <c r="BA17" s="68">
        <f t="shared" si="1"/>
        <v>0.23816666666666667</v>
      </c>
      <c r="BB17" s="68">
        <f t="shared" ref="BB17:BJ31" si="12">IF(OR(T17="",T17="Sem monitoramento"),"VAZIO",IFERROR(T17/($AJ17*24),"-"))</f>
        <v>0.22062499999999999</v>
      </c>
      <c r="BC17" s="68">
        <f t="shared" si="2"/>
        <v>0.22987500000000002</v>
      </c>
      <c r="BD17" s="68">
        <f t="shared" si="2"/>
        <v>6.3708333333333339E-2</v>
      </c>
      <c r="BE17" s="68">
        <f t="shared" si="2"/>
        <v>9.7541666666666665E-2</v>
      </c>
      <c r="BF17" s="68">
        <f t="shared" si="2"/>
        <v>0.16145833333333334</v>
      </c>
      <c r="BG17" s="68" t="e">
        <f>IF(OR(#REF!="",#REF!="Sem monitoramento"),"VAZIO",IFERROR(#REF!/($AJ17*24),"-"))</f>
        <v>#REF!</v>
      </c>
      <c r="BH17" s="68">
        <f t="shared" si="2"/>
        <v>0.23400000000000001</v>
      </c>
      <c r="BI17" s="68">
        <f t="shared" si="2"/>
        <v>0.12916666666666668</v>
      </c>
      <c r="BJ17" s="68">
        <f t="shared" si="2"/>
        <v>0.13083333333333333</v>
      </c>
      <c r="BK17" s="68">
        <f t="shared" si="8"/>
        <v>0.16408333333333333</v>
      </c>
      <c r="BL17" s="68">
        <f t="shared" si="2"/>
        <v>0.15025000000000002</v>
      </c>
      <c r="BM17" s="68">
        <f t="shared" si="2"/>
        <v>0.13829166666666665</v>
      </c>
      <c r="BN17" s="68">
        <f t="shared" si="2"/>
        <v>0.11908333333333333</v>
      </c>
      <c r="BO17" s="68">
        <f t="shared" si="2"/>
        <v>0.21845833333333331</v>
      </c>
      <c r="BP17" s="70">
        <f t="shared" si="3"/>
        <v>0.19143888888888888</v>
      </c>
      <c r="BQ17" s="198">
        <f>$BQ$19</f>
        <v>0.168125</v>
      </c>
      <c r="BR17" s="90">
        <f t="shared" si="10"/>
        <v>16.8125</v>
      </c>
      <c r="BS17" s="73">
        <f t="shared" si="11"/>
        <v>8.7916666666666698E-3</v>
      </c>
      <c r="BT17" s="74">
        <f t="shared" si="6"/>
        <v>2.3313888888888884E-2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305">
        <v>340.1</v>
      </c>
      <c r="E18" s="63">
        <v>349.8</v>
      </c>
      <c r="F18" s="82">
        <v>447.9</v>
      </c>
      <c r="G18" s="63">
        <v>432.9</v>
      </c>
      <c r="H18" s="63">
        <v>618.6</v>
      </c>
      <c r="I18" s="63">
        <v>570.6</v>
      </c>
      <c r="J18" s="63">
        <v>487.1</v>
      </c>
      <c r="K18" s="63">
        <v>564.9</v>
      </c>
      <c r="L18" s="63">
        <v>617.9</v>
      </c>
      <c r="M18" s="63">
        <v>599.20000000000005</v>
      </c>
      <c r="N18" s="63">
        <v>599</v>
      </c>
      <c r="O18" s="63">
        <v>597.70000000000005</v>
      </c>
      <c r="P18" s="63">
        <v>581.9</v>
      </c>
      <c r="Q18" s="283">
        <v>589</v>
      </c>
      <c r="R18" s="63">
        <v>574</v>
      </c>
      <c r="S18" s="63">
        <v>577.29999999999995</v>
      </c>
      <c r="T18" s="63">
        <v>536</v>
      </c>
      <c r="U18" s="63">
        <v>560.5</v>
      </c>
      <c r="V18" s="63">
        <v>156.6</v>
      </c>
      <c r="W18" s="283">
        <v>238.8</v>
      </c>
      <c r="X18" s="63">
        <v>402.4</v>
      </c>
      <c r="Y18" s="63">
        <v>597.5</v>
      </c>
      <c r="Z18" s="15">
        <v>573.5</v>
      </c>
      <c r="AA18" s="18">
        <v>311.5</v>
      </c>
      <c r="AB18" s="20">
        <v>320.10000000000002</v>
      </c>
      <c r="AC18" s="15">
        <v>396.4</v>
      </c>
      <c r="AD18" s="221">
        <v>372.2</v>
      </c>
      <c r="AE18" s="15">
        <v>340.2</v>
      </c>
      <c r="AF18" s="15">
        <v>293.3</v>
      </c>
      <c r="AG18" s="15">
        <v>529</v>
      </c>
      <c r="AH18" s="64"/>
      <c r="AI18" s="290">
        <f t="shared" si="7"/>
        <v>14175.9</v>
      </c>
      <c r="AJ18" s="118">
        <v>100</v>
      </c>
      <c r="AK18" s="122">
        <f t="shared" si="9"/>
        <v>1.0368055555555556E-2</v>
      </c>
      <c r="AL18" s="67">
        <f t="shared" si="1"/>
        <v>0.14170833333333335</v>
      </c>
      <c r="AM18" s="68">
        <f t="shared" si="1"/>
        <v>0.14575000000000002</v>
      </c>
      <c r="AN18" s="68">
        <f t="shared" si="1"/>
        <v>0.18662499999999999</v>
      </c>
      <c r="AO18" s="68">
        <f t="shared" si="1"/>
        <v>0.18037499999999998</v>
      </c>
      <c r="AP18" s="68">
        <f t="shared" si="1"/>
        <v>0.25775000000000003</v>
      </c>
      <c r="AQ18" s="68">
        <f t="shared" si="1"/>
        <v>0.23775000000000002</v>
      </c>
      <c r="AR18" s="68">
        <f t="shared" si="1"/>
        <v>0.20295833333333335</v>
      </c>
      <c r="AS18" s="68">
        <f t="shared" si="1"/>
        <v>0.235375</v>
      </c>
      <c r="AT18" s="68">
        <f t="shared" si="1"/>
        <v>0.25745833333333334</v>
      </c>
      <c r="AU18" s="68">
        <f t="shared" si="1"/>
        <v>0.24966666666666668</v>
      </c>
      <c r="AV18" s="68">
        <f t="shared" si="1"/>
        <v>0.24958333333333332</v>
      </c>
      <c r="AW18" s="68">
        <f t="shared" si="1"/>
        <v>0.24904166666666669</v>
      </c>
      <c r="AX18" s="68">
        <f t="shared" si="1"/>
        <v>0.24245833333333333</v>
      </c>
      <c r="AY18" s="68">
        <f t="shared" si="1"/>
        <v>0.24541666666666667</v>
      </c>
      <c r="AZ18" s="68">
        <f t="shared" si="1"/>
        <v>0.23916666666666667</v>
      </c>
      <c r="BA18" s="68">
        <f t="shared" si="1"/>
        <v>0.24054166666666665</v>
      </c>
      <c r="BB18" s="68">
        <f t="shared" si="12"/>
        <v>0.22333333333333333</v>
      </c>
      <c r="BC18" s="68">
        <f t="shared" si="2"/>
        <v>0.23354166666666668</v>
      </c>
      <c r="BD18" s="68">
        <f t="shared" si="2"/>
        <v>6.5250000000000002E-2</v>
      </c>
      <c r="BE18" s="68">
        <f t="shared" si="2"/>
        <v>9.9500000000000005E-2</v>
      </c>
      <c r="BF18" s="68">
        <f t="shared" si="2"/>
        <v>0.16766666666666666</v>
      </c>
      <c r="BG18" s="68">
        <f t="shared" si="2"/>
        <v>0.24895833333333334</v>
      </c>
      <c r="BH18" s="68">
        <f t="shared" si="2"/>
        <v>0.23895833333333333</v>
      </c>
      <c r="BI18" s="68">
        <f t="shared" si="2"/>
        <v>0.12979166666666667</v>
      </c>
      <c r="BJ18" s="68">
        <f t="shared" si="2"/>
        <v>0.13337500000000002</v>
      </c>
      <c r="BK18" s="68">
        <f t="shared" si="8"/>
        <v>0.16516666666666666</v>
      </c>
      <c r="BL18" s="68">
        <f t="shared" si="2"/>
        <v>0.15508333333333332</v>
      </c>
      <c r="BM18" s="68">
        <f t="shared" si="2"/>
        <v>0.14174999999999999</v>
      </c>
      <c r="BN18" s="68">
        <f t="shared" si="2"/>
        <v>0.12220833333333334</v>
      </c>
      <c r="BO18" s="68">
        <f t="shared" si="2"/>
        <v>0.22041666666666668</v>
      </c>
      <c r="BP18" s="70">
        <f t="shared" si="3"/>
        <v>0.19688749999999999</v>
      </c>
      <c r="BQ18" s="198">
        <f>$BQ$19</f>
        <v>0.168125</v>
      </c>
      <c r="BR18" s="90">
        <f t="shared" si="10"/>
        <v>16.8125</v>
      </c>
      <c r="BS18" s="73">
        <f t="shared" si="11"/>
        <v>1.8499999999999989E-2</v>
      </c>
      <c r="BT18" s="74">
        <f t="shared" si="6"/>
        <v>2.8762499999999996E-2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386.2</v>
      </c>
      <c r="E19" s="63">
        <v>288.39999999999998</v>
      </c>
      <c r="F19" s="63">
        <v>381.4</v>
      </c>
      <c r="G19" s="63">
        <v>367.3</v>
      </c>
      <c r="H19" s="63">
        <v>528.79999999999995</v>
      </c>
      <c r="I19" s="63">
        <v>503.5</v>
      </c>
      <c r="J19" s="282">
        <v>367.3</v>
      </c>
      <c r="K19" s="63">
        <v>457</v>
      </c>
      <c r="L19" s="63">
        <v>526.29999999999995</v>
      </c>
      <c r="M19" s="63">
        <v>498.7</v>
      </c>
      <c r="N19" s="63">
        <v>499.5</v>
      </c>
      <c r="O19" s="63">
        <v>495.2</v>
      </c>
      <c r="P19" s="63">
        <v>482.1</v>
      </c>
      <c r="Q19" s="283">
        <v>484.1</v>
      </c>
      <c r="R19" s="63">
        <v>474.7</v>
      </c>
      <c r="S19" s="63">
        <v>481</v>
      </c>
      <c r="T19" s="63">
        <v>446.6</v>
      </c>
      <c r="U19" s="63">
        <v>457.4</v>
      </c>
      <c r="V19" s="283">
        <v>240.7</v>
      </c>
      <c r="W19" s="283">
        <v>210.4</v>
      </c>
      <c r="X19" s="63">
        <v>314.7</v>
      </c>
      <c r="Y19" s="316">
        <v>489.7</v>
      </c>
      <c r="Z19" s="15">
        <v>375.1</v>
      </c>
      <c r="AA19" s="18">
        <v>267.8</v>
      </c>
      <c r="AB19" s="20">
        <v>260.89999999999998</v>
      </c>
      <c r="AC19" s="15">
        <v>333</v>
      </c>
      <c r="AD19" s="15">
        <v>282.3</v>
      </c>
      <c r="AE19" s="221">
        <v>280.5</v>
      </c>
      <c r="AF19" s="15">
        <v>237.1</v>
      </c>
      <c r="AG19" s="15">
        <v>425.7</v>
      </c>
      <c r="AH19" s="64"/>
      <c r="AI19" s="290">
        <f t="shared" si="7"/>
        <v>11843.400000000001</v>
      </c>
      <c r="AJ19" s="118">
        <v>80</v>
      </c>
      <c r="AK19" s="121">
        <f t="shared" si="9"/>
        <v>1.1035879629629628E-2</v>
      </c>
      <c r="AL19" s="67">
        <f t="shared" si="1"/>
        <v>0.20114583333333333</v>
      </c>
      <c r="AM19" s="68">
        <f t="shared" si="1"/>
        <v>0.15020833333333333</v>
      </c>
      <c r="AN19" s="68">
        <f t="shared" si="1"/>
        <v>0.19864583333333333</v>
      </c>
      <c r="AO19" s="68">
        <f t="shared" si="1"/>
        <v>0.19130208333333334</v>
      </c>
      <c r="AP19" s="68">
        <f t="shared" si="1"/>
        <v>0.27541666666666664</v>
      </c>
      <c r="AQ19" s="68">
        <f t="shared" si="1"/>
        <v>0.26223958333333336</v>
      </c>
      <c r="AR19" s="68">
        <f t="shared" si="1"/>
        <v>0.19130208333333334</v>
      </c>
      <c r="AS19" s="68">
        <f t="shared" si="1"/>
        <v>0.23802083333333332</v>
      </c>
      <c r="AT19" s="68">
        <f>IF(OR(L21="",L21="Sem monitoramento"),"VAZIO",IFERROR(L21/($AJ19*24),"-"))</f>
        <v>0.2940625</v>
      </c>
      <c r="AU19" s="68">
        <f t="shared" si="1"/>
        <v>0.2597395833333333</v>
      </c>
      <c r="AV19" s="68">
        <f t="shared" si="1"/>
        <v>0.26015624999999998</v>
      </c>
      <c r="AW19" s="68">
        <f t="shared" si="1"/>
        <v>0.25791666666666668</v>
      </c>
      <c r="AX19" s="68">
        <f t="shared" si="1"/>
        <v>0.25109375</v>
      </c>
      <c r="AY19" s="68">
        <f t="shared" si="1"/>
        <v>0.25213541666666667</v>
      </c>
      <c r="AZ19" s="68">
        <f t="shared" si="1"/>
        <v>0.24723958333333332</v>
      </c>
      <c r="BA19" s="68">
        <f t="shared" si="1"/>
        <v>0.25052083333333336</v>
      </c>
      <c r="BB19" s="68">
        <f t="shared" si="12"/>
        <v>0.23260416666666667</v>
      </c>
      <c r="BC19" s="68">
        <f t="shared" si="2"/>
        <v>0.23822916666666666</v>
      </c>
      <c r="BD19" s="68">
        <f t="shared" si="2"/>
        <v>0.12536458333333333</v>
      </c>
      <c r="BE19" s="68">
        <f t="shared" si="2"/>
        <v>0.10958333333333334</v>
      </c>
      <c r="BF19" s="68">
        <f t="shared" si="2"/>
        <v>0.16390625</v>
      </c>
      <c r="BG19" s="68">
        <f>IF(OR(Y17="",Y17="Sem monitoramento"),"VAZIO",IFERROR(Y17/($AJ19*24),"-"))</f>
        <v>0.30338541666666669</v>
      </c>
      <c r="BH19" s="68">
        <f t="shared" si="2"/>
        <v>0.19536458333333334</v>
      </c>
      <c r="BI19" s="68">
        <f t="shared" si="2"/>
        <v>0.13947916666666668</v>
      </c>
      <c r="BJ19" s="68">
        <f t="shared" si="2"/>
        <v>0.13588541666666665</v>
      </c>
      <c r="BK19" s="68">
        <f t="shared" si="8"/>
        <v>0.17343749999999999</v>
      </c>
      <c r="BL19" s="68">
        <f t="shared" si="2"/>
        <v>0.14703125</v>
      </c>
      <c r="BM19" s="68">
        <f t="shared" si="2"/>
        <v>0.14609374999999999</v>
      </c>
      <c r="BN19" s="68">
        <f t="shared" si="2"/>
        <v>0.12348958333333333</v>
      </c>
      <c r="BO19" s="68">
        <f t="shared" si="2"/>
        <v>0.22171874999999999</v>
      </c>
      <c r="BP19" s="70">
        <f t="shared" si="3"/>
        <v>0.20561458333333335</v>
      </c>
      <c r="BQ19" s="180">
        <f>'FCs estimados em PVsyst'!Y17</f>
        <v>0.168125</v>
      </c>
      <c r="BR19" s="72">
        <f t="shared" si="10"/>
        <v>13.45</v>
      </c>
      <c r="BS19" s="73">
        <f t="shared" si="11"/>
        <v>3.052083333333333E-2</v>
      </c>
      <c r="BT19" s="74">
        <f t="shared" si="6"/>
        <v>3.7489583333333354E-2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62">
        <v>485.8</v>
      </c>
      <c r="E20" s="63">
        <v>376.4</v>
      </c>
      <c r="F20" s="63">
        <v>449.2</v>
      </c>
      <c r="G20" s="63">
        <v>461.9</v>
      </c>
      <c r="H20" s="63">
        <v>647.20000000000005</v>
      </c>
      <c r="I20" s="63">
        <v>617.9</v>
      </c>
      <c r="J20" s="282">
        <v>416.9</v>
      </c>
      <c r="K20" s="63">
        <v>556.29999999999995</v>
      </c>
      <c r="L20" s="63">
        <v>645.6</v>
      </c>
      <c r="M20" s="63">
        <v>626.79999999999995</v>
      </c>
      <c r="N20" s="316">
        <v>627.5</v>
      </c>
      <c r="O20" s="63">
        <v>631.9</v>
      </c>
      <c r="P20" s="63">
        <v>615.9</v>
      </c>
      <c r="Q20" s="283">
        <v>616.79999999999995</v>
      </c>
      <c r="R20" s="63">
        <v>609.70000000000005</v>
      </c>
      <c r="S20" s="63">
        <v>615.4</v>
      </c>
      <c r="T20" s="283">
        <v>582.20000000000005</v>
      </c>
      <c r="U20" s="63">
        <v>599.29999999999995</v>
      </c>
      <c r="V20" s="63">
        <v>309.5</v>
      </c>
      <c r="W20" s="283">
        <v>276.2</v>
      </c>
      <c r="X20" s="63">
        <v>385</v>
      </c>
      <c r="Y20" s="63">
        <v>608.70000000000005</v>
      </c>
      <c r="Z20" s="15">
        <v>602</v>
      </c>
      <c r="AA20" s="18">
        <v>358.7</v>
      </c>
      <c r="AB20" s="20">
        <v>351.6</v>
      </c>
      <c r="AC20" s="15">
        <v>426.7</v>
      </c>
      <c r="AD20" s="15">
        <v>354.8</v>
      </c>
      <c r="AE20" s="221">
        <v>358.1</v>
      </c>
      <c r="AF20" s="15">
        <v>310</v>
      </c>
      <c r="AG20" s="15">
        <v>511.3</v>
      </c>
      <c r="AH20" s="64"/>
      <c r="AI20" s="290">
        <f t="shared" si="7"/>
        <v>15035.300000000003</v>
      </c>
      <c r="AJ20" s="118">
        <v>100</v>
      </c>
      <c r="AK20" s="121">
        <f t="shared" si="9"/>
        <v>1.0398148148148148E-2</v>
      </c>
      <c r="AL20" s="67">
        <f t="shared" si="1"/>
        <v>0.20241666666666666</v>
      </c>
      <c r="AM20" s="68">
        <f t="shared" si="1"/>
        <v>0.15683333333333332</v>
      </c>
      <c r="AN20" s="68">
        <f t="shared" si="1"/>
        <v>0.18716666666666668</v>
      </c>
      <c r="AO20" s="68">
        <f t="shared" si="1"/>
        <v>0.19245833333333331</v>
      </c>
      <c r="AP20" s="68">
        <f t="shared" si="1"/>
        <v>0.26966666666666667</v>
      </c>
      <c r="AQ20" s="68">
        <f t="shared" si="1"/>
        <v>0.25745833333333334</v>
      </c>
      <c r="AR20" s="68">
        <f t="shared" si="1"/>
        <v>0.17370833333333333</v>
      </c>
      <c r="AS20" s="68">
        <f t="shared" si="1"/>
        <v>0.23179166666666665</v>
      </c>
      <c r="AT20" s="68">
        <f t="shared" si="1"/>
        <v>0.26900000000000002</v>
      </c>
      <c r="AU20" s="68">
        <f t="shared" si="1"/>
        <v>0.26116666666666666</v>
      </c>
      <c r="AV20" s="68">
        <f>IF(OR(N21="",N21="Sem monitoramento"),"VAZIO",IFERROR(N21/($AJ20*24),"-"))</f>
        <v>0.22212500000000002</v>
      </c>
      <c r="AW20" s="68" t="e">
        <f>IF(OR(#REF!="",#REF!="Sem monitoramento"),"VAZIO",IFERROR(#REF!/($AJ20*24),"-"))</f>
        <v>#REF!</v>
      </c>
      <c r="AX20" s="68">
        <f t="shared" si="1"/>
        <v>0.25662499999999999</v>
      </c>
      <c r="AY20" s="68">
        <f t="shared" si="1"/>
        <v>0.25700000000000001</v>
      </c>
      <c r="AZ20" s="68">
        <f t="shared" si="1"/>
        <v>0.25404166666666667</v>
      </c>
      <c r="BA20" s="68">
        <f>IF(OR(S21="",S21="Sem monitoramento"),"VAZIO",IFERROR(S21/($AJ20*24),"-"))</f>
        <v>0.21487500000000001</v>
      </c>
      <c r="BB20" s="68">
        <f t="shared" si="12"/>
        <v>0.24258333333333335</v>
      </c>
      <c r="BC20" s="68">
        <f t="shared" si="2"/>
        <v>0.24970833333333331</v>
      </c>
      <c r="BD20" s="68">
        <f t="shared" si="2"/>
        <v>0.12895833333333334</v>
      </c>
      <c r="BE20" s="68">
        <f t="shared" si="2"/>
        <v>0.11508333333333333</v>
      </c>
      <c r="BF20" s="68">
        <f t="shared" si="2"/>
        <v>0.16041666666666668</v>
      </c>
      <c r="BG20" s="68" t="e">
        <f>IF(OR(#REF!="",#REF!="Sem monitoramento"),"VAZIO",IFERROR(#REF!/($AJ20*24),"-"))</f>
        <v>#REF!</v>
      </c>
      <c r="BH20" s="68">
        <f t="shared" si="2"/>
        <v>0.25083333333333335</v>
      </c>
      <c r="BI20" s="68">
        <f t="shared" si="2"/>
        <v>0.14945833333333333</v>
      </c>
      <c r="BJ20" s="68">
        <f t="shared" si="2"/>
        <v>0.14650000000000002</v>
      </c>
      <c r="BK20" s="68">
        <f t="shared" si="8"/>
        <v>0.17779166666666665</v>
      </c>
      <c r="BL20" s="68">
        <f t="shared" si="2"/>
        <v>0.14783333333333334</v>
      </c>
      <c r="BM20" s="68">
        <f t="shared" si="2"/>
        <v>0.14920833333333333</v>
      </c>
      <c r="BN20" s="68">
        <f t="shared" si="2"/>
        <v>0.12916666666666668</v>
      </c>
      <c r="BO20" s="68">
        <f t="shared" si="2"/>
        <v>0.21304166666666668</v>
      </c>
      <c r="BP20" s="70">
        <f t="shared" si="3"/>
        <v>0.20882361111111114</v>
      </c>
      <c r="BQ20" s="198">
        <f t="shared" ref="BQ20:BQ29" si="13">$BQ$19</f>
        <v>0.168125</v>
      </c>
      <c r="BR20" s="72">
        <f t="shared" si="10"/>
        <v>16.8125</v>
      </c>
      <c r="BS20" s="73">
        <f t="shared" si="11"/>
        <v>1.9041666666666679E-2</v>
      </c>
      <c r="BT20" s="74">
        <f t="shared" si="6"/>
        <v>4.0698611111111144E-2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62">
        <v>418.5</v>
      </c>
      <c r="E21" s="63">
        <v>301.89999999999998</v>
      </c>
      <c r="F21" s="63">
        <v>387.1</v>
      </c>
      <c r="G21" s="63">
        <v>388.8</v>
      </c>
      <c r="H21" s="63">
        <v>572.29999999999995</v>
      </c>
      <c r="I21" s="63">
        <v>546.29999999999995</v>
      </c>
      <c r="J21" s="282">
        <v>366.9</v>
      </c>
      <c r="K21" s="63">
        <v>461.1</v>
      </c>
      <c r="L21" s="283">
        <v>564.6</v>
      </c>
      <c r="M21" s="63">
        <v>532.5</v>
      </c>
      <c r="N21" s="63">
        <v>533.1</v>
      </c>
      <c r="O21" s="63">
        <v>529.1</v>
      </c>
      <c r="P21" s="63">
        <v>515</v>
      </c>
      <c r="Q21" s="283">
        <v>515.20000000000005</v>
      </c>
      <c r="R21" s="63">
        <v>506.1</v>
      </c>
      <c r="S21" s="63">
        <v>515.70000000000005</v>
      </c>
      <c r="T21" s="283">
        <v>482.8</v>
      </c>
      <c r="U21" s="63">
        <v>489.5</v>
      </c>
      <c r="V21" s="63">
        <v>243.1</v>
      </c>
      <c r="W21" s="283">
        <v>217.7</v>
      </c>
      <c r="X21" s="63">
        <v>300.3</v>
      </c>
      <c r="Y21" s="63">
        <v>513.70000000000005</v>
      </c>
      <c r="Z21" s="15">
        <v>493.2</v>
      </c>
      <c r="AA21" s="18">
        <v>296.8</v>
      </c>
      <c r="AB21" s="20">
        <v>276.39999999999998</v>
      </c>
      <c r="AC21" s="15">
        <v>348.9</v>
      </c>
      <c r="AD21" s="15">
        <v>278.8</v>
      </c>
      <c r="AE21" s="221">
        <v>278.89999999999998</v>
      </c>
      <c r="AF21" s="15">
        <v>242.2</v>
      </c>
      <c r="AG21" s="15">
        <v>426.7</v>
      </c>
      <c r="AH21" s="64"/>
      <c r="AI21" s="290">
        <f t="shared" si="7"/>
        <v>12543.2</v>
      </c>
      <c r="AJ21" s="118">
        <v>100</v>
      </c>
      <c r="AK21" s="121">
        <f t="shared" si="9"/>
        <v>8.9606481481481481E-3</v>
      </c>
      <c r="AL21" s="67">
        <f t="shared" ref="AL21:AT31" si="14">IF(OR(D21="",D21="Sem monitoramento"),"VAZIO",IFERROR(D21/($AJ21*24),"-"))</f>
        <v>0.174375</v>
      </c>
      <c r="AM21" s="68">
        <f t="shared" si="14"/>
        <v>0.12579166666666666</v>
      </c>
      <c r="AN21" s="68">
        <f t="shared" si="14"/>
        <v>0.16129166666666667</v>
      </c>
      <c r="AO21" s="68">
        <f t="shared" si="14"/>
        <v>0.16200000000000001</v>
      </c>
      <c r="AP21" s="68">
        <f t="shared" si="14"/>
        <v>0.23845833333333333</v>
      </c>
      <c r="AQ21" s="68">
        <f t="shared" si="14"/>
        <v>0.22762499999999999</v>
      </c>
      <c r="AR21" s="68">
        <f t="shared" si="14"/>
        <v>0.15287499999999998</v>
      </c>
      <c r="AS21" s="68">
        <f t="shared" si="14"/>
        <v>0.19212500000000002</v>
      </c>
      <c r="AT21" s="68" t="e">
        <f>IF(OR(#REF!="",#REF!="Sem monitoramento"),"VAZIO",IFERROR(#REF!/($AJ21*24),"-"))</f>
        <v>#REF!</v>
      </c>
      <c r="AU21" s="68">
        <f t="shared" ref="AU21:BA31" si="15">IF(OR(M21="",M21="Sem monitoramento"),"VAZIO",IFERROR(M21/($AJ21*24),"-"))</f>
        <v>0.22187499999999999</v>
      </c>
      <c r="AV21" s="68" t="e">
        <f>IF(OR(#REF!="",#REF!="Sem monitoramento"),"VAZIO",IFERROR(#REF!/($AJ21*24),"-"))</f>
        <v>#REF!</v>
      </c>
      <c r="AW21" s="68">
        <f t="shared" si="15"/>
        <v>0.22045833333333334</v>
      </c>
      <c r="AX21" s="68">
        <f t="shared" si="15"/>
        <v>0.21458333333333332</v>
      </c>
      <c r="AY21" s="68">
        <f t="shared" si="15"/>
        <v>0.21466666666666667</v>
      </c>
      <c r="AZ21" s="68">
        <f t="shared" si="15"/>
        <v>0.21087500000000001</v>
      </c>
      <c r="BA21" s="68" t="e">
        <f>IF(OR(#REF!="",#REF!="Sem monitoramento"),"VAZIO",IFERROR(#REF!/($AJ21*24),"-"))</f>
        <v>#REF!</v>
      </c>
      <c r="BB21" s="68">
        <f t="shared" si="12"/>
        <v>0.20116666666666666</v>
      </c>
      <c r="BC21" s="68">
        <f t="shared" si="12"/>
        <v>0.20395833333333332</v>
      </c>
      <c r="BD21" s="68">
        <f t="shared" si="12"/>
        <v>0.10129166666666667</v>
      </c>
      <c r="BE21" s="68">
        <f t="shared" si="12"/>
        <v>9.0708333333333335E-2</v>
      </c>
      <c r="BF21" s="68">
        <f t="shared" si="12"/>
        <v>0.12512500000000001</v>
      </c>
      <c r="BG21" s="68">
        <f t="shared" si="12"/>
        <v>0.21404166666666669</v>
      </c>
      <c r="BH21" s="68">
        <f t="shared" si="12"/>
        <v>0.20549999999999999</v>
      </c>
      <c r="BI21" s="68">
        <f t="shared" si="12"/>
        <v>0.12366666666666667</v>
      </c>
      <c r="BJ21" s="68">
        <f>IF(OR(AB20="",AB20="Sem monitoramento"),"VAZIO",IFERROR(AB20/($AJ21*24),"-"))</f>
        <v>0.14650000000000002</v>
      </c>
      <c r="BK21" s="68">
        <f t="shared" si="8"/>
        <v>0.145375</v>
      </c>
      <c r="BL21" s="68">
        <f t="shared" si="8"/>
        <v>0.11616666666666667</v>
      </c>
      <c r="BM21" s="68">
        <f t="shared" si="8"/>
        <v>0.11620833333333333</v>
      </c>
      <c r="BN21" s="68">
        <f t="shared" si="8"/>
        <v>0.10091666666666667</v>
      </c>
      <c r="BO21" s="68">
        <f t="shared" si="8"/>
        <v>0.17779166666666665</v>
      </c>
      <c r="BP21" s="70">
        <f t="shared" si="3"/>
        <v>0.17421111111111112</v>
      </c>
      <c r="BQ21" s="198">
        <f t="shared" si="13"/>
        <v>0.168125</v>
      </c>
      <c r="BR21" s="72">
        <f t="shared" si="10"/>
        <v>16.8125</v>
      </c>
      <c r="BS21" s="73">
        <f t="shared" si="11"/>
        <v>-6.8333333333333302E-3</v>
      </c>
      <c r="BT21" s="74">
        <f t="shared" si="6"/>
        <v>6.0861111111111255E-3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62">
        <v>462.1</v>
      </c>
      <c r="E22" s="63">
        <v>310.60000000000002</v>
      </c>
      <c r="F22" s="63">
        <v>404.61</v>
      </c>
      <c r="G22" s="63">
        <v>368.4</v>
      </c>
      <c r="H22" s="283">
        <v>545.04</v>
      </c>
      <c r="I22" s="63">
        <v>521.05999999999995</v>
      </c>
      <c r="J22" s="63">
        <v>459.2</v>
      </c>
      <c r="K22" s="63">
        <v>412.58</v>
      </c>
      <c r="L22" s="63">
        <v>518.14</v>
      </c>
      <c r="M22" s="63">
        <v>480.8</v>
      </c>
      <c r="N22" s="63">
        <v>463.77</v>
      </c>
      <c r="O22" s="63">
        <v>474.6</v>
      </c>
      <c r="P22" s="63">
        <v>466.79</v>
      </c>
      <c r="Q22" s="283">
        <v>467.31</v>
      </c>
      <c r="R22" s="63">
        <v>444.6</v>
      </c>
      <c r="S22" s="63">
        <v>455.3</v>
      </c>
      <c r="T22" s="63">
        <v>439.6</v>
      </c>
      <c r="U22" s="63">
        <v>427.59</v>
      </c>
      <c r="V22" s="63">
        <v>258.10000000000002</v>
      </c>
      <c r="W22" s="283">
        <v>182.91</v>
      </c>
      <c r="X22" s="63">
        <v>372.2</v>
      </c>
      <c r="Y22" s="63">
        <v>477.6</v>
      </c>
      <c r="Z22" s="15">
        <v>333</v>
      </c>
      <c r="AA22" s="18">
        <v>304.7</v>
      </c>
      <c r="AB22" s="20">
        <v>272.39999999999998</v>
      </c>
      <c r="AC22" s="15">
        <v>292</v>
      </c>
      <c r="AD22" s="221">
        <v>321.39999999999998</v>
      </c>
      <c r="AE22" s="15">
        <v>321.10000000000002</v>
      </c>
      <c r="AF22" s="15">
        <v>193.5</v>
      </c>
      <c r="AG22" s="15">
        <v>442.4</v>
      </c>
      <c r="AH22" s="64"/>
      <c r="AI22" s="290">
        <f t="shared" si="7"/>
        <v>11893.400000000001</v>
      </c>
      <c r="AJ22" s="118">
        <v>100</v>
      </c>
      <c r="AK22" s="121">
        <f t="shared" si="9"/>
        <v>9.3659722222222217E-3</v>
      </c>
      <c r="AL22" s="67">
        <f t="shared" si="14"/>
        <v>0.19254166666666667</v>
      </c>
      <c r="AM22" s="68">
        <f t="shared" si="14"/>
        <v>0.12941666666666668</v>
      </c>
      <c r="AN22" s="68">
        <f t="shared" si="14"/>
        <v>0.1685875</v>
      </c>
      <c r="AO22" s="68">
        <f t="shared" si="14"/>
        <v>0.1535</v>
      </c>
      <c r="AP22" s="68">
        <f t="shared" si="14"/>
        <v>0.2271</v>
      </c>
      <c r="AQ22" s="68">
        <f t="shared" si="14"/>
        <v>0.21710833333333332</v>
      </c>
      <c r="AR22" s="68">
        <f t="shared" si="14"/>
        <v>0.19133333333333333</v>
      </c>
      <c r="AS22" s="68">
        <f t="shared" si="14"/>
        <v>0.17190833333333333</v>
      </c>
      <c r="AT22" s="68">
        <f t="shared" si="14"/>
        <v>0.21589166666666665</v>
      </c>
      <c r="AU22" s="68">
        <f t="shared" si="15"/>
        <v>0.20033333333333334</v>
      </c>
      <c r="AV22" s="68">
        <f t="shared" si="15"/>
        <v>0.19323749999999998</v>
      </c>
      <c r="AW22" s="68">
        <f t="shared" si="15"/>
        <v>0.19775000000000001</v>
      </c>
      <c r="AX22" s="68">
        <f t="shared" si="15"/>
        <v>0.19449583333333334</v>
      </c>
      <c r="AY22" s="68">
        <f t="shared" si="15"/>
        <v>0.19471250000000001</v>
      </c>
      <c r="AZ22" s="68">
        <f t="shared" si="15"/>
        <v>0.18525</v>
      </c>
      <c r="BA22" s="68">
        <f t="shared" si="15"/>
        <v>0.18970833333333334</v>
      </c>
      <c r="BB22" s="68">
        <f t="shared" si="12"/>
        <v>0.18316666666666667</v>
      </c>
      <c r="BC22" s="68">
        <f t="shared" si="12"/>
        <v>0.1781625</v>
      </c>
      <c r="BD22" s="68">
        <f t="shared" si="12"/>
        <v>0.10754166666666667</v>
      </c>
      <c r="BE22" s="68">
        <f t="shared" si="12"/>
        <v>7.6212500000000002E-2</v>
      </c>
      <c r="BF22" s="68">
        <f t="shared" si="12"/>
        <v>0.15508333333333332</v>
      </c>
      <c r="BG22" s="68">
        <f t="shared" si="12"/>
        <v>0.19900000000000001</v>
      </c>
      <c r="BH22" s="68">
        <f t="shared" si="12"/>
        <v>0.13875000000000001</v>
      </c>
      <c r="BI22" s="68">
        <f t="shared" si="12"/>
        <v>0.12695833333333334</v>
      </c>
      <c r="BJ22" s="68">
        <f>IF(OR(AB21="",AB21="Sem monitoramento"),"VAZIO",IFERROR(AB21/($AJ22*24),"-"))</f>
        <v>0.11516666666666665</v>
      </c>
      <c r="BK22" s="68">
        <f t="shared" si="8"/>
        <v>0.12166666666666667</v>
      </c>
      <c r="BL22" s="68">
        <f t="shared" si="8"/>
        <v>0.13391666666666666</v>
      </c>
      <c r="BM22" s="68">
        <f t="shared" si="8"/>
        <v>0.13379166666666667</v>
      </c>
      <c r="BN22" s="68">
        <f t="shared" si="8"/>
        <v>8.0625000000000002E-2</v>
      </c>
      <c r="BO22" s="68">
        <f t="shared" si="8"/>
        <v>0.18433333333333332</v>
      </c>
      <c r="BP22" s="70">
        <f t="shared" si="3"/>
        <v>0.16518611111111114</v>
      </c>
      <c r="BQ22" s="198">
        <f t="shared" si="13"/>
        <v>0.168125</v>
      </c>
      <c r="BR22" s="72">
        <f t="shared" si="10"/>
        <v>16.8125</v>
      </c>
      <c r="BS22" s="73">
        <f t="shared" si="11"/>
        <v>4.6250000000000457E-4</v>
      </c>
      <c r="BT22" s="74">
        <f t="shared" si="6"/>
        <v>-2.938888888888852E-3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523.9</v>
      </c>
      <c r="E23" s="63">
        <v>368.6</v>
      </c>
      <c r="F23" s="283">
        <v>460.6</v>
      </c>
      <c r="G23" s="63">
        <v>418.2</v>
      </c>
      <c r="H23" s="63">
        <v>618.4</v>
      </c>
      <c r="I23" s="63">
        <v>591.1</v>
      </c>
      <c r="J23" s="63">
        <v>521.6</v>
      </c>
      <c r="K23" s="63">
        <v>471.9</v>
      </c>
      <c r="L23" s="63">
        <v>602.20000000000005</v>
      </c>
      <c r="M23" s="63">
        <v>544.1</v>
      </c>
      <c r="N23" s="63">
        <v>542.5</v>
      </c>
      <c r="O23" s="316">
        <v>561.5</v>
      </c>
      <c r="P23" s="63">
        <v>554.5</v>
      </c>
      <c r="Q23" s="283">
        <v>557.6</v>
      </c>
      <c r="R23" s="63">
        <v>530.20000000000005</v>
      </c>
      <c r="S23" s="63">
        <v>536.20000000000005</v>
      </c>
      <c r="T23" s="63">
        <v>522.29999999999995</v>
      </c>
      <c r="U23" s="63">
        <v>509.7</v>
      </c>
      <c r="V23" s="63">
        <v>304.2</v>
      </c>
      <c r="W23" s="283">
        <v>219.2</v>
      </c>
      <c r="X23" s="63">
        <v>423.8</v>
      </c>
      <c r="Y23" s="63">
        <v>555.20000000000005</v>
      </c>
      <c r="Z23" s="15">
        <v>392.1</v>
      </c>
      <c r="AA23" s="18">
        <v>362.3</v>
      </c>
      <c r="AB23" s="20">
        <v>326.8</v>
      </c>
      <c r="AC23" s="15">
        <v>346.2</v>
      </c>
      <c r="AD23" s="15">
        <v>372.5</v>
      </c>
      <c r="AE23" s="15">
        <v>372.2</v>
      </c>
      <c r="AF23" s="15">
        <v>232.4</v>
      </c>
      <c r="AG23" s="15">
        <v>522.1</v>
      </c>
      <c r="AH23" s="64"/>
      <c r="AI23" s="290">
        <f t="shared" si="7"/>
        <v>13864.100000000002</v>
      </c>
      <c r="AJ23" s="118">
        <v>100</v>
      </c>
      <c r="AK23" s="121">
        <f t="shared" si="9"/>
        <v>1.0662037037037038E-2</v>
      </c>
      <c r="AL23" s="67">
        <f t="shared" si="14"/>
        <v>0.21829166666666666</v>
      </c>
      <c r="AM23" s="68">
        <f t="shared" si="14"/>
        <v>0.15358333333333335</v>
      </c>
      <c r="AN23" s="68">
        <f t="shared" si="14"/>
        <v>0.19191666666666668</v>
      </c>
      <c r="AO23" s="68">
        <f t="shared" si="14"/>
        <v>0.17424999999999999</v>
      </c>
      <c r="AP23" s="68">
        <f t="shared" si="14"/>
        <v>0.25766666666666665</v>
      </c>
      <c r="AQ23" s="68">
        <f t="shared" si="14"/>
        <v>0.24629166666666669</v>
      </c>
      <c r="AR23" s="68">
        <f t="shared" si="14"/>
        <v>0.21733333333333335</v>
      </c>
      <c r="AS23" s="68">
        <f t="shared" si="14"/>
        <v>0.19662499999999999</v>
      </c>
      <c r="AT23" s="68">
        <f t="shared" si="14"/>
        <v>0.25091666666666668</v>
      </c>
      <c r="AU23" s="68">
        <f t="shared" si="15"/>
        <v>0.22670833333333335</v>
      </c>
      <c r="AV23" s="68">
        <f t="shared" si="15"/>
        <v>0.22604166666666667</v>
      </c>
      <c r="AW23" s="68">
        <f>IF(OR(O20="",O20="Sem monitoramento"),"VAZIO",IFERROR(O20/($AJ23*24),"-"))</f>
        <v>0.26329166666666665</v>
      </c>
      <c r="AX23" s="68">
        <f t="shared" si="15"/>
        <v>0.23104166666666667</v>
      </c>
      <c r="AY23" s="68">
        <f t="shared" si="15"/>
        <v>0.23233333333333334</v>
      </c>
      <c r="AZ23" s="68">
        <f t="shared" si="15"/>
        <v>0.22091666666666668</v>
      </c>
      <c r="BA23" s="68">
        <f t="shared" si="15"/>
        <v>0.22341666666666668</v>
      </c>
      <c r="BB23" s="68">
        <f t="shared" si="12"/>
        <v>0.21762499999999999</v>
      </c>
      <c r="BC23" s="68">
        <f t="shared" si="12"/>
        <v>0.21237500000000001</v>
      </c>
      <c r="BD23" s="68">
        <f t="shared" si="12"/>
        <v>0.12675</v>
      </c>
      <c r="BE23" s="68">
        <f t="shared" si="12"/>
        <v>9.1333333333333322E-2</v>
      </c>
      <c r="BF23" s="68">
        <f t="shared" si="12"/>
        <v>0.17658333333333334</v>
      </c>
      <c r="BG23" s="68">
        <f t="shared" si="12"/>
        <v>0.23133333333333336</v>
      </c>
      <c r="BH23" s="68">
        <f t="shared" si="12"/>
        <v>0.16337500000000002</v>
      </c>
      <c r="BI23" s="68">
        <f t="shared" si="12"/>
        <v>0.15095833333333333</v>
      </c>
      <c r="BJ23" s="68">
        <f t="shared" si="12"/>
        <v>0.13616666666666666</v>
      </c>
      <c r="BK23" s="68">
        <f t="shared" si="8"/>
        <v>0.14424999999999999</v>
      </c>
      <c r="BL23" s="68">
        <f t="shared" si="8"/>
        <v>0.15520833333333334</v>
      </c>
      <c r="BM23" s="68">
        <f t="shared" si="8"/>
        <v>0.15508333333333332</v>
      </c>
      <c r="BN23" s="68">
        <f t="shared" si="8"/>
        <v>9.6833333333333341E-2</v>
      </c>
      <c r="BO23" s="68">
        <f t="shared" si="8"/>
        <v>0.21754166666666669</v>
      </c>
      <c r="BP23" s="70">
        <f t="shared" si="3"/>
        <v>0.19255694444444446</v>
      </c>
      <c r="BQ23" s="198">
        <f t="shared" si="13"/>
        <v>0.168125</v>
      </c>
      <c r="BR23" s="72">
        <f t="shared" si="10"/>
        <v>16.8125</v>
      </c>
      <c r="BS23" s="73">
        <f t="shared" si="11"/>
        <v>2.3791666666666683E-2</v>
      </c>
      <c r="BT23" s="74">
        <f t="shared" si="6"/>
        <v>2.4431944444444464E-2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1500</v>
      </c>
      <c r="E24" s="63">
        <v>1009.2</v>
      </c>
      <c r="F24" s="63">
        <v>1320</v>
      </c>
      <c r="G24" s="63">
        <v>1200</v>
      </c>
      <c r="H24" s="63">
        <v>1763.8</v>
      </c>
      <c r="I24" s="63">
        <v>1671.6</v>
      </c>
      <c r="J24" s="63">
        <f>281.1+616.7+591.5</f>
        <v>1489.3000000000002</v>
      </c>
      <c r="K24" s="63">
        <v>1316.7</v>
      </c>
      <c r="L24" s="63">
        <v>1678.4</v>
      </c>
      <c r="M24" s="63">
        <v>1564.7</v>
      </c>
      <c r="N24" s="63">
        <v>1501.2</v>
      </c>
      <c r="O24" s="63">
        <v>1540</v>
      </c>
      <c r="P24" s="63">
        <v>1522.8</v>
      </c>
      <c r="Q24" s="283">
        <v>1532.9</v>
      </c>
      <c r="R24" s="63">
        <v>1460</v>
      </c>
      <c r="S24" s="63">
        <v>1480</v>
      </c>
      <c r="T24" s="63">
        <v>1430</v>
      </c>
      <c r="U24" s="63">
        <v>1397.2</v>
      </c>
      <c r="V24" s="63">
        <v>833.2</v>
      </c>
      <c r="W24" s="283">
        <v>599.20000000000005</v>
      </c>
      <c r="X24" s="63">
        <v>1190</v>
      </c>
      <c r="Y24" s="63">
        <v>1550</v>
      </c>
      <c r="Z24" s="15">
        <v>1080</v>
      </c>
      <c r="AA24" s="18">
        <v>1000</v>
      </c>
      <c r="AB24" s="20">
        <v>894.4</v>
      </c>
      <c r="AC24" s="15">
        <v>953.5</v>
      </c>
      <c r="AD24" s="15">
        <v>1050</v>
      </c>
      <c r="AE24" s="15">
        <v>1040</v>
      </c>
      <c r="AF24" s="15">
        <v>635.20000000000005</v>
      </c>
      <c r="AG24" s="15">
        <v>1470</v>
      </c>
      <c r="AH24" s="64"/>
      <c r="AI24" s="290">
        <f t="shared" si="7"/>
        <v>38673.300000000003</v>
      </c>
      <c r="AJ24" s="118">
        <v>100</v>
      </c>
      <c r="AK24" s="121">
        <f t="shared" si="9"/>
        <v>3.0555555555555555E-2</v>
      </c>
      <c r="AL24" s="67">
        <f t="shared" si="14"/>
        <v>0.625</v>
      </c>
      <c r="AM24" s="68">
        <f t="shared" si="14"/>
        <v>0.42050000000000004</v>
      </c>
      <c r="AN24" s="68">
        <f t="shared" si="14"/>
        <v>0.55000000000000004</v>
      </c>
      <c r="AO24" s="68">
        <f t="shared" si="14"/>
        <v>0.5</v>
      </c>
      <c r="AP24" s="68">
        <f t="shared" si="14"/>
        <v>0.73491666666666666</v>
      </c>
      <c r="AQ24" s="68">
        <f t="shared" si="14"/>
        <v>0.69650000000000001</v>
      </c>
      <c r="AR24" s="68">
        <f t="shared" si="14"/>
        <v>0.62054166666666677</v>
      </c>
      <c r="AS24" s="68">
        <f t="shared" si="14"/>
        <v>0.54862500000000003</v>
      </c>
      <c r="AT24" s="68">
        <f t="shared" si="14"/>
        <v>0.69933333333333336</v>
      </c>
      <c r="AU24" s="68">
        <f t="shared" si="15"/>
        <v>0.65195833333333331</v>
      </c>
      <c r="AV24" s="68">
        <f t="shared" si="15"/>
        <v>0.62550000000000006</v>
      </c>
      <c r="AW24" s="68">
        <f t="shared" si="15"/>
        <v>0.64166666666666672</v>
      </c>
      <c r="AX24" s="68">
        <f t="shared" si="15"/>
        <v>0.63449999999999995</v>
      </c>
      <c r="AY24" s="68">
        <f t="shared" si="15"/>
        <v>0.63870833333333332</v>
      </c>
      <c r="AZ24" s="68">
        <f t="shared" si="15"/>
        <v>0.60833333333333328</v>
      </c>
      <c r="BA24" s="68">
        <f t="shared" si="15"/>
        <v>0.6166666666666667</v>
      </c>
      <c r="BB24" s="68">
        <f t="shared" si="12"/>
        <v>0.59583333333333333</v>
      </c>
      <c r="BC24" s="68">
        <f t="shared" si="12"/>
        <v>0.58216666666666672</v>
      </c>
      <c r="BD24" s="68">
        <f t="shared" si="12"/>
        <v>0.34716666666666668</v>
      </c>
      <c r="BE24" s="68">
        <f t="shared" si="12"/>
        <v>0.24966666666666668</v>
      </c>
      <c r="BF24" s="68">
        <f t="shared" si="12"/>
        <v>0.49583333333333335</v>
      </c>
      <c r="BG24" s="68">
        <f t="shared" si="12"/>
        <v>0.64583333333333337</v>
      </c>
      <c r="BH24" s="68">
        <f t="shared" si="12"/>
        <v>0.45</v>
      </c>
      <c r="BI24" s="68">
        <f t="shared" si="12"/>
        <v>0.41666666666666669</v>
      </c>
      <c r="BJ24" s="68">
        <f t="shared" si="12"/>
        <v>0.37266666666666665</v>
      </c>
      <c r="BK24" s="68">
        <f t="shared" si="8"/>
        <v>0.39729166666666665</v>
      </c>
      <c r="BL24" s="68">
        <f t="shared" si="8"/>
        <v>0.4375</v>
      </c>
      <c r="BM24" s="68">
        <f t="shared" si="8"/>
        <v>0.43333333333333335</v>
      </c>
      <c r="BN24" s="68">
        <f t="shared" si="8"/>
        <v>0.26466666666666666</v>
      </c>
      <c r="BO24" s="68">
        <f t="shared" si="8"/>
        <v>0.61250000000000004</v>
      </c>
      <c r="BP24" s="70">
        <f t="shared" si="3"/>
        <v>0.53712916666666666</v>
      </c>
      <c r="BQ24" s="198">
        <f t="shared" si="13"/>
        <v>0.168125</v>
      </c>
      <c r="BR24" s="72">
        <f t="shared" si="10"/>
        <v>16.8125</v>
      </c>
      <c r="BS24" s="73">
        <f t="shared" si="11"/>
        <v>0.38187500000000008</v>
      </c>
      <c r="BT24" s="74">
        <f t="shared" si="6"/>
        <v>0.36900416666666669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363.1</v>
      </c>
      <c r="E25" s="63">
        <v>242.3</v>
      </c>
      <c r="F25" s="63">
        <v>479.6</v>
      </c>
      <c r="G25" s="63">
        <v>216.7</v>
      </c>
      <c r="H25" s="246">
        <v>504.4</v>
      </c>
      <c r="I25" s="63">
        <v>513.20000000000005</v>
      </c>
      <c r="J25" s="63">
        <v>482.3</v>
      </c>
      <c r="K25" s="63">
        <v>611.29999999999995</v>
      </c>
      <c r="L25" s="63">
        <v>598.9</v>
      </c>
      <c r="M25" s="63">
        <v>554.20000000000005</v>
      </c>
      <c r="N25" s="63">
        <v>550.4</v>
      </c>
      <c r="O25" s="63">
        <v>531</v>
      </c>
      <c r="P25" s="63">
        <v>566.29999999999995</v>
      </c>
      <c r="Q25" s="283">
        <v>537.70000000000005</v>
      </c>
      <c r="R25" s="63">
        <v>446.9</v>
      </c>
      <c r="S25" s="63">
        <v>514.1</v>
      </c>
      <c r="T25" s="63">
        <v>515.79999999999995</v>
      </c>
      <c r="U25" s="63">
        <v>552.6</v>
      </c>
      <c r="V25" s="282">
        <v>33.4</v>
      </c>
      <c r="W25" s="283">
        <v>177.1</v>
      </c>
      <c r="X25" s="63">
        <v>476.3</v>
      </c>
      <c r="Y25" s="63">
        <v>556.79999999999995</v>
      </c>
      <c r="Z25" s="15">
        <v>321.39999999999998</v>
      </c>
      <c r="AA25" s="18">
        <v>224.9</v>
      </c>
      <c r="AB25" s="20">
        <v>224.6</v>
      </c>
      <c r="AC25" s="15">
        <v>218.4</v>
      </c>
      <c r="AD25" s="15">
        <v>385</v>
      </c>
      <c r="AE25" s="15">
        <v>450.5</v>
      </c>
      <c r="AF25" s="15">
        <v>216.1</v>
      </c>
      <c r="AG25" s="15">
        <v>490.4</v>
      </c>
      <c r="AH25" s="64"/>
      <c r="AI25" s="290">
        <f t="shared" si="7"/>
        <v>12555.699999999999</v>
      </c>
      <c r="AJ25" s="118">
        <v>360</v>
      </c>
      <c r="AK25" s="121">
        <f t="shared" si="9"/>
        <v>3.0838477366255147E-3</v>
      </c>
      <c r="AL25" s="67">
        <f t="shared" si="14"/>
        <v>4.2025462962962966E-2</v>
      </c>
      <c r="AM25" s="68">
        <f t="shared" si="14"/>
        <v>2.8043981481481482E-2</v>
      </c>
      <c r="AN25" s="68">
        <f t="shared" si="14"/>
        <v>5.5509259259259265E-2</v>
      </c>
      <c r="AO25" s="68">
        <f t="shared" si="14"/>
        <v>2.5081018518518516E-2</v>
      </c>
      <c r="AP25" s="68">
        <f t="shared" si="14"/>
        <v>5.8379629629629629E-2</v>
      </c>
      <c r="AQ25" s="68">
        <f t="shared" si="14"/>
        <v>5.9398148148148151E-2</v>
      </c>
      <c r="AR25" s="68">
        <f t="shared" si="14"/>
        <v>5.5821759259259258E-2</v>
      </c>
      <c r="AS25" s="68">
        <f t="shared" si="14"/>
        <v>7.075231481481481E-2</v>
      </c>
      <c r="AT25" s="68">
        <f t="shared" si="14"/>
        <v>6.9317129629629631E-2</v>
      </c>
      <c r="AU25" s="68">
        <f t="shared" si="15"/>
        <v>6.414351851851853E-2</v>
      </c>
      <c r="AV25" s="68">
        <f t="shared" si="15"/>
        <v>6.3703703703703707E-2</v>
      </c>
      <c r="AW25" s="68">
        <f t="shared" si="15"/>
        <v>6.145833333333333E-2</v>
      </c>
      <c r="AX25" s="68">
        <f t="shared" si="15"/>
        <v>6.5543981481481481E-2</v>
      </c>
      <c r="AY25" s="68">
        <f t="shared" si="15"/>
        <v>6.2233796296296301E-2</v>
      </c>
      <c r="AZ25" s="68">
        <f t="shared" si="15"/>
        <v>5.1724537037037034E-2</v>
      </c>
      <c r="BA25" s="68">
        <f t="shared" si="15"/>
        <v>5.950231481481482E-2</v>
      </c>
      <c r="BB25" s="68">
        <f t="shared" si="12"/>
        <v>5.9699074074074071E-2</v>
      </c>
      <c r="BC25" s="68">
        <f t="shared" si="12"/>
        <v>6.3958333333333339E-2</v>
      </c>
      <c r="BD25" s="68">
        <f t="shared" si="12"/>
        <v>3.8657407407407408E-3</v>
      </c>
      <c r="BE25" s="68">
        <f t="shared" si="12"/>
        <v>2.0497685185185185E-2</v>
      </c>
      <c r="BF25" s="68">
        <f t="shared" si="12"/>
        <v>5.5127314814814816E-2</v>
      </c>
      <c r="BG25" s="68">
        <f t="shared" si="12"/>
        <v>6.4444444444444443E-2</v>
      </c>
      <c r="BH25" s="68">
        <f t="shared" si="12"/>
        <v>3.7199074074074072E-2</v>
      </c>
      <c r="BI25" s="68">
        <f t="shared" si="12"/>
        <v>2.6030092592592594E-2</v>
      </c>
      <c r="BJ25" s="68">
        <f t="shared" si="12"/>
        <v>2.599537037037037E-2</v>
      </c>
      <c r="BK25" s="68">
        <f t="shared" si="8"/>
        <v>2.5277777777777777E-2</v>
      </c>
      <c r="BL25" s="68">
        <f t="shared" si="8"/>
        <v>4.4560185185185182E-2</v>
      </c>
      <c r="BM25" s="68">
        <f t="shared" si="8"/>
        <v>5.2141203703703703E-2</v>
      </c>
      <c r="BN25" s="68">
        <f t="shared" si="8"/>
        <v>2.5011574074074075E-2</v>
      </c>
      <c r="BO25" s="68">
        <f t="shared" si="8"/>
        <v>5.6759259259259259E-2</v>
      </c>
      <c r="BP25" s="70">
        <f t="shared" si="3"/>
        <v>4.8440200617283949E-2</v>
      </c>
      <c r="BQ25" s="198">
        <f t="shared" si="13"/>
        <v>0.168125</v>
      </c>
      <c r="BR25" s="72">
        <f t="shared" si="10"/>
        <v>60.524999999999999</v>
      </c>
      <c r="BS25" s="73">
        <f t="shared" si="11"/>
        <v>-0.11261574074074074</v>
      </c>
      <c r="BT25" s="74">
        <f t="shared" si="6"/>
        <v>-0.11968479938271605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438.2</v>
      </c>
      <c r="E26" s="63">
        <v>330.1</v>
      </c>
      <c r="F26" s="63">
        <v>499.8</v>
      </c>
      <c r="G26" s="63">
        <v>390.6</v>
      </c>
      <c r="H26" s="246">
        <v>529.29999999999995</v>
      </c>
      <c r="I26" s="283">
        <v>569.29999999999995</v>
      </c>
      <c r="J26" s="63">
        <v>545.1</v>
      </c>
      <c r="K26" s="63">
        <v>510.4</v>
      </c>
      <c r="L26" s="63">
        <v>568.70000000000005</v>
      </c>
      <c r="M26" s="63">
        <v>565.6</v>
      </c>
      <c r="N26" s="63">
        <v>562.4</v>
      </c>
      <c r="O26" s="63">
        <v>524.6</v>
      </c>
      <c r="P26" s="63">
        <v>540.20000000000005</v>
      </c>
      <c r="Q26" s="283">
        <v>490.8</v>
      </c>
      <c r="R26" s="63">
        <v>487.8</v>
      </c>
      <c r="S26" s="319">
        <v>487.8</v>
      </c>
      <c r="T26" s="319">
        <f>503.2-($S$26/14)</f>
        <v>468.35714285714283</v>
      </c>
      <c r="U26" s="319">
        <f>196.6-($S$26/14)</f>
        <v>161.75714285714287</v>
      </c>
      <c r="V26" s="282">
        <v>0</v>
      </c>
      <c r="W26" s="282">
        <v>0</v>
      </c>
      <c r="X26" s="63">
        <v>473</v>
      </c>
      <c r="Y26" s="63">
        <v>367</v>
      </c>
      <c r="Z26" s="63">
        <f>263.8-($S$26/14)</f>
        <v>228.95714285714286</v>
      </c>
      <c r="AA26" s="320">
        <v>309.7</v>
      </c>
      <c r="AB26" s="20">
        <v>256.7</v>
      </c>
      <c r="AC26" s="15">
        <v>335.8</v>
      </c>
      <c r="AD26" s="221">
        <v>376.9</v>
      </c>
      <c r="AE26" s="15">
        <v>386.2</v>
      </c>
      <c r="AF26" s="282">
        <v>16.600000000000001</v>
      </c>
      <c r="AG26" s="354">
        <v>104</v>
      </c>
      <c r="AH26" s="64"/>
      <c r="AI26" s="290">
        <f t="shared" si="7"/>
        <v>11525.671428571432</v>
      </c>
      <c r="AJ26" s="118">
        <v>100</v>
      </c>
      <c r="AK26" s="121">
        <f>F26/(AJ26*432)</f>
        <v>1.1569444444444445E-2</v>
      </c>
      <c r="AL26" s="67">
        <f t="shared" si="14"/>
        <v>0.18258333333333332</v>
      </c>
      <c r="AM26" s="68">
        <f t="shared" si="14"/>
        <v>0.13754166666666667</v>
      </c>
      <c r="AN26" s="68">
        <f t="shared" si="14"/>
        <v>0.20825000000000002</v>
      </c>
      <c r="AO26" s="68">
        <f t="shared" si="14"/>
        <v>0.16275000000000001</v>
      </c>
      <c r="AP26" s="68">
        <f t="shared" si="14"/>
        <v>0.22054166666666664</v>
      </c>
      <c r="AQ26" s="68">
        <f t="shared" si="14"/>
        <v>0.23720833333333333</v>
      </c>
      <c r="AR26" s="68">
        <f t="shared" si="14"/>
        <v>0.22712500000000002</v>
      </c>
      <c r="AS26" s="68">
        <f t="shared" si="14"/>
        <v>0.21266666666666667</v>
      </c>
      <c r="AT26" s="68">
        <f t="shared" si="14"/>
        <v>0.23695833333333335</v>
      </c>
      <c r="AU26" s="68">
        <f t="shared" si="15"/>
        <v>0.23566666666666666</v>
      </c>
      <c r="AV26" s="68">
        <f t="shared" si="15"/>
        <v>0.23433333333333331</v>
      </c>
      <c r="AW26" s="68">
        <f t="shared" si="15"/>
        <v>0.21858333333333335</v>
      </c>
      <c r="AX26" s="68">
        <f t="shared" si="15"/>
        <v>0.22508333333333336</v>
      </c>
      <c r="AY26" s="68">
        <f t="shared" si="15"/>
        <v>0.20450000000000002</v>
      </c>
      <c r="AZ26" s="68">
        <f t="shared" si="15"/>
        <v>0.20325000000000001</v>
      </c>
      <c r="BA26" s="68">
        <f t="shared" si="15"/>
        <v>0.20325000000000001</v>
      </c>
      <c r="BB26" s="68">
        <f t="shared" si="12"/>
        <v>0.1951488095238095</v>
      </c>
      <c r="BC26" s="68">
        <f t="shared" si="12"/>
        <v>6.7398809523809527E-2</v>
      </c>
      <c r="BD26" s="68">
        <f t="shared" si="12"/>
        <v>0</v>
      </c>
      <c r="BE26" s="68">
        <f t="shared" si="12"/>
        <v>0</v>
      </c>
      <c r="BF26" s="68">
        <f t="shared" si="12"/>
        <v>0.19708333333333333</v>
      </c>
      <c r="BG26" s="68">
        <f t="shared" si="12"/>
        <v>0.15291666666666667</v>
      </c>
      <c r="BH26" s="68">
        <f t="shared" si="12"/>
        <v>9.5398809523809525E-2</v>
      </c>
      <c r="BI26" s="68">
        <f t="shared" si="12"/>
        <v>0.12904166666666667</v>
      </c>
      <c r="BJ26" s="68">
        <f t="shared" si="12"/>
        <v>0.10695833333333332</v>
      </c>
      <c r="BK26" s="68">
        <f t="shared" si="8"/>
        <v>0.13991666666666666</v>
      </c>
      <c r="BL26" s="68">
        <f t="shared" si="8"/>
        <v>0.15704166666666666</v>
      </c>
      <c r="BM26" s="68">
        <f t="shared" si="8"/>
        <v>0.16091666666666665</v>
      </c>
      <c r="BN26" s="68">
        <f t="shared" si="8"/>
        <v>6.9166666666666673E-3</v>
      </c>
      <c r="BO26" s="68">
        <f t="shared" si="8"/>
        <v>4.3333333333333335E-2</v>
      </c>
      <c r="BP26" s="70">
        <f t="shared" si="3"/>
        <v>0.16007876984126987</v>
      </c>
      <c r="BQ26" s="198">
        <f t="shared" si="13"/>
        <v>0.168125</v>
      </c>
      <c r="BR26" s="72">
        <f t="shared" si="10"/>
        <v>16.8125</v>
      </c>
      <c r="BS26" s="73">
        <f t="shared" si="11"/>
        <v>4.0125000000000022E-2</v>
      </c>
      <c r="BT26" s="74">
        <f t="shared" si="6"/>
        <v>-8.0462301587301277E-3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305">
        <v>175.6</v>
      </c>
      <c r="E27" s="63">
        <v>320</v>
      </c>
      <c r="F27" s="63">
        <v>548.5</v>
      </c>
      <c r="G27" s="283">
        <v>184.4</v>
      </c>
      <c r="H27" s="246">
        <v>493.7</v>
      </c>
      <c r="I27" s="283">
        <v>517.6</v>
      </c>
      <c r="J27" s="63">
        <v>514.70000000000005</v>
      </c>
      <c r="K27" s="63">
        <v>607.6</v>
      </c>
      <c r="L27" s="63">
        <v>588.4</v>
      </c>
      <c r="M27" s="63">
        <v>529.6</v>
      </c>
      <c r="N27" s="63">
        <v>572.5</v>
      </c>
      <c r="O27" s="63">
        <v>576.29999999999995</v>
      </c>
      <c r="P27" s="63">
        <v>566.29999999999995</v>
      </c>
      <c r="Q27" s="283">
        <v>506.6</v>
      </c>
      <c r="R27" s="63">
        <v>446.9</v>
      </c>
      <c r="S27" s="63">
        <v>509.4</v>
      </c>
      <c r="T27" s="283">
        <v>528.9</v>
      </c>
      <c r="U27" s="283">
        <v>486.1</v>
      </c>
      <c r="V27" s="63">
        <v>182.8</v>
      </c>
      <c r="W27" s="283">
        <v>139.4</v>
      </c>
      <c r="X27" s="63">
        <v>514.5</v>
      </c>
      <c r="Y27" s="63">
        <v>550.29999999999995</v>
      </c>
      <c r="Z27" s="221">
        <v>464.7</v>
      </c>
      <c r="AA27" s="321">
        <v>113.2</v>
      </c>
      <c r="AB27" s="20">
        <v>386.2</v>
      </c>
      <c r="AC27" s="15">
        <v>342</v>
      </c>
      <c r="AD27" s="221">
        <v>352.4</v>
      </c>
      <c r="AE27" s="15">
        <v>450.4</v>
      </c>
      <c r="AF27" s="15">
        <v>260.7</v>
      </c>
      <c r="AG27" s="15">
        <v>489.3</v>
      </c>
      <c r="AH27" s="64"/>
      <c r="AI27" s="290">
        <f t="shared" si="7"/>
        <v>12919</v>
      </c>
      <c r="AJ27" s="118">
        <v>100</v>
      </c>
      <c r="AK27" s="121">
        <f>F27/(AJ27*432)</f>
        <v>1.269675925925926E-2</v>
      </c>
      <c r="AL27" s="67">
        <f t="shared" si="14"/>
        <v>7.3166666666666658E-2</v>
      </c>
      <c r="AM27" s="68">
        <f t="shared" si="14"/>
        <v>0.13333333333333333</v>
      </c>
      <c r="AN27" s="68">
        <f t="shared" si="14"/>
        <v>0.22854166666666667</v>
      </c>
      <c r="AO27" s="68">
        <f t="shared" si="14"/>
        <v>7.6833333333333337E-2</v>
      </c>
      <c r="AP27" s="68">
        <f t="shared" si="14"/>
        <v>0.20570833333333333</v>
      </c>
      <c r="AQ27" s="68">
        <f t="shared" si="14"/>
        <v>0.21566666666666667</v>
      </c>
      <c r="AR27" s="68">
        <f t="shared" si="14"/>
        <v>0.21445833333333336</v>
      </c>
      <c r="AS27" s="68">
        <f t="shared" si="14"/>
        <v>0.25316666666666665</v>
      </c>
      <c r="AT27" s="68">
        <f t="shared" si="14"/>
        <v>0.24516666666666664</v>
      </c>
      <c r="AU27" s="68">
        <f t="shared" si="15"/>
        <v>0.22066666666666668</v>
      </c>
      <c r="AV27" s="68">
        <f t="shared" si="15"/>
        <v>0.23854166666666668</v>
      </c>
      <c r="AW27" s="68">
        <f t="shared" si="15"/>
        <v>0.24012499999999998</v>
      </c>
      <c r="AX27" s="68">
        <f t="shared" si="15"/>
        <v>0.23595833333333333</v>
      </c>
      <c r="AY27" s="68">
        <f t="shared" si="15"/>
        <v>0.21108333333333335</v>
      </c>
      <c r="AZ27" s="68">
        <f t="shared" si="15"/>
        <v>0.18620833333333334</v>
      </c>
      <c r="BA27" s="68">
        <f t="shared" si="15"/>
        <v>0.21224999999999999</v>
      </c>
      <c r="BB27" s="68">
        <f t="shared" si="12"/>
        <v>0.22037499999999999</v>
      </c>
      <c r="BC27" s="68">
        <f t="shared" si="12"/>
        <v>0.20254166666666668</v>
      </c>
      <c r="BD27" s="68">
        <f t="shared" si="12"/>
        <v>7.6166666666666674E-2</v>
      </c>
      <c r="BE27" s="68">
        <f t="shared" si="12"/>
        <v>5.8083333333333334E-2</v>
      </c>
      <c r="BF27" s="68">
        <f t="shared" si="12"/>
        <v>0.21437500000000001</v>
      </c>
      <c r="BG27" s="68">
        <f t="shared" si="12"/>
        <v>0.22929166666666664</v>
      </c>
      <c r="BH27" s="68">
        <f t="shared" si="12"/>
        <v>0.19362499999999999</v>
      </c>
      <c r="BI27" s="68">
        <f t="shared" si="12"/>
        <v>4.7166666666666669E-2</v>
      </c>
      <c r="BJ27" s="68">
        <f t="shared" si="12"/>
        <v>0.16091666666666665</v>
      </c>
      <c r="BK27" s="68">
        <f t="shared" si="8"/>
        <v>0.14249999999999999</v>
      </c>
      <c r="BL27" s="68">
        <f t="shared" si="8"/>
        <v>0.14683333333333332</v>
      </c>
      <c r="BM27" s="68">
        <f t="shared" si="8"/>
        <v>0.18766666666666665</v>
      </c>
      <c r="BN27" s="68">
        <f t="shared" si="8"/>
        <v>0.108625</v>
      </c>
      <c r="BO27" s="68">
        <f t="shared" si="8"/>
        <v>0.203875</v>
      </c>
      <c r="BP27" s="70">
        <f t="shared" si="3"/>
        <v>0.17943055555555557</v>
      </c>
      <c r="BQ27" s="198">
        <f t="shared" si="13"/>
        <v>0.168125</v>
      </c>
      <c r="BR27" s="72">
        <f t="shared" si="10"/>
        <v>16.8125</v>
      </c>
      <c r="BS27" s="73">
        <f t="shared" si="11"/>
        <v>6.0416666666666674E-2</v>
      </c>
      <c r="BT27" s="74">
        <f t="shared" si="6"/>
        <v>1.1305555555555569E-2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305">
        <v>178.5</v>
      </c>
      <c r="E28" s="63">
        <v>323.39999999999998</v>
      </c>
      <c r="F28" s="63">
        <v>556.4</v>
      </c>
      <c r="G28" s="283">
        <v>369.3</v>
      </c>
      <c r="H28" s="246">
        <v>517</v>
      </c>
      <c r="I28" s="283">
        <v>483</v>
      </c>
      <c r="J28" s="63">
        <v>466.1</v>
      </c>
      <c r="K28" s="63">
        <v>560</v>
      </c>
      <c r="L28" s="63">
        <v>589.4</v>
      </c>
      <c r="M28" s="63">
        <v>488.6</v>
      </c>
      <c r="N28" s="63">
        <v>565.70000000000005</v>
      </c>
      <c r="O28" s="63">
        <v>527.1</v>
      </c>
      <c r="P28" s="63">
        <v>561.20000000000005</v>
      </c>
      <c r="Q28" s="283">
        <v>520.6</v>
      </c>
      <c r="R28" s="63">
        <v>478.3</v>
      </c>
      <c r="S28" s="63">
        <v>509.3</v>
      </c>
      <c r="T28" s="283">
        <v>510</v>
      </c>
      <c r="U28" s="283">
        <v>491.9</v>
      </c>
      <c r="V28" s="63">
        <v>179.6</v>
      </c>
      <c r="W28" s="283">
        <v>142.19999999999999</v>
      </c>
      <c r="X28" s="63">
        <v>388.8</v>
      </c>
      <c r="Y28" s="63">
        <v>537.29999999999995</v>
      </c>
      <c r="Z28" s="221">
        <v>441.6</v>
      </c>
      <c r="AA28" s="321">
        <v>115</v>
      </c>
      <c r="AB28" s="20">
        <v>385.6</v>
      </c>
      <c r="AC28" s="15">
        <v>342.8</v>
      </c>
      <c r="AD28" s="221">
        <v>344.8</v>
      </c>
      <c r="AE28" s="15">
        <v>446</v>
      </c>
      <c r="AF28" s="15">
        <v>263.2</v>
      </c>
      <c r="AG28" s="15">
        <v>461.6</v>
      </c>
      <c r="AH28" s="64"/>
      <c r="AI28" s="290">
        <f t="shared" si="7"/>
        <v>12744.300000000001</v>
      </c>
      <c r="AJ28" s="301"/>
      <c r="AK28" s="121"/>
      <c r="AL28" s="302"/>
      <c r="AM28" s="303"/>
      <c r="AN28" s="303"/>
      <c r="AO28" s="303"/>
      <c r="AP28" s="303"/>
      <c r="AQ28" s="303"/>
      <c r="AR28" s="303"/>
      <c r="AS28" s="303"/>
      <c r="AT28" s="303"/>
      <c r="AU28" s="303"/>
      <c r="AV28" s="303"/>
      <c r="AW28" s="303"/>
      <c r="AX28" s="303"/>
      <c r="AY28" s="303"/>
      <c r="AZ28" s="303"/>
      <c r="BA28" s="303"/>
      <c r="BB28" s="303"/>
      <c r="BC28" s="303"/>
      <c r="BD28" s="303"/>
      <c r="BE28" s="303"/>
      <c r="BF28" s="303"/>
      <c r="BG28" s="303"/>
      <c r="BH28" s="303"/>
      <c r="BI28" s="303"/>
      <c r="BJ28" s="303"/>
      <c r="BK28" s="303"/>
      <c r="BL28" s="303"/>
      <c r="BM28" s="303"/>
      <c r="BN28" s="303"/>
      <c r="BO28" s="303"/>
      <c r="BP28" s="304"/>
      <c r="BQ28" s="198"/>
      <c r="BR28" s="72"/>
      <c r="BS28" s="73"/>
      <c r="BT28" s="74"/>
      <c r="BU28" s="15"/>
      <c r="BV28" s="3"/>
      <c r="BW28" s="2"/>
      <c r="BX28" s="2"/>
    </row>
    <row r="29" spans="2:76" ht="15" thickBot="1" x14ac:dyDescent="0.35">
      <c r="B29" s="775"/>
      <c r="C29" s="326" t="s">
        <v>289</v>
      </c>
      <c r="D29" s="305">
        <v>175.6</v>
      </c>
      <c r="E29" s="63">
        <v>324.39999999999998</v>
      </c>
      <c r="F29" s="63">
        <v>571.20000000000005</v>
      </c>
      <c r="G29" s="82">
        <v>378.4</v>
      </c>
      <c r="H29" s="311">
        <v>511.3</v>
      </c>
      <c r="I29" s="82">
        <v>527.6</v>
      </c>
      <c r="J29" s="82">
        <v>491.1</v>
      </c>
      <c r="K29" s="63">
        <v>596</v>
      </c>
      <c r="L29" s="63">
        <v>604.1</v>
      </c>
      <c r="M29" s="63">
        <v>520.4</v>
      </c>
      <c r="N29" s="63">
        <v>587.6</v>
      </c>
      <c r="O29" s="63">
        <v>592.70000000000005</v>
      </c>
      <c r="P29" s="63">
        <v>579.9</v>
      </c>
      <c r="Q29" s="283">
        <v>510</v>
      </c>
      <c r="R29" s="63">
        <v>475</v>
      </c>
      <c r="S29" s="63">
        <v>526.29999999999995</v>
      </c>
      <c r="T29" s="63">
        <v>538.4</v>
      </c>
      <c r="U29" s="63">
        <v>511.6</v>
      </c>
      <c r="V29" s="63">
        <v>183.4</v>
      </c>
      <c r="W29" s="283">
        <v>140.69999999999999</v>
      </c>
      <c r="X29" s="63">
        <v>511.2</v>
      </c>
      <c r="Y29" s="63">
        <v>563.79999999999995</v>
      </c>
      <c r="Z29" s="15">
        <v>465.3</v>
      </c>
      <c r="AA29" s="321">
        <v>114.3</v>
      </c>
      <c r="AB29" s="20">
        <v>399.2</v>
      </c>
      <c r="AC29" s="15">
        <v>356.3</v>
      </c>
      <c r="AD29" s="221">
        <v>355.9</v>
      </c>
      <c r="AE29" s="15">
        <v>455.2</v>
      </c>
      <c r="AF29" s="15">
        <v>265.7</v>
      </c>
      <c r="AG29" s="15">
        <v>488.9</v>
      </c>
      <c r="AH29" s="64"/>
      <c r="AI29" s="290">
        <f t="shared" si="7"/>
        <v>13321.5</v>
      </c>
      <c r="AJ29" s="119">
        <v>100</v>
      </c>
      <c r="AK29" s="121"/>
      <c r="AL29" s="98">
        <f t="shared" si="14"/>
        <v>7.3166666666666658E-2</v>
      </c>
      <c r="AM29" s="99">
        <f t="shared" si="14"/>
        <v>0.13516666666666666</v>
      </c>
      <c r="AN29" s="99">
        <f t="shared" si="14"/>
        <v>0.23800000000000002</v>
      </c>
      <c r="AO29" s="99">
        <f t="shared" si="14"/>
        <v>0.15766666666666665</v>
      </c>
      <c r="AP29" s="99">
        <f t="shared" si="14"/>
        <v>0.21304166666666668</v>
      </c>
      <c r="AQ29" s="99">
        <f t="shared" si="14"/>
        <v>0.21983333333333335</v>
      </c>
      <c r="AR29" s="99">
        <f t="shared" si="14"/>
        <v>0.204625</v>
      </c>
      <c r="AS29" s="99">
        <f t="shared" si="14"/>
        <v>0.24833333333333332</v>
      </c>
      <c r="AT29" s="99">
        <f t="shared" si="14"/>
        <v>0.25170833333333337</v>
      </c>
      <c r="AU29" s="99">
        <f t="shared" si="15"/>
        <v>0.21683333333333332</v>
      </c>
      <c r="AV29" s="99">
        <f t="shared" si="15"/>
        <v>0.24483333333333335</v>
      </c>
      <c r="AW29" s="99">
        <f t="shared" si="15"/>
        <v>0.24695833333333336</v>
      </c>
      <c r="AX29" s="99">
        <f t="shared" si="15"/>
        <v>0.24162499999999998</v>
      </c>
      <c r="AY29" s="99">
        <f t="shared" si="15"/>
        <v>0.21249999999999999</v>
      </c>
      <c r="AZ29" s="99">
        <f t="shared" si="15"/>
        <v>0.19791666666666666</v>
      </c>
      <c r="BA29" s="99">
        <f t="shared" si="15"/>
        <v>0.21929166666666663</v>
      </c>
      <c r="BB29" s="99">
        <f t="shared" si="12"/>
        <v>0.22433333333333333</v>
      </c>
      <c r="BC29" s="99">
        <f t="shared" si="12"/>
        <v>0.21316666666666667</v>
      </c>
      <c r="BD29" s="99">
        <f t="shared" si="12"/>
        <v>7.6416666666666674E-2</v>
      </c>
      <c r="BE29" s="99">
        <f t="shared" si="12"/>
        <v>5.8624999999999997E-2</v>
      </c>
      <c r="BF29" s="99">
        <f t="shared" si="12"/>
        <v>0.21299999999999999</v>
      </c>
      <c r="BG29" s="99">
        <f t="shared" si="12"/>
        <v>0.23491666666666663</v>
      </c>
      <c r="BH29" s="99">
        <f t="shared" si="12"/>
        <v>0.19387499999999999</v>
      </c>
      <c r="BI29" s="99">
        <f t="shared" si="12"/>
        <v>4.7625000000000001E-2</v>
      </c>
      <c r="BJ29" s="99">
        <f t="shared" si="12"/>
        <v>0.16633333333333333</v>
      </c>
      <c r="BK29" s="99">
        <f t="shared" si="8"/>
        <v>0.14845833333333333</v>
      </c>
      <c r="BL29" s="99">
        <f t="shared" si="8"/>
        <v>0.14829166666666665</v>
      </c>
      <c r="BM29" s="99">
        <f t="shared" si="8"/>
        <v>0.18966666666666665</v>
      </c>
      <c r="BN29" s="99">
        <f t="shared" si="8"/>
        <v>0.11070833333333333</v>
      </c>
      <c r="BO29" s="99">
        <f t="shared" si="8"/>
        <v>0.20370833333333332</v>
      </c>
      <c r="BP29" s="101">
        <f t="shared" si="3"/>
        <v>0.18502083333333333</v>
      </c>
      <c r="BQ29" s="198">
        <f t="shared" si="13"/>
        <v>0.168125</v>
      </c>
      <c r="BR29" s="72">
        <f t="shared" si="10"/>
        <v>16.8125</v>
      </c>
      <c r="BS29" s="73">
        <f t="shared" si="11"/>
        <v>6.987500000000002E-2</v>
      </c>
      <c r="BT29" s="74">
        <f t="shared" si="6"/>
        <v>1.6895833333333332E-2</v>
      </c>
      <c r="BU29" s="15" t="s">
        <v>112</v>
      </c>
      <c r="BV29" s="3"/>
      <c r="BW29" s="2"/>
      <c r="BX29" s="2"/>
    </row>
    <row r="30" spans="2:76" x14ac:dyDescent="0.3">
      <c r="B30" s="773" t="s">
        <v>290</v>
      </c>
      <c r="C30" s="326" t="s">
        <v>291</v>
      </c>
      <c r="D30" s="306">
        <v>400</v>
      </c>
      <c r="E30" s="306">
        <v>150</v>
      </c>
      <c r="F30" s="63">
        <v>424.3</v>
      </c>
      <c r="G30" s="82">
        <v>476.7</v>
      </c>
      <c r="H30" s="311">
        <v>556.29999999999995</v>
      </c>
      <c r="I30" s="82">
        <v>600.1</v>
      </c>
      <c r="J30" s="312">
        <v>384.6</v>
      </c>
      <c r="K30" s="282">
        <v>0</v>
      </c>
      <c r="L30" s="282">
        <v>0</v>
      </c>
      <c r="M30" s="282">
        <v>0</v>
      </c>
      <c r="N30" s="282">
        <v>0</v>
      </c>
      <c r="O30" s="282">
        <v>0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</v>
      </c>
      <c r="W30" s="283">
        <v>30.8</v>
      </c>
      <c r="X30" s="63">
        <v>42.2</v>
      </c>
      <c r="Y30" s="63">
        <v>37.6</v>
      </c>
      <c r="Z30" s="15">
        <v>57.1</v>
      </c>
      <c r="AA30" s="18">
        <v>24.7</v>
      </c>
      <c r="AB30" s="20">
        <v>246.8</v>
      </c>
      <c r="AC30" s="15">
        <v>343</v>
      </c>
      <c r="AD30" s="221">
        <v>342</v>
      </c>
      <c r="AE30" s="15">
        <v>387.7</v>
      </c>
      <c r="AF30" s="15">
        <v>298.89999999999998</v>
      </c>
      <c r="AG30" s="15">
        <v>526.9</v>
      </c>
      <c r="AH30" s="64"/>
      <c r="AI30" s="290">
        <f t="shared" si="7"/>
        <v>5329.6999999999989</v>
      </c>
      <c r="AJ30" s="2"/>
      <c r="AK30" s="285"/>
      <c r="AL30" s="286" t="str">
        <f t="shared" si="14"/>
        <v>-</v>
      </c>
      <c r="AM30" s="286" t="str">
        <f t="shared" si="14"/>
        <v>-</v>
      </c>
      <c r="AN30" s="286" t="str">
        <f t="shared" si="14"/>
        <v>-</v>
      </c>
      <c r="AO30" s="286" t="str">
        <f t="shared" si="14"/>
        <v>-</v>
      </c>
      <c r="AP30" s="286" t="str">
        <f t="shared" si="14"/>
        <v>-</v>
      </c>
      <c r="AQ30" s="286" t="str">
        <f t="shared" si="14"/>
        <v>-</v>
      </c>
      <c r="AR30" s="286" t="str">
        <f t="shared" si="14"/>
        <v>-</v>
      </c>
      <c r="AS30" s="286" t="str">
        <f t="shared" si="14"/>
        <v>-</v>
      </c>
      <c r="AT30" s="286" t="str">
        <f t="shared" si="14"/>
        <v>-</v>
      </c>
      <c r="AU30" s="286" t="str">
        <f t="shared" si="15"/>
        <v>-</v>
      </c>
      <c r="AV30" s="286" t="str">
        <f t="shared" si="15"/>
        <v>-</v>
      </c>
      <c r="AW30" s="286" t="str">
        <f t="shared" si="15"/>
        <v>-</v>
      </c>
      <c r="AX30" s="286" t="str">
        <f t="shared" si="15"/>
        <v>-</v>
      </c>
      <c r="AY30" s="286" t="str">
        <f t="shared" si="15"/>
        <v>-</v>
      </c>
      <c r="AZ30" s="286" t="str">
        <f t="shared" si="15"/>
        <v>-</v>
      </c>
      <c r="BA30" s="286" t="str">
        <f t="shared" si="15"/>
        <v>-</v>
      </c>
      <c r="BB30" s="286" t="str">
        <f t="shared" si="12"/>
        <v>-</v>
      </c>
      <c r="BC30" s="286" t="str">
        <f t="shared" si="12"/>
        <v>-</v>
      </c>
      <c r="BD30" s="286" t="str">
        <f t="shared" si="12"/>
        <v>-</v>
      </c>
      <c r="BE30" s="286" t="str">
        <f t="shared" si="12"/>
        <v>-</v>
      </c>
      <c r="BF30" s="286" t="str">
        <f t="shared" si="12"/>
        <v>-</v>
      </c>
      <c r="BG30" s="286" t="str">
        <f t="shared" si="12"/>
        <v>-</v>
      </c>
      <c r="BH30" s="286" t="str">
        <f t="shared" si="12"/>
        <v>-</v>
      </c>
      <c r="BI30" s="286" t="str">
        <f t="shared" si="12"/>
        <v>-</v>
      </c>
      <c r="BJ30" s="286" t="str">
        <f t="shared" si="12"/>
        <v>-</v>
      </c>
      <c r="BK30" s="286" t="str">
        <f t="shared" si="8"/>
        <v>-</v>
      </c>
      <c r="BL30" s="286" t="str">
        <f t="shared" si="8"/>
        <v>-</v>
      </c>
      <c r="BM30" s="286" t="str">
        <f t="shared" si="8"/>
        <v>-</v>
      </c>
      <c r="BN30" s="286" t="str">
        <f t="shared" si="8"/>
        <v>-</v>
      </c>
      <c r="BO30" s="286" t="str">
        <f t="shared" si="8"/>
        <v>-</v>
      </c>
      <c r="BP30" s="286" t="e">
        <f t="shared" si="3"/>
        <v>#DIV/0!</v>
      </c>
      <c r="BQ30" s="198"/>
      <c r="BR30" s="287"/>
      <c r="BS30" s="288"/>
      <c r="BT30" s="289"/>
      <c r="BU30" s="2"/>
      <c r="BV30" s="3"/>
      <c r="BW30" s="2"/>
      <c r="BX30" s="2"/>
    </row>
    <row r="31" spans="2:76" ht="15" thickBot="1" x14ac:dyDescent="0.35">
      <c r="B31" s="777"/>
      <c r="C31" s="329"/>
      <c r="D31" s="224"/>
      <c r="E31" s="93"/>
      <c r="F31" s="93"/>
      <c r="G31" s="115"/>
      <c r="H31" s="284"/>
      <c r="I31" s="115"/>
      <c r="J31" s="115"/>
      <c r="K31" s="93"/>
      <c r="L31" s="93"/>
      <c r="M31" s="93"/>
      <c r="N31" s="93"/>
      <c r="O31" s="93"/>
      <c r="P31" s="93"/>
      <c r="Q31" s="318"/>
      <c r="R31" s="93"/>
      <c r="S31" s="93"/>
      <c r="T31" s="93"/>
      <c r="U31" s="22"/>
      <c r="V31" s="22"/>
      <c r="W31" s="292"/>
      <c r="X31" s="22"/>
      <c r="Y31" s="93"/>
      <c r="Z31" s="22"/>
      <c r="AA31" s="322"/>
      <c r="AB31" s="21"/>
      <c r="AC31" s="22"/>
      <c r="AD31" s="277"/>
      <c r="AE31" s="22"/>
      <c r="AF31" s="22"/>
      <c r="AG31" s="22"/>
      <c r="AH31" s="96"/>
      <c r="AI31" s="290">
        <f t="shared" si="7"/>
        <v>0</v>
      </c>
      <c r="AJ31" s="2"/>
      <c r="AK31" s="285"/>
      <c r="AL31" s="286" t="str">
        <f t="shared" si="14"/>
        <v>VAZIO</v>
      </c>
      <c r="AM31" s="286" t="str">
        <f t="shared" si="14"/>
        <v>VAZIO</v>
      </c>
      <c r="AN31" s="286" t="str">
        <f t="shared" si="14"/>
        <v>VAZIO</v>
      </c>
      <c r="AO31" s="286" t="str">
        <f t="shared" si="14"/>
        <v>VAZIO</v>
      </c>
      <c r="AP31" s="286" t="str">
        <f t="shared" si="14"/>
        <v>VAZIO</v>
      </c>
      <c r="AQ31" s="286" t="str">
        <f t="shared" si="14"/>
        <v>VAZIO</v>
      </c>
      <c r="AR31" s="286" t="str">
        <f t="shared" si="14"/>
        <v>VAZIO</v>
      </c>
      <c r="AS31" s="286" t="str">
        <f t="shared" si="14"/>
        <v>VAZIO</v>
      </c>
      <c r="AT31" s="286" t="str">
        <f t="shared" si="14"/>
        <v>VAZIO</v>
      </c>
      <c r="AU31" s="286" t="str">
        <f t="shared" si="15"/>
        <v>VAZIO</v>
      </c>
      <c r="AV31" s="286" t="str">
        <f t="shared" si="15"/>
        <v>VAZIO</v>
      </c>
      <c r="AW31" s="286" t="str">
        <f t="shared" si="15"/>
        <v>VAZIO</v>
      </c>
      <c r="AX31" s="286" t="str">
        <f t="shared" si="15"/>
        <v>VAZIO</v>
      </c>
      <c r="AY31" s="286" t="str">
        <f t="shared" si="15"/>
        <v>VAZIO</v>
      </c>
      <c r="AZ31" s="286" t="str">
        <f t="shared" si="15"/>
        <v>VAZIO</v>
      </c>
      <c r="BA31" s="286" t="str">
        <f t="shared" si="15"/>
        <v>VAZIO</v>
      </c>
      <c r="BB31" s="286" t="str">
        <f t="shared" si="12"/>
        <v>VAZIO</v>
      </c>
      <c r="BC31" s="286" t="str">
        <f t="shared" si="12"/>
        <v>VAZIO</v>
      </c>
      <c r="BD31" s="286" t="str">
        <f t="shared" si="12"/>
        <v>VAZIO</v>
      </c>
      <c r="BE31" s="286" t="str">
        <f t="shared" si="12"/>
        <v>VAZIO</v>
      </c>
      <c r="BF31" s="286" t="str">
        <f t="shared" si="12"/>
        <v>VAZIO</v>
      </c>
      <c r="BG31" s="286" t="str">
        <f t="shared" si="12"/>
        <v>VAZIO</v>
      </c>
      <c r="BH31" s="286" t="str">
        <f t="shared" si="12"/>
        <v>VAZIO</v>
      </c>
      <c r="BI31" s="286" t="str">
        <f t="shared" si="12"/>
        <v>VAZIO</v>
      </c>
      <c r="BJ31" s="286" t="str">
        <f t="shared" si="12"/>
        <v>VAZIO</v>
      </c>
      <c r="BK31" s="286" t="str">
        <f t="shared" si="8"/>
        <v>VAZIO</v>
      </c>
      <c r="BL31" s="286" t="str">
        <f t="shared" si="8"/>
        <v>VAZIO</v>
      </c>
      <c r="BM31" s="286" t="str">
        <f t="shared" si="8"/>
        <v>VAZIO</v>
      </c>
      <c r="BN31" s="286" t="str">
        <f t="shared" si="8"/>
        <v>VAZIO</v>
      </c>
      <c r="BO31" s="286" t="str">
        <f t="shared" si="8"/>
        <v>VAZIO</v>
      </c>
      <c r="BP31" s="286" t="e">
        <f t="shared" si="3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9003.9</v>
      </c>
      <c r="E32" s="103">
        <f>SUM(E5:E30)</f>
        <v>6820.8</v>
      </c>
      <c r="F32" s="103">
        <f>SUM(F5:F30)</f>
        <v>9750.51</v>
      </c>
      <c r="G32" s="103">
        <f t="shared" ref="G32:AH32" si="16">SUM(G5:G30)</f>
        <v>8234.4</v>
      </c>
      <c r="H32" s="103">
        <f t="shared" si="16"/>
        <v>12793.339999999998</v>
      </c>
      <c r="I32" s="103">
        <f t="shared" si="16"/>
        <v>12414.660000000002</v>
      </c>
      <c r="J32" s="103">
        <f t="shared" si="16"/>
        <v>10669.300000000001</v>
      </c>
      <c r="K32" s="103">
        <f t="shared" si="16"/>
        <v>10598.38</v>
      </c>
      <c r="L32" s="103">
        <f t="shared" si="16"/>
        <v>12482.04</v>
      </c>
      <c r="M32" s="103">
        <f t="shared" si="16"/>
        <v>11426.900000000001</v>
      </c>
      <c r="N32" s="103">
        <f t="shared" si="16"/>
        <v>11651.570000000002</v>
      </c>
      <c r="O32" s="103">
        <f t="shared" si="16"/>
        <v>11678.900000000001</v>
      </c>
      <c r="P32" s="103">
        <f t="shared" si="16"/>
        <v>11578.49</v>
      </c>
      <c r="Q32" s="103">
        <f t="shared" si="16"/>
        <v>11396.410000000002</v>
      </c>
      <c r="R32" s="103">
        <f t="shared" si="16"/>
        <v>10882.999999999998</v>
      </c>
      <c r="S32" s="103">
        <f t="shared" si="16"/>
        <v>11056.599999999997</v>
      </c>
      <c r="T32" s="103">
        <f t="shared" si="16"/>
        <v>10670.457142857143</v>
      </c>
      <c r="U32" s="103">
        <f t="shared" si="16"/>
        <v>10424.147142857144</v>
      </c>
      <c r="V32" s="103">
        <f t="shared" si="16"/>
        <v>5064.2999999999993</v>
      </c>
      <c r="W32" s="103">
        <f t="shared" si="16"/>
        <v>4161.1099999999988</v>
      </c>
      <c r="X32" s="103">
        <f t="shared" si="16"/>
        <v>8229.3000000000011</v>
      </c>
      <c r="Y32" s="103">
        <f t="shared" si="16"/>
        <v>11430.789999999997</v>
      </c>
      <c r="Z32" s="103">
        <f t="shared" si="16"/>
        <v>8585.2571428571428</v>
      </c>
      <c r="AA32" s="103">
        <f t="shared" si="16"/>
        <v>6471.5999999999995</v>
      </c>
      <c r="AB32" s="103">
        <f t="shared" si="16"/>
        <v>6819.7000000000007</v>
      </c>
      <c r="AC32" s="103">
        <f>SUM(AC5:AC30)</f>
        <v>7741.2</v>
      </c>
      <c r="AD32" s="103">
        <f t="shared" si="16"/>
        <v>7740.4</v>
      </c>
      <c r="AE32" s="103">
        <f t="shared" si="16"/>
        <v>7853.1999999999989</v>
      </c>
      <c r="AF32" s="103">
        <f t="shared" si="16"/>
        <v>5188.6999999999989</v>
      </c>
      <c r="AG32" s="103">
        <f t="shared" si="16"/>
        <v>10268.199999999999</v>
      </c>
      <c r="AH32" s="103">
        <f t="shared" si="16"/>
        <v>0</v>
      </c>
      <c r="AI32" s="189">
        <f>SUM(AI5:AI31)</f>
        <v>283087.56142857147</v>
      </c>
      <c r="AJ32" s="104">
        <f>SUM(AJ5:AJ31)</f>
        <v>2106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283,088 MWh</v>
      </c>
      <c r="AJ33" s="2"/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>
        <v>50.8</v>
      </c>
      <c r="V34" s="2">
        <v>50277.3</v>
      </c>
      <c r="W34" s="2"/>
      <c r="X34" s="2"/>
      <c r="Y34" s="2"/>
      <c r="Z34" s="2"/>
      <c r="AA34" s="2"/>
      <c r="AB34" s="2"/>
      <c r="AC34" s="2"/>
      <c r="AD34" s="2"/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9436,252 kWh</v>
      </c>
      <c r="AJ34" s="2"/>
      <c r="AK34" s="2"/>
      <c r="AL34" s="2"/>
      <c r="AM34" s="2"/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/>
      <c r="U35" s="2">
        <v>1.7</v>
      </c>
      <c r="V35" s="2">
        <v>50407.8</v>
      </c>
      <c r="W35" s="2"/>
      <c r="X35" s="2">
        <f>37916.7-3.4</f>
        <v>37913.299999999996</v>
      </c>
      <c r="Y35" s="2">
        <v>38234</v>
      </c>
      <c r="Z35" s="2">
        <f>Y35-X35</f>
        <v>320.70000000000437</v>
      </c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283087,56 kWh</v>
      </c>
      <c r="AJ35" s="2"/>
      <c r="AK35" s="2"/>
      <c r="AL35" s="2"/>
      <c r="AM35" s="2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V36">
        <f>V35-U35-V34</f>
        <v>128.80000000000291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283,088 MWh</v>
      </c>
    </row>
    <row r="37" spans="2:76" x14ac:dyDescent="0.3">
      <c r="V37">
        <f>V36+U34</f>
        <v>179.60000000000292</v>
      </c>
      <c r="W37">
        <v>142</v>
      </c>
      <c r="X37" s="102">
        <f>V35+V37+W28</f>
        <v>50729.600000000006</v>
      </c>
      <c r="Y37">
        <v>51144.2</v>
      </c>
      <c r="AC37">
        <v>53196</v>
      </c>
    </row>
    <row r="38" spans="2:76" x14ac:dyDescent="0.3">
      <c r="X38">
        <v>51055.7</v>
      </c>
      <c r="Y38">
        <v>51607.9</v>
      </c>
      <c r="AC38">
        <v>60.6</v>
      </c>
    </row>
    <row r="39" spans="2:76" x14ac:dyDescent="0.3">
      <c r="X39">
        <f>X38-27.3</f>
        <v>51028.399999999994</v>
      </c>
      <c r="Y39">
        <f>Y38-42.2</f>
        <v>51565.700000000004</v>
      </c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6" x14ac:dyDescent="0.3">
      <c r="X40" s="102">
        <f>X39-X37</f>
        <v>298.79999999998836</v>
      </c>
      <c r="Y40">
        <f>Y39-Y37</f>
        <v>421.50000000000728</v>
      </c>
      <c r="AF40">
        <f>AF39-20.4</f>
        <v>53905.2</v>
      </c>
    </row>
    <row r="41" spans="2:76" x14ac:dyDescent="0.3">
      <c r="X41" s="102">
        <f>X40+90</f>
        <v>388.79999999998836</v>
      </c>
      <c r="Y41">
        <f>Y40+115.8</f>
        <v>537.30000000000723</v>
      </c>
      <c r="AF41">
        <f>AF40-AD39</f>
        <v>263.19999999999709</v>
      </c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</row>
    <row r="44" spans="2:76" x14ac:dyDescent="0.3">
      <c r="B44" s="751" t="s">
        <v>6</v>
      </c>
      <c r="C44" s="18" t="s">
        <v>7</v>
      </c>
      <c r="D44" s="163">
        <f>D5+Agosto23!AF41</f>
        <v>48903.200000000004</v>
      </c>
      <c r="E44" s="164">
        <f t="shared" ref="E44:F66" si="17">D44+E5</f>
        <v>48933.3</v>
      </c>
      <c r="F44" s="164">
        <f t="shared" si="17"/>
        <v>48978.3</v>
      </c>
      <c r="G44" s="165">
        <v>49036.4</v>
      </c>
      <c r="H44" s="166">
        <v>49076</v>
      </c>
      <c r="I44" s="163">
        <f t="shared" ref="I44:I66" si="18">H44+I5</f>
        <v>49148.800000000003</v>
      </c>
      <c r="J44" s="163">
        <f t="shared" ref="J44:V44" si="19">I44+J5</f>
        <v>49205.600000000006</v>
      </c>
      <c r="K44" s="163">
        <f t="shared" si="19"/>
        <v>49260.3</v>
      </c>
      <c r="L44" s="163">
        <f t="shared" si="19"/>
        <v>49330.8</v>
      </c>
      <c r="M44" s="163">
        <f t="shared" si="19"/>
        <v>49398.100000000006</v>
      </c>
      <c r="N44" s="163">
        <f t="shared" si="19"/>
        <v>49465.700000000004</v>
      </c>
      <c r="O44" s="163">
        <f t="shared" si="19"/>
        <v>49529.200000000004</v>
      </c>
      <c r="P44" s="163">
        <f t="shared" si="19"/>
        <v>49593.3</v>
      </c>
      <c r="Q44" s="163">
        <f t="shared" si="19"/>
        <v>49658.9</v>
      </c>
      <c r="R44" s="163">
        <f t="shared" si="19"/>
        <v>49722.700000000004</v>
      </c>
      <c r="S44" s="163">
        <f t="shared" si="19"/>
        <v>49783.100000000006</v>
      </c>
      <c r="T44" s="163">
        <f t="shared" si="19"/>
        <v>49840.100000000006</v>
      </c>
      <c r="U44" s="163">
        <f t="shared" si="19"/>
        <v>49898.600000000006</v>
      </c>
      <c r="V44" s="163">
        <f t="shared" si="19"/>
        <v>49935.200000000004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</row>
    <row r="45" spans="2:76" x14ac:dyDescent="0.3">
      <c r="B45" s="752"/>
      <c r="C45" s="18" t="s">
        <v>8</v>
      </c>
      <c r="D45" s="163">
        <f>D6+Agosto23!AF42</f>
        <v>99012.700000000012</v>
      </c>
      <c r="E45" s="164">
        <f t="shared" si="17"/>
        <v>99180.200000000012</v>
      </c>
      <c r="F45" s="164">
        <f t="shared" si="17"/>
        <v>99443.700000000012</v>
      </c>
      <c r="G45" s="165">
        <f>21775+78123.8</f>
        <v>99898.8</v>
      </c>
      <c r="H45" s="166">
        <f>21823+78322.8</f>
        <v>100145.8</v>
      </c>
      <c r="I45" s="163">
        <f t="shared" si="18"/>
        <v>100518.5</v>
      </c>
      <c r="J45" s="163">
        <f t="shared" ref="J45:V45" si="20">I45+J6</f>
        <v>100827.1</v>
      </c>
      <c r="K45" s="163">
        <f t="shared" si="20"/>
        <v>101130.20000000001</v>
      </c>
      <c r="L45" s="163">
        <f t="shared" si="20"/>
        <v>101532.30000000002</v>
      </c>
      <c r="M45" s="163">
        <f t="shared" si="20"/>
        <v>101911.40000000002</v>
      </c>
      <c r="N45" s="163">
        <f t="shared" si="20"/>
        <v>102297.00000000003</v>
      </c>
      <c r="O45" s="163">
        <f t="shared" si="20"/>
        <v>102669.10000000003</v>
      </c>
      <c r="P45" s="163">
        <f t="shared" si="20"/>
        <v>103030.10000000003</v>
      </c>
      <c r="Q45" s="163">
        <f t="shared" si="20"/>
        <v>103403.60000000003</v>
      </c>
      <c r="R45" s="163">
        <f t="shared" si="20"/>
        <v>103767.20000000004</v>
      </c>
      <c r="S45" s="163">
        <f t="shared" si="20"/>
        <v>104107.00000000004</v>
      </c>
      <c r="T45" s="163">
        <f t="shared" si="20"/>
        <v>104425.20000000004</v>
      </c>
      <c r="U45" s="163">
        <f t="shared" si="20"/>
        <v>104765.40000000004</v>
      </c>
      <c r="V45" s="163">
        <f t="shared" si="20"/>
        <v>104966.50000000004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</row>
    <row r="46" spans="2:76" x14ac:dyDescent="0.3">
      <c r="B46" s="752"/>
      <c r="C46" s="18" t="s">
        <v>9</v>
      </c>
      <c r="D46" s="163">
        <f>D7+Agosto23!AF43</f>
        <v>69911</v>
      </c>
      <c r="E46" s="164">
        <f t="shared" si="17"/>
        <v>70035.8</v>
      </c>
      <c r="F46" s="164">
        <f t="shared" si="17"/>
        <v>70221.5</v>
      </c>
      <c r="G46" s="165">
        <v>70458.2</v>
      </c>
      <c r="H46" s="166">
        <v>70615.5</v>
      </c>
      <c r="I46" s="163">
        <f t="shared" si="18"/>
        <v>70906.3</v>
      </c>
      <c r="J46" s="163">
        <f t="shared" ref="J46:V46" si="21">I46+J7</f>
        <v>71140.5</v>
      </c>
      <c r="K46" s="163">
        <f t="shared" si="21"/>
        <v>71372.399999999994</v>
      </c>
      <c r="L46" s="163">
        <f t="shared" si="21"/>
        <v>71536</v>
      </c>
      <c r="M46" s="163">
        <f t="shared" si="21"/>
        <v>71536</v>
      </c>
      <c r="N46" s="163">
        <f t="shared" si="21"/>
        <v>71536</v>
      </c>
      <c r="O46" s="163">
        <f t="shared" si="21"/>
        <v>71536</v>
      </c>
      <c r="P46" s="163">
        <f t="shared" si="21"/>
        <v>71536</v>
      </c>
      <c r="Q46" s="163">
        <f t="shared" si="21"/>
        <v>71536</v>
      </c>
      <c r="R46" s="163">
        <f t="shared" si="21"/>
        <v>71536</v>
      </c>
      <c r="S46" s="163">
        <f t="shared" si="21"/>
        <v>71536</v>
      </c>
      <c r="T46" s="163">
        <f t="shared" si="21"/>
        <v>71536</v>
      </c>
      <c r="U46" s="163">
        <f t="shared" si="21"/>
        <v>71536</v>
      </c>
      <c r="V46" s="163">
        <f t="shared" si="21"/>
        <v>71536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</row>
    <row r="47" spans="2:76" x14ac:dyDescent="0.3">
      <c r="B47" s="752"/>
      <c r="C47" s="18" t="s">
        <v>10</v>
      </c>
      <c r="D47" s="163">
        <f>D8+Agosto23!AF44</f>
        <v>95781.8</v>
      </c>
      <c r="E47" s="164">
        <f t="shared" si="17"/>
        <v>95867.900000000009</v>
      </c>
      <c r="F47" s="164">
        <f t="shared" si="17"/>
        <v>95993.000000000015</v>
      </c>
      <c r="G47" s="165">
        <v>96154</v>
      </c>
      <c r="H47" s="166">
        <v>96261.9</v>
      </c>
      <c r="I47" s="163">
        <f t="shared" si="18"/>
        <v>96453.5</v>
      </c>
      <c r="J47" s="163">
        <f t="shared" ref="J47:V47" si="22">I47+J8</f>
        <v>96610.3</v>
      </c>
      <c r="K47" s="163">
        <f t="shared" si="22"/>
        <v>96766.5</v>
      </c>
      <c r="L47" s="163">
        <f t="shared" si="22"/>
        <v>96877</v>
      </c>
      <c r="M47" s="163">
        <f t="shared" si="22"/>
        <v>96898.7</v>
      </c>
      <c r="N47" s="163">
        <f t="shared" si="22"/>
        <v>97016.4</v>
      </c>
      <c r="O47" s="163">
        <f t="shared" si="22"/>
        <v>97188.799999999988</v>
      </c>
      <c r="P47" s="163">
        <f t="shared" si="22"/>
        <v>97357.9</v>
      </c>
      <c r="Q47" s="163">
        <f t="shared" si="22"/>
        <v>97512.9</v>
      </c>
      <c r="R47" s="163">
        <f t="shared" si="22"/>
        <v>97657.9</v>
      </c>
      <c r="S47" s="163">
        <f t="shared" si="22"/>
        <v>97787.9</v>
      </c>
      <c r="T47" s="163">
        <f t="shared" si="22"/>
        <v>97906.9</v>
      </c>
      <c r="U47" s="163">
        <f t="shared" si="22"/>
        <v>98027.9</v>
      </c>
      <c r="V47" s="163">
        <f t="shared" si="22"/>
        <v>98088.9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</row>
    <row r="48" spans="2:76" x14ac:dyDescent="0.3">
      <c r="B48" s="752"/>
      <c r="C48" s="18" t="s">
        <v>11</v>
      </c>
      <c r="D48" s="163">
        <f>D9+Agosto23!AF45</f>
        <v>18955.5</v>
      </c>
      <c r="E48" s="164">
        <f t="shared" si="17"/>
        <v>19050.5</v>
      </c>
      <c r="F48" s="164">
        <f t="shared" si="17"/>
        <v>19152.5</v>
      </c>
      <c r="G48" s="165">
        <v>18957</v>
      </c>
      <c r="H48" s="166">
        <v>18998</v>
      </c>
      <c r="I48" s="163">
        <f t="shared" si="18"/>
        <v>19059.5</v>
      </c>
      <c r="J48" s="163">
        <f t="shared" ref="J48:V48" si="23">I48+J9</f>
        <v>19112.2</v>
      </c>
      <c r="K48" s="163">
        <f t="shared" si="23"/>
        <v>19160.2</v>
      </c>
      <c r="L48" s="163">
        <f t="shared" si="23"/>
        <v>19222.5</v>
      </c>
      <c r="M48" s="163">
        <f t="shared" si="23"/>
        <v>19281.2</v>
      </c>
      <c r="N48" s="163">
        <f t="shared" si="23"/>
        <v>19341.900000000001</v>
      </c>
      <c r="O48" s="163">
        <f t="shared" si="23"/>
        <v>19401</v>
      </c>
      <c r="P48" s="163">
        <f t="shared" si="23"/>
        <v>19459</v>
      </c>
      <c r="Q48" s="163">
        <f t="shared" si="23"/>
        <v>19517.599999999999</v>
      </c>
      <c r="R48" s="163">
        <f t="shared" si="23"/>
        <v>19575.899999999998</v>
      </c>
      <c r="S48" s="163">
        <f t="shared" si="23"/>
        <v>19633.599999999999</v>
      </c>
      <c r="T48" s="163">
        <f t="shared" si="23"/>
        <v>19686.199999999997</v>
      </c>
      <c r="U48" s="163">
        <f t="shared" si="23"/>
        <v>19741.999999999996</v>
      </c>
      <c r="V48" s="163">
        <f t="shared" si="23"/>
        <v>19774.599999999995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</row>
    <row r="49" spans="2:39" x14ac:dyDescent="0.3">
      <c r="B49" s="752"/>
      <c r="C49" s="18" t="s">
        <v>12</v>
      </c>
      <c r="D49" s="163">
        <f>D10+Agosto23!AF46</f>
        <v>58260.7</v>
      </c>
      <c r="E49" s="164">
        <f t="shared" si="17"/>
        <v>58316.7</v>
      </c>
      <c r="F49" s="164">
        <f t="shared" si="17"/>
        <v>58390.7</v>
      </c>
      <c r="G49" s="165">
        <v>58550</v>
      </c>
      <c r="H49" s="166">
        <v>58640</v>
      </c>
      <c r="I49" s="163">
        <f t="shared" si="18"/>
        <v>58764.3</v>
      </c>
      <c r="J49" s="163">
        <f t="shared" ref="J49:V49" si="24">I49+J10</f>
        <v>58867.200000000004</v>
      </c>
      <c r="K49" s="163">
        <f t="shared" si="24"/>
        <v>58962.3</v>
      </c>
      <c r="L49" s="163">
        <f t="shared" si="24"/>
        <v>59092.5</v>
      </c>
      <c r="M49" s="163">
        <f t="shared" si="24"/>
        <v>59217.4</v>
      </c>
      <c r="N49" s="163">
        <f t="shared" si="24"/>
        <v>59344.200000000004</v>
      </c>
      <c r="O49" s="163">
        <f t="shared" si="24"/>
        <v>59469.200000000004</v>
      </c>
      <c r="P49" s="163">
        <f t="shared" si="24"/>
        <v>59591.500000000007</v>
      </c>
      <c r="Q49" s="163">
        <f t="shared" si="24"/>
        <v>59714.900000000009</v>
      </c>
      <c r="R49" s="163">
        <f t="shared" si="24"/>
        <v>59837.200000000012</v>
      </c>
      <c r="S49" s="163">
        <f t="shared" si="24"/>
        <v>59959.700000000012</v>
      </c>
      <c r="T49" s="163">
        <f t="shared" si="24"/>
        <v>60072.000000000015</v>
      </c>
      <c r="U49" s="163">
        <f t="shared" si="24"/>
        <v>60188.500000000015</v>
      </c>
      <c r="V49" s="163">
        <f t="shared" si="24"/>
        <v>60255.900000000016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</row>
    <row r="50" spans="2:39" x14ac:dyDescent="0.3">
      <c r="B50" s="752"/>
      <c r="C50" s="18" t="s">
        <v>13</v>
      </c>
      <c r="D50" s="163">
        <f>D11+Agosto23!AF47</f>
        <v>230110.7</v>
      </c>
      <c r="E50" s="164">
        <f t="shared" si="17"/>
        <v>230216.90000000002</v>
      </c>
      <c r="F50" s="164">
        <f t="shared" si="17"/>
        <v>230334.60000000003</v>
      </c>
      <c r="G50" s="165">
        <v>231148.9</v>
      </c>
      <c r="H50" s="166">
        <v>231319.5</v>
      </c>
      <c r="I50" s="163">
        <f t="shared" si="18"/>
        <v>231522.4</v>
      </c>
      <c r="J50" s="163">
        <f t="shared" ref="J50:V50" si="25">I50+J11</f>
        <v>231926.69999999998</v>
      </c>
      <c r="K50" s="163">
        <f t="shared" si="25"/>
        <v>232287.69999999998</v>
      </c>
      <c r="L50" s="163">
        <f t="shared" si="25"/>
        <v>232770.3</v>
      </c>
      <c r="M50" s="163">
        <f t="shared" si="25"/>
        <v>233222.19999999998</v>
      </c>
      <c r="N50" s="163">
        <f t="shared" si="25"/>
        <v>233669.59999999998</v>
      </c>
      <c r="O50" s="163">
        <f t="shared" si="25"/>
        <v>234118.3</v>
      </c>
      <c r="P50" s="163">
        <f t="shared" si="25"/>
        <v>234554.4</v>
      </c>
      <c r="Q50" s="163">
        <f t="shared" si="25"/>
        <v>235002</v>
      </c>
      <c r="R50" s="163">
        <f t="shared" si="25"/>
        <v>235433.4</v>
      </c>
      <c r="S50" s="163">
        <f t="shared" si="25"/>
        <v>235854</v>
      </c>
      <c r="T50" s="163">
        <f t="shared" si="25"/>
        <v>236265.5</v>
      </c>
      <c r="U50" s="163">
        <f t="shared" si="25"/>
        <v>236675.4</v>
      </c>
      <c r="V50" s="163">
        <f t="shared" si="25"/>
        <v>236962.4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</row>
    <row r="51" spans="2:39" x14ac:dyDescent="0.3">
      <c r="B51" s="753"/>
      <c r="C51" s="18" t="s">
        <v>14</v>
      </c>
      <c r="D51" s="163">
        <f>D12+Agosto23!AF48</f>
        <v>873.7</v>
      </c>
      <c r="E51" s="164">
        <f t="shared" si="17"/>
        <v>1030.7</v>
      </c>
      <c r="F51" s="164">
        <f t="shared" si="17"/>
        <v>1255.6000000000001</v>
      </c>
      <c r="G51" s="165">
        <v>1440</v>
      </c>
      <c r="H51" s="166">
        <v>1620</v>
      </c>
      <c r="I51" s="163">
        <f t="shared" si="18"/>
        <v>1975.9</v>
      </c>
      <c r="J51" s="163">
        <f t="shared" ref="J51:V51" si="26">I51+J12</f>
        <v>2266.8000000000002</v>
      </c>
      <c r="K51" s="163">
        <f t="shared" si="26"/>
        <v>2527.3000000000002</v>
      </c>
      <c r="L51" s="163">
        <f t="shared" si="26"/>
        <v>2900.2000000000003</v>
      </c>
      <c r="M51" s="163">
        <f t="shared" si="26"/>
        <v>3249.4</v>
      </c>
      <c r="N51" s="163">
        <f t="shared" si="26"/>
        <v>3606.4</v>
      </c>
      <c r="O51" s="163">
        <f t="shared" si="26"/>
        <v>3956.5</v>
      </c>
      <c r="P51" s="163">
        <f t="shared" si="26"/>
        <v>4301.8999999999996</v>
      </c>
      <c r="Q51" s="163">
        <f t="shared" si="26"/>
        <v>4650.8999999999996</v>
      </c>
      <c r="R51" s="163">
        <f t="shared" si="26"/>
        <v>4995.0999999999995</v>
      </c>
      <c r="S51" s="163">
        <f t="shared" si="26"/>
        <v>5330.7</v>
      </c>
      <c r="T51" s="163">
        <f t="shared" si="26"/>
        <v>5648.0999999999995</v>
      </c>
      <c r="U51" s="163">
        <f t="shared" si="26"/>
        <v>5971.4999999999991</v>
      </c>
      <c r="V51" s="163">
        <f t="shared" si="26"/>
        <v>6153.2999999999993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</row>
    <row r="52" spans="2:39" x14ac:dyDescent="0.3">
      <c r="B52" s="751" t="s">
        <v>16</v>
      </c>
      <c r="C52" s="18" t="s">
        <v>17</v>
      </c>
      <c r="D52" s="163">
        <f>D13+Agosto23!AF49</f>
        <v>137191.6</v>
      </c>
      <c r="E52" s="164">
        <f t="shared" si="17"/>
        <v>137447.6</v>
      </c>
      <c r="F52" s="164">
        <f t="shared" si="17"/>
        <v>137800.9</v>
      </c>
      <c r="G52" s="165">
        <v>138545</v>
      </c>
      <c r="H52" s="166">
        <v>138937</v>
      </c>
      <c r="I52" s="163">
        <f t="shared" si="18"/>
        <v>139493.70000000001</v>
      </c>
      <c r="J52" s="163">
        <f t="shared" ref="J52:V52" si="27">I52+J13</f>
        <v>139925.80000000002</v>
      </c>
      <c r="K52" s="163">
        <f t="shared" si="27"/>
        <v>140308.1</v>
      </c>
      <c r="L52" s="163">
        <f t="shared" si="27"/>
        <v>140899.80000000002</v>
      </c>
      <c r="M52" s="163">
        <f t="shared" si="27"/>
        <v>141456.20000000001</v>
      </c>
      <c r="N52" s="163">
        <f t="shared" si="27"/>
        <v>142018.30000000002</v>
      </c>
      <c r="O52" s="163">
        <f t="shared" si="27"/>
        <v>142588.50000000003</v>
      </c>
      <c r="P52" s="163">
        <f t="shared" si="27"/>
        <v>143155.50000000003</v>
      </c>
      <c r="Q52" s="163">
        <f t="shared" si="27"/>
        <v>143726.10000000003</v>
      </c>
      <c r="R52" s="163">
        <f t="shared" si="27"/>
        <v>144288.50000000003</v>
      </c>
      <c r="S52" s="163">
        <f t="shared" si="27"/>
        <v>144850.80000000002</v>
      </c>
      <c r="T52" s="163">
        <f t="shared" si="27"/>
        <v>145379.1</v>
      </c>
      <c r="U52" s="163">
        <f t="shared" si="27"/>
        <v>145931</v>
      </c>
      <c r="V52" s="163">
        <f t="shared" si="27"/>
        <v>146219.6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</row>
    <row r="53" spans="2:39" x14ac:dyDescent="0.3">
      <c r="B53" s="752"/>
      <c r="C53" s="18" t="s">
        <v>18</v>
      </c>
      <c r="D53" s="163">
        <f>D14+Agosto23!AF50</f>
        <v>127745.40000000001</v>
      </c>
      <c r="E53" s="164">
        <f t="shared" si="17"/>
        <v>128088.50000000001</v>
      </c>
      <c r="F53" s="164">
        <f t="shared" si="17"/>
        <v>128462.80000000002</v>
      </c>
      <c r="G53" s="165">
        <v>128878</v>
      </c>
      <c r="H53" s="166">
        <v>129112</v>
      </c>
      <c r="I53" s="163">
        <f t="shared" si="18"/>
        <v>129741.3</v>
      </c>
      <c r="J53" s="163">
        <f t="shared" ref="J53:S53" si="28">I53+J14</f>
        <v>130249.7</v>
      </c>
      <c r="K53" s="163">
        <f t="shared" si="28"/>
        <v>130715.3</v>
      </c>
      <c r="L53" s="163">
        <f t="shared" si="28"/>
        <v>131340.1</v>
      </c>
      <c r="M53" s="163">
        <f t="shared" si="28"/>
        <v>131941.9</v>
      </c>
      <c r="N53" s="163">
        <f t="shared" si="28"/>
        <v>132528.19999999998</v>
      </c>
      <c r="O53" s="163">
        <f>N53+O14</f>
        <v>133134.69999999998</v>
      </c>
      <c r="P53" s="163">
        <f t="shared" si="28"/>
        <v>133728.49999999997</v>
      </c>
      <c r="Q53" s="163">
        <f t="shared" si="28"/>
        <v>134334.89999999997</v>
      </c>
      <c r="R53" s="163">
        <f t="shared" si="28"/>
        <v>134919.19999999995</v>
      </c>
      <c r="S53" s="163">
        <f t="shared" si="28"/>
        <v>135493.59999999995</v>
      </c>
      <c r="T53" s="163" t="e">
        <f>S53+#REF!</f>
        <v>#REF!</v>
      </c>
      <c r="U53" s="163" t="e">
        <f>T53+U14</f>
        <v>#REF!</v>
      </c>
      <c r="V53" s="163" t="e">
        <f t="shared" ref="U53:V66" si="29">U53+V14</f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</row>
    <row r="54" spans="2:39" x14ac:dyDescent="0.3">
      <c r="B54" s="752"/>
      <c r="C54" s="18" t="s">
        <v>19</v>
      </c>
      <c r="D54" s="163">
        <f>D15+Agosto23!AF51</f>
        <v>37843.700000000004</v>
      </c>
      <c r="E54" s="164">
        <f t="shared" si="17"/>
        <v>37938.200000000004</v>
      </c>
      <c r="F54" s="164">
        <f t="shared" si="17"/>
        <v>38047.4</v>
      </c>
      <c r="G54" s="165">
        <v>38160</v>
      </c>
      <c r="H54" s="166">
        <v>38222</v>
      </c>
      <c r="I54" s="163">
        <f t="shared" si="18"/>
        <v>38406.6</v>
      </c>
      <c r="J54" s="163">
        <f t="shared" ref="J54:S54" si="30">I54+J15</f>
        <v>38557.699999999997</v>
      </c>
      <c r="K54" s="163">
        <f t="shared" si="30"/>
        <v>38694.699999999997</v>
      </c>
      <c r="L54" s="163">
        <f t="shared" si="30"/>
        <v>38871.899999999994</v>
      </c>
      <c r="M54" s="163">
        <f t="shared" si="30"/>
        <v>39031.899999999994</v>
      </c>
      <c r="N54" s="163">
        <f t="shared" si="30"/>
        <v>39197.899999999994</v>
      </c>
      <c r="O54" s="163">
        <f>N54+O15</f>
        <v>39363.199999999997</v>
      </c>
      <c r="P54" s="163">
        <f t="shared" si="30"/>
        <v>39525.399999999994</v>
      </c>
      <c r="Q54" s="163">
        <f t="shared" si="30"/>
        <v>39691.099999999991</v>
      </c>
      <c r="R54" s="163">
        <f t="shared" si="30"/>
        <v>39849.899999999994</v>
      </c>
      <c r="S54" s="163">
        <f t="shared" si="30"/>
        <v>40005.499999999993</v>
      </c>
      <c r="T54" s="163">
        <f>S54+T15</f>
        <v>40156.899999999994</v>
      </c>
      <c r="U54" s="163">
        <f>T54+U15</f>
        <v>40308.599999999991</v>
      </c>
      <c r="V54" s="163">
        <f t="shared" si="29"/>
        <v>40414.299999999988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</row>
    <row r="55" spans="2:39" x14ac:dyDescent="0.3">
      <c r="B55" s="753"/>
      <c r="C55" s="18" t="s">
        <v>20</v>
      </c>
      <c r="D55" s="163">
        <f>D16+Agosto23!AF52</f>
        <v>97368.7</v>
      </c>
      <c r="E55" s="164">
        <f t="shared" si="17"/>
        <v>97654.7</v>
      </c>
      <c r="F55" s="164">
        <f t="shared" si="17"/>
        <v>98075.3</v>
      </c>
      <c r="G55" s="165">
        <v>98510</v>
      </c>
      <c r="H55" s="166">
        <v>98809</v>
      </c>
      <c r="I55" s="163">
        <f t="shared" si="18"/>
        <v>99397.1</v>
      </c>
      <c r="J55" s="163">
        <f t="shared" ref="J55:S55" si="31">I55+J16</f>
        <v>99907.8</v>
      </c>
      <c r="K55" s="163">
        <f t="shared" si="31"/>
        <v>100357.6</v>
      </c>
      <c r="L55" s="163">
        <f t="shared" si="31"/>
        <v>100958.90000000001</v>
      </c>
      <c r="M55" s="163">
        <f t="shared" si="31"/>
        <v>101540.6</v>
      </c>
      <c r="N55" s="163">
        <f t="shared" si="31"/>
        <v>102125</v>
      </c>
      <c r="O55" s="163">
        <f t="shared" si="31"/>
        <v>102703.2</v>
      </c>
      <c r="P55" s="163">
        <f t="shared" si="31"/>
        <v>103277</v>
      </c>
      <c r="Q55" s="163">
        <f t="shared" si="31"/>
        <v>103851.1</v>
      </c>
      <c r="R55" s="163">
        <f t="shared" si="31"/>
        <v>104402</v>
      </c>
      <c r="S55" s="163">
        <f t="shared" si="31"/>
        <v>104920.3</v>
      </c>
      <c r="T55" s="163">
        <f>S55+T14</f>
        <v>105478.8</v>
      </c>
      <c r="U55" s="163">
        <f t="shared" si="29"/>
        <v>106007.90000000001</v>
      </c>
      <c r="V55" s="163">
        <f t="shared" si="29"/>
        <v>106346.1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</row>
    <row r="56" spans="2:39" x14ac:dyDescent="0.3">
      <c r="B56" s="754" t="s">
        <v>21</v>
      </c>
      <c r="C56" s="18" t="s">
        <v>22</v>
      </c>
      <c r="D56" s="163">
        <f>D17+Agosto23!AF53</f>
        <v>66053.3</v>
      </c>
      <c r="E56" s="164">
        <f t="shared" si="17"/>
        <v>66376.7</v>
      </c>
      <c r="F56" s="164">
        <f t="shared" si="17"/>
        <v>66801.3</v>
      </c>
      <c r="G56" s="165">
        <v>67299</v>
      </c>
      <c r="H56" s="166">
        <v>67726</v>
      </c>
      <c r="I56" s="163">
        <f t="shared" si="18"/>
        <v>68276.600000000006</v>
      </c>
      <c r="J56" s="163">
        <f t="shared" ref="J56:S56" si="32">I56+J17</f>
        <v>68744.200000000012</v>
      </c>
      <c r="K56" s="163">
        <f t="shared" si="32"/>
        <v>69271.600000000006</v>
      </c>
      <c r="L56" s="163">
        <f t="shared" si="32"/>
        <v>69861.3</v>
      </c>
      <c r="M56" s="163">
        <f t="shared" si="32"/>
        <v>70430.3</v>
      </c>
      <c r="N56" s="163">
        <f t="shared" si="32"/>
        <v>71015.100000000006</v>
      </c>
      <c r="O56" s="163">
        <f t="shared" si="32"/>
        <v>71601.200000000012</v>
      </c>
      <c r="P56" s="163">
        <f t="shared" si="32"/>
        <v>72174.000000000015</v>
      </c>
      <c r="Q56" s="163">
        <f t="shared" si="32"/>
        <v>72752.300000000017</v>
      </c>
      <c r="R56" s="163">
        <f t="shared" si="32"/>
        <v>73316.10000000002</v>
      </c>
      <c r="S56" s="163">
        <f t="shared" si="32"/>
        <v>73887.700000000026</v>
      </c>
      <c r="T56" s="163">
        <f t="shared" ref="T56:T66" si="33">S56+T17</f>
        <v>74417.200000000026</v>
      </c>
      <c r="U56" s="163">
        <f t="shared" si="29"/>
        <v>74968.900000000023</v>
      </c>
      <c r="V56" s="163">
        <f t="shared" si="29"/>
        <v>75121.800000000017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</row>
    <row r="57" spans="2:39" x14ac:dyDescent="0.3">
      <c r="B57" s="754"/>
      <c r="C57" s="18" t="s">
        <v>23</v>
      </c>
      <c r="D57" s="163">
        <f>D18+Agosto23!AF54</f>
        <v>74597.700000000012</v>
      </c>
      <c r="E57" s="164">
        <f t="shared" si="17"/>
        <v>74947.500000000015</v>
      </c>
      <c r="F57" s="164">
        <f t="shared" si="17"/>
        <v>75395.400000000009</v>
      </c>
      <c r="G57" s="165">
        <v>75901</v>
      </c>
      <c r="H57" s="166">
        <v>76333</v>
      </c>
      <c r="I57" s="163">
        <f t="shared" si="18"/>
        <v>76903.600000000006</v>
      </c>
      <c r="J57" s="163">
        <f t="shared" ref="J57:S57" si="34">I57+J18</f>
        <v>77390.700000000012</v>
      </c>
      <c r="K57" s="163">
        <f t="shared" si="34"/>
        <v>77955.600000000006</v>
      </c>
      <c r="L57" s="163">
        <f t="shared" si="34"/>
        <v>78573.5</v>
      </c>
      <c r="M57" s="163">
        <f t="shared" si="34"/>
        <v>79172.7</v>
      </c>
      <c r="N57" s="163">
        <f t="shared" si="34"/>
        <v>79771.7</v>
      </c>
      <c r="O57" s="163">
        <f t="shared" si="34"/>
        <v>80369.399999999994</v>
      </c>
      <c r="P57" s="163">
        <f t="shared" si="34"/>
        <v>80951.299999999988</v>
      </c>
      <c r="Q57" s="163">
        <f t="shared" si="34"/>
        <v>81540.299999999988</v>
      </c>
      <c r="R57" s="163">
        <f t="shared" si="34"/>
        <v>82114.299999999988</v>
      </c>
      <c r="S57" s="163">
        <f t="shared" si="34"/>
        <v>82691.599999999991</v>
      </c>
      <c r="T57" s="163">
        <f t="shared" si="33"/>
        <v>83227.599999999991</v>
      </c>
      <c r="U57" s="163">
        <f t="shared" si="29"/>
        <v>83788.099999999991</v>
      </c>
      <c r="V57" s="163">
        <f t="shared" si="29"/>
        <v>83944.7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</row>
    <row r="58" spans="2:39" x14ac:dyDescent="0.3">
      <c r="B58" s="754"/>
      <c r="C58" s="18" t="s">
        <v>24</v>
      </c>
      <c r="D58" s="163">
        <f>D19+Agosto23!AF55</f>
        <v>136366.90000000002</v>
      </c>
      <c r="E58" s="164">
        <f t="shared" si="17"/>
        <v>136655.30000000002</v>
      </c>
      <c r="F58" s="164">
        <f t="shared" si="17"/>
        <v>137036.70000000001</v>
      </c>
      <c r="G58" s="165">
        <v>137294</v>
      </c>
      <c r="H58" s="166">
        <v>137664</v>
      </c>
      <c r="I58" s="163">
        <f t="shared" si="18"/>
        <v>138167.5</v>
      </c>
      <c r="J58" s="163">
        <f t="shared" ref="J58:K66" si="35">I58+J19</f>
        <v>138534.79999999999</v>
      </c>
      <c r="K58" s="163">
        <f t="shared" si="35"/>
        <v>138991.79999999999</v>
      </c>
      <c r="L58" s="163">
        <f>K58+L21</f>
        <v>139556.4</v>
      </c>
      <c r="M58" s="163">
        <f t="shared" ref="M58:S58" si="36">L58+M19</f>
        <v>140055.1</v>
      </c>
      <c r="N58" s="163">
        <f t="shared" si="36"/>
        <v>140554.6</v>
      </c>
      <c r="O58" s="163">
        <f t="shared" si="36"/>
        <v>141049.80000000002</v>
      </c>
      <c r="P58" s="163">
        <f t="shared" si="36"/>
        <v>141531.90000000002</v>
      </c>
      <c r="Q58" s="163">
        <f t="shared" si="36"/>
        <v>142016.00000000003</v>
      </c>
      <c r="R58" s="163">
        <f t="shared" si="36"/>
        <v>142490.70000000004</v>
      </c>
      <c r="S58" s="163">
        <f t="shared" si="36"/>
        <v>142971.70000000004</v>
      </c>
      <c r="T58" s="163">
        <f t="shared" si="33"/>
        <v>143418.30000000005</v>
      </c>
      <c r="U58" s="163">
        <f t="shared" si="29"/>
        <v>143875.70000000004</v>
      </c>
      <c r="V58" s="163">
        <f t="shared" si="29"/>
        <v>144116.40000000005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</row>
    <row r="59" spans="2:39" x14ac:dyDescent="0.3">
      <c r="B59" s="754"/>
      <c r="C59" s="18" t="s">
        <v>25</v>
      </c>
      <c r="D59" s="163">
        <f>D20+Agosto23!AF56</f>
        <v>174816.8</v>
      </c>
      <c r="E59" s="164">
        <f t="shared" si="17"/>
        <v>175193.19999999998</v>
      </c>
      <c r="F59" s="164">
        <f t="shared" si="17"/>
        <v>175642.4</v>
      </c>
      <c r="G59" s="165">
        <v>176032</v>
      </c>
      <c r="H59" s="166">
        <v>176536</v>
      </c>
      <c r="I59" s="163">
        <f t="shared" si="18"/>
        <v>177153.9</v>
      </c>
      <c r="J59" s="163">
        <f t="shared" si="35"/>
        <v>177570.8</v>
      </c>
      <c r="K59" s="163">
        <f t="shared" si="35"/>
        <v>178127.09999999998</v>
      </c>
      <c r="L59" s="163">
        <f t="shared" ref="L59:R59" si="37">K59+L20</f>
        <v>178772.69999999998</v>
      </c>
      <c r="M59" s="163">
        <f t="shared" si="37"/>
        <v>179399.49999999997</v>
      </c>
      <c r="N59" s="163">
        <f>M59+N21</f>
        <v>179932.59999999998</v>
      </c>
      <c r="O59" s="163" t="e">
        <f>N59+#REF!</f>
        <v>#REF!</v>
      </c>
      <c r="P59" s="163" t="e">
        <f t="shared" si="37"/>
        <v>#REF!</v>
      </c>
      <c r="Q59" s="163" t="e">
        <f t="shared" si="37"/>
        <v>#REF!</v>
      </c>
      <c r="R59" s="163" t="e">
        <f t="shared" si="37"/>
        <v>#REF!</v>
      </c>
      <c r="S59" s="163" t="e">
        <f>R59+S21</f>
        <v>#REF!</v>
      </c>
      <c r="T59" s="163" t="e">
        <f t="shared" si="33"/>
        <v>#REF!</v>
      </c>
      <c r="U59" s="163" t="e">
        <f t="shared" si="29"/>
        <v>#REF!</v>
      </c>
      <c r="V59" s="163" t="e">
        <f t="shared" si="29"/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</row>
    <row r="60" spans="2:39" x14ac:dyDescent="0.3">
      <c r="B60" s="754"/>
      <c r="C60" s="18" t="s">
        <v>26</v>
      </c>
      <c r="D60" s="163">
        <f>D21+Agosto23!AF57</f>
        <v>82573.100000000006</v>
      </c>
      <c r="E60" s="164">
        <f t="shared" si="17"/>
        <v>82875</v>
      </c>
      <c r="F60" s="164">
        <f t="shared" si="17"/>
        <v>83262.100000000006</v>
      </c>
      <c r="G60" s="165">
        <v>83628</v>
      </c>
      <c r="H60" s="166">
        <v>84081</v>
      </c>
      <c r="I60" s="163">
        <f t="shared" si="18"/>
        <v>84627.3</v>
      </c>
      <c r="J60" s="163">
        <f t="shared" si="35"/>
        <v>84994.2</v>
      </c>
      <c r="K60" s="163">
        <f t="shared" si="35"/>
        <v>85455.3</v>
      </c>
      <c r="L60" s="163" t="e">
        <f>K60+#REF!</f>
        <v>#REF!</v>
      </c>
      <c r="M60" s="163" t="e">
        <f t="shared" ref="M60:R66" si="38">L60+M21</f>
        <v>#REF!</v>
      </c>
      <c r="N60" s="163" t="e">
        <f>M60+#REF!</f>
        <v>#REF!</v>
      </c>
      <c r="O60" s="163" t="e">
        <f t="shared" si="38"/>
        <v>#REF!</v>
      </c>
      <c r="P60" s="163" t="e">
        <f t="shared" si="38"/>
        <v>#REF!</v>
      </c>
      <c r="Q60" s="163" t="e">
        <f t="shared" si="38"/>
        <v>#REF!</v>
      </c>
      <c r="R60" s="163" t="e">
        <f t="shared" si="38"/>
        <v>#REF!</v>
      </c>
      <c r="S60" s="163" t="e">
        <f>R60+#REF!</f>
        <v>#REF!</v>
      </c>
      <c r="T60" s="163" t="e">
        <f t="shared" si="33"/>
        <v>#REF!</v>
      </c>
      <c r="U60" s="163" t="e">
        <f t="shared" si="29"/>
        <v>#REF!</v>
      </c>
      <c r="V60" s="163" t="e">
        <f t="shared" si="29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</row>
    <row r="61" spans="2:39" x14ac:dyDescent="0.3">
      <c r="B61" s="754"/>
      <c r="C61" s="18" t="s">
        <v>27</v>
      </c>
      <c r="D61" s="163">
        <f>D22+Agosto23!AF58</f>
        <v>61571.7</v>
      </c>
      <c r="E61" s="164">
        <f t="shared" si="17"/>
        <v>61882.299999999996</v>
      </c>
      <c r="F61" s="164">
        <f t="shared" si="17"/>
        <v>62286.909999999996</v>
      </c>
      <c r="G61" s="165">
        <v>63058</v>
      </c>
      <c r="H61" s="166">
        <v>63281</v>
      </c>
      <c r="I61" s="163">
        <f t="shared" si="18"/>
        <v>63802.06</v>
      </c>
      <c r="J61" s="163">
        <f t="shared" si="35"/>
        <v>64261.259999999995</v>
      </c>
      <c r="K61" s="163">
        <f t="shared" si="35"/>
        <v>64673.84</v>
      </c>
      <c r="L61" s="163">
        <f t="shared" ref="L61:L66" si="39">K61+L22</f>
        <v>65191.979999999996</v>
      </c>
      <c r="M61" s="163">
        <f t="shared" si="38"/>
        <v>65672.78</v>
      </c>
      <c r="N61" s="163">
        <f t="shared" si="38"/>
        <v>66136.55</v>
      </c>
      <c r="O61" s="163">
        <f t="shared" si="38"/>
        <v>66611.150000000009</v>
      </c>
      <c r="P61" s="163">
        <f t="shared" si="38"/>
        <v>67077.94</v>
      </c>
      <c r="Q61" s="163">
        <f t="shared" si="38"/>
        <v>67545.25</v>
      </c>
      <c r="R61" s="163">
        <f t="shared" si="38"/>
        <v>67989.850000000006</v>
      </c>
      <c r="S61" s="163">
        <f t="shared" ref="S61:S66" si="40">R61+S22</f>
        <v>68445.150000000009</v>
      </c>
      <c r="T61" s="163">
        <f t="shared" si="33"/>
        <v>68884.750000000015</v>
      </c>
      <c r="U61" s="163">
        <f t="shared" si="29"/>
        <v>69312.340000000011</v>
      </c>
      <c r="V61" s="163">
        <f t="shared" si="29"/>
        <v>69570.440000000017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</row>
    <row r="62" spans="2:39" x14ac:dyDescent="0.3">
      <c r="B62" s="754"/>
      <c r="C62" s="18" t="s">
        <v>28</v>
      </c>
      <c r="D62" s="163">
        <f>D23+Agosto23!AF59</f>
        <v>87799.37</v>
      </c>
      <c r="E62" s="164">
        <f t="shared" si="17"/>
        <v>88167.97</v>
      </c>
      <c r="F62" s="164">
        <f t="shared" si="17"/>
        <v>88628.57</v>
      </c>
      <c r="G62" s="165">
        <v>87693.64</v>
      </c>
      <c r="H62" s="166">
        <v>87903.16</v>
      </c>
      <c r="I62" s="163">
        <f t="shared" si="18"/>
        <v>88494.260000000009</v>
      </c>
      <c r="J62" s="163">
        <f t="shared" si="35"/>
        <v>89015.860000000015</v>
      </c>
      <c r="K62" s="163">
        <f t="shared" si="35"/>
        <v>89487.760000000009</v>
      </c>
      <c r="L62" s="163">
        <f t="shared" si="39"/>
        <v>90089.96</v>
      </c>
      <c r="M62" s="163">
        <f t="shared" si="38"/>
        <v>90634.060000000012</v>
      </c>
      <c r="N62" s="163">
        <f t="shared" si="38"/>
        <v>91176.560000000012</v>
      </c>
      <c r="O62" s="163">
        <f>N62+O20</f>
        <v>91808.46</v>
      </c>
      <c r="P62" s="163">
        <f t="shared" si="38"/>
        <v>92362.96</v>
      </c>
      <c r="Q62" s="163">
        <f t="shared" si="38"/>
        <v>92920.560000000012</v>
      </c>
      <c r="R62" s="163">
        <f t="shared" si="38"/>
        <v>93450.760000000009</v>
      </c>
      <c r="S62" s="163">
        <f t="shared" si="40"/>
        <v>93986.96</v>
      </c>
      <c r="T62" s="163">
        <f t="shared" si="33"/>
        <v>94509.260000000009</v>
      </c>
      <c r="U62" s="163">
        <f t="shared" si="29"/>
        <v>95018.96</v>
      </c>
      <c r="V62" s="163">
        <f t="shared" si="29"/>
        <v>95323.16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</row>
    <row r="63" spans="2:39" x14ac:dyDescent="0.3">
      <c r="B63" s="754"/>
      <c r="C63" s="18" t="s">
        <v>29</v>
      </c>
      <c r="D63" s="163">
        <f>D24+Agosto23!AF60</f>
        <v>130028.9</v>
      </c>
      <c r="E63" s="164">
        <f t="shared" si="17"/>
        <v>131038.09999999999</v>
      </c>
      <c r="F63" s="164">
        <f t="shared" si="17"/>
        <v>132358.09999999998</v>
      </c>
      <c r="G63" s="165">
        <v>130195</v>
      </c>
      <c r="H63" s="166">
        <v>130451</v>
      </c>
      <c r="I63" s="163">
        <f t="shared" si="18"/>
        <v>132122.6</v>
      </c>
      <c r="J63" s="163">
        <f t="shared" si="35"/>
        <v>133611.9</v>
      </c>
      <c r="K63" s="163">
        <f t="shared" si="35"/>
        <v>134928.6</v>
      </c>
      <c r="L63" s="163">
        <f t="shared" si="39"/>
        <v>136607</v>
      </c>
      <c r="M63" s="163">
        <f t="shared" si="38"/>
        <v>138171.70000000001</v>
      </c>
      <c r="N63" s="163">
        <f t="shared" si="38"/>
        <v>139672.90000000002</v>
      </c>
      <c r="O63" s="163">
        <f t="shared" si="38"/>
        <v>141212.90000000002</v>
      </c>
      <c r="P63" s="163">
        <f t="shared" si="38"/>
        <v>142735.70000000001</v>
      </c>
      <c r="Q63" s="163">
        <f t="shared" si="38"/>
        <v>144268.6</v>
      </c>
      <c r="R63" s="163">
        <f t="shared" si="38"/>
        <v>145728.6</v>
      </c>
      <c r="S63" s="163">
        <f t="shared" si="40"/>
        <v>147208.6</v>
      </c>
      <c r="T63" s="163">
        <f t="shared" si="33"/>
        <v>148638.6</v>
      </c>
      <c r="U63" s="163">
        <f t="shared" si="29"/>
        <v>150035.80000000002</v>
      </c>
      <c r="V63" s="163">
        <f t="shared" si="29"/>
        <v>150869.00000000003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</row>
    <row r="64" spans="2:39" x14ac:dyDescent="0.3">
      <c r="B64" s="754"/>
      <c r="C64" s="18" t="s">
        <v>30</v>
      </c>
      <c r="D64" s="163">
        <f>D25+Agosto23!AF61</f>
        <v>14441.1</v>
      </c>
      <c r="E64" s="164">
        <f t="shared" si="17"/>
        <v>14683.4</v>
      </c>
      <c r="F64" s="164">
        <f t="shared" si="17"/>
        <v>15163</v>
      </c>
      <c r="G64" s="165">
        <v>18667</v>
      </c>
      <c r="H64" s="166">
        <v>19364</v>
      </c>
      <c r="I64" s="163">
        <f t="shared" si="18"/>
        <v>19877.2</v>
      </c>
      <c r="J64" s="163">
        <f t="shared" si="35"/>
        <v>20359.5</v>
      </c>
      <c r="K64" s="163">
        <f t="shared" si="35"/>
        <v>20970.8</v>
      </c>
      <c r="L64" s="163">
        <f t="shared" si="39"/>
        <v>21569.7</v>
      </c>
      <c r="M64" s="163">
        <f t="shared" si="38"/>
        <v>22123.9</v>
      </c>
      <c r="N64" s="163">
        <f t="shared" si="38"/>
        <v>22674.300000000003</v>
      </c>
      <c r="O64" s="163">
        <f t="shared" si="38"/>
        <v>23205.300000000003</v>
      </c>
      <c r="P64" s="163">
        <f t="shared" si="38"/>
        <v>23771.600000000002</v>
      </c>
      <c r="Q64" s="163">
        <f t="shared" si="38"/>
        <v>24309.300000000003</v>
      </c>
      <c r="R64" s="163">
        <f t="shared" si="38"/>
        <v>24756.200000000004</v>
      </c>
      <c r="S64" s="163">
        <f t="shared" si="40"/>
        <v>25270.300000000003</v>
      </c>
      <c r="T64" s="163">
        <f t="shared" si="33"/>
        <v>25786.100000000002</v>
      </c>
      <c r="U64" s="163">
        <f t="shared" si="29"/>
        <v>26338.7</v>
      </c>
      <c r="V64" s="163">
        <f t="shared" si="29"/>
        <v>26372.100000000002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</row>
    <row r="65" spans="2:39" x14ac:dyDescent="0.3">
      <c r="B65" s="754"/>
      <c r="C65" s="18" t="s">
        <v>111</v>
      </c>
      <c r="D65" s="163">
        <f>D26+Agosto23!AF62</f>
        <v>45264.1</v>
      </c>
      <c r="E65" s="164">
        <f t="shared" si="17"/>
        <v>45594.2</v>
      </c>
      <c r="F65" s="164">
        <f t="shared" si="17"/>
        <v>46094</v>
      </c>
      <c r="G65" s="165">
        <v>46772</v>
      </c>
      <c r="H65" s="166">
        <v>47086</v>
      </c>
      <c r="I65" s="163">
        <f t="shared" si="18"/>
        <v>47655.3</v>
      </c>
      <c r="J65" s="163">
        <f t="shared" si="35"/>
        <v>48200.4</v>
      </c>
      <c r="K65" s="163">
        <f t="shared" si="35"/>
        <v>48710.8</v>
      </c>
      <c r="L65" s="163">
        <f t="shared" si="39"/>
        <v>49279.5</v>
      </c>
      <c r="M65" s="163">
        <f t="shared" si="38"/>
        <v>49845.1</v>
      </c>
      <c r="N65" s="163">
        <f t="shared" si="38"/>
        <v>50407.5</v>
      </c>
      <c r="O65" s="163">
        <f t="shared" si="38"/>
        <v>50932.1</v>
      </c>
      <c r="P65" s="163">
        <f t="shared" si="38"/>
        <v>51472.299999999996</v>
      </c>
      <c r="Q65" s="163">
        <f t="shared" si="38"/>
        <v>51963.1</v>
      </c>
      <c r="R65" s="163">
        <f t="shared" si="38"/>
        <v>52450.9</v>
      </c>
      <c r="S65" s="163">
        <f t="shared" si="40"/>
        <v>52938.700000000004</v>
      </c>
      <c r="T65" s="163">
        <f t="shared" si="33"/>
        <v>53407.057142857149</v>
      </c>
      <c r="U65" s="163">
        <f t="shared" si="29"/>
        <v>53568.814285714296</v>
      </c>
      <c r="V65" s="163">
        <f t="shared" si="29"/>
        <v>53568.814285714296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</row>
    <row r="66" spans="2:39" ht="15" thickBot="1" x14ac:dyDescent="0.35">
      <c r="B66" s="754"/>
      <c r="C66" s="18" t="s">
        <v>32</v>
      </c>
      <c r="D66" s="163">
        <f>D27+Agosto23!AF63</f>
        <v>9327.3000000000011</v>
      </c>
      <c r="E66" s="164">
        <f t="shared" si="17"/>
        <v>9647.3000000000011</v>
      </c>
      <c r="F66" s="164">
        <f t="shared" si="17"/>
        <v>10195.800000000001</v>
      </c>
      <c r="G66" s="165">
        <v>10779</v>
      </c>
      <c r="H66" s="166">
        <v>10940</v>
      </c>
      <c r="I66" s="163">
        <f t="shared" si="18"/>
        <v>11457.6</v>
      </c>
      <c r="J66" s="163">
        <f t="shared" si="35"/>
        <v>11972.300000000001</v>
      </c>
      <c r="K66" s="163">
        <f t="shared" si="35"/>
        <v>12579.900000000001</v>
      </c>
      <c r="L66" s="163">
        <f t="shared" si="39"/>
        <v>13168.300000000001</v>
      </c>
      <c r="M66" s="163">
        <f t="shared" si="38"/>
        <v>13697.900000000001</v>
      </c>
      <c r="N66" s="163">
        <f t="shared" si="38"/>
        <v>14270.400000000001</v>
      </c>
      <c r="O66" s="163">
        <f t="shared" si="38"/>
        <v>14846.7</v>
      </c>
      <c r="P66" s="163">
        <f t="shared" si="38"/>
        <v>15413</v>
      </c>
      <c r="Q66" s="163">
        <f t="shared" si="38"/>
        <v>15919.6</v>
      </c>
      <c r="R66" s="163">
        <f t="shared" si="38"/>
        <v>16366.5</v>
      </c>
      <c r="S66" s="163">
        <f t="shared" si="40"/>
        <v>16875.900000000001</v>
      </c>
      <c r="T66" s="163">
        <f t="shared" si="33"/>
        <v>17404.800000000003</v>
      </c>
      <c r="U66" s="163">
        <f t="shared" si="29"/>
        <v>17890.900000000001</v>
      </c>
      <c r="V66" s="163">
        <f t="shared" si="29"/>
        <v>18073.7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</row>
    <row r="67" spans="2:39" x14ac:dyDescent="0.3">
      <c r="B67" s="754"/>
      <c r="C67" s="18" t="s">
        <v>112</v>
      </c>
      <c r="D67" s="163">
        <f>D29+Agosto23!AF64</f>
        <v>18781.399999999998</v>
      </c>
      <c r="E67" s="164">
        <f>D67+E29</f>
        <v>19105.8</v>
      </c>
      <c r="F67" s="164">
        <f>E67+F29</f>
        <v>19677</v>
      </c>
      <c r="G67" s="165">
        <v>20520.400000000001</v>
      </c>
      <c r="H67" s="166">
        <v>20739</v>
      </c>
      <c r="I67" s="163">
        <f t="shared" ref="I67:V67" si="41">H67+I29</f>
        <v>21266.6</v>
      </c>
      <c r="J67" s="163">
        <f t="shared" si="41"/>
        <v>21757.699999999997</v>
      </c>
      <c r="K67" s="163">
        <f t="shared" si="41"/>
        <v>22353.699999999997</v>
      </c>
      <c r="L67" s="163">
        <f t="shared" si="41"/>
        <v>22957.799999999996</v>
      </c>
      <c r="M67" s="163">
        <f t="shared" si="41"/>
        <v>23478.199999999997</v>
      </c>
      <c r="N67" s="163">
        <f t="shared" si="41"/>
        <v>24065.799999999996</v>
      </c>
      <c r="O67" s="163">
        <f t="shared" si="41"/>
        <v>24658.499999999996</v>
      </c>
      <c r="P67" s="163">
        <f t="shared" si="41"/>
        <v>25238.399999999998</v>
      </c>
      <c r="Q67" s="163">
        <f t="shared" si="41"/>
        <v>25748.399999999998</v>
      </c>
      <c r="R67" s="163">
        <f t="shared" si="41"/>
        <v>26223.399999999998</v>
      </c>
      <c r="S67" s="163">
        <f t="shared" si="41"/>
        <v>26749.699999999997</v>
      </c>
      <c r="T67" s="163">
        <f t="shared" si="41"/>
        <v>27288.1</v>
      </c>
      <c r="U67" s="163">
        <f t="shared" si="41"/>
        <v>27799.699999999997</v>
      </c>
      <c r="V67" s="163">
        <f t="shared" si="41"/>
        <v>27983.1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9" x14ac:dyDescent="0.3">
      <c r="B68" s="756" t="s">
        <v>196</v>
      </c>
      <c r="C68" s="756"/>
      <c r="D68" s="756"/>
      <c r="E68" s="756"/>
    </row>
    <row r="69" spans="2:39" x14ac:dyDescent="0.3">
      <c r="B69" s="757" t="s">
        <v>132</v>
      </c>
      <c r="C69" s="757"/>
      <c r="D69" s="757"/>
      <c r="E69" s="757"/>
    </row>
  </sheetData>
  <mergeCells count="14">
    <mergeCell ref="B69:E69"/>
    <mergeCell ref="B30:B31"/>
    <mergeCell ref="AE35:AG35"/>
    <mergeCell ref="AE36:AG36"/>
    <mergeCell ref="B44:B51"/>
    <mergeCell ref="B52:B55"/>
    <mergeCell ref="B56:B67"/>
    <mergeCell ref="B68:E68"/>
    <mergeCell ref="AE34:AG34"/>
    <mergeCell ref="B4:C4"/>
    <mergeCell ref="B5:B12"/>
    <mergeCell ref="B13:B16"/>
    <mergeCell ref="B17:B29"/>
    <mergeCell ref="B32:C32"/>
  </mergeCells>
  <conditionalFormatting sqref="AL5:BO31">
    <cfRule type="cellIs" dxfId="157" priority="2" operator="equal">
      <formula>"VAZIO"</formula>
    </cfRule>
  </conditionalFormatting>
  <conditionalFormatting sqref="AL5:BP31">
    <cfRule type="expression" dxfId="156" priority="6">
      <formula>AL5&gt;$BQ5</formula>
    </cfRule>
    <cfRule type="expression" dxfId="155" priority="7">
      <formula>AL5&lt;($BQ5-0.01)</formula>
    </cfRule>
  </conditionalFormatting>
  <conditionalFormatting sqref="AM8:BO8 BJ9 AM16:BO16 AM24:BO25">
    <cfRule type="cellIs" dxfId="154" priority="3" operator="equal">
      <formula>"""VAZIO"""</formula>
    </cfRule>
  </conditionalFormatting>
  <conditionalFormatting sqref="AP5:BO31">
    <cfRule type="expression" dxfId="153" priority="1">
      <formula>AP5=0</formula>
    </cfRule>
  </conditionalFormatting>
  <conditionalFormatting sqref="BT5:BT31">
    <cfRule type="cellIs" dxfId="152" priority="4" operator="greaterThan">
      <formula>0</formula>
    </cfRule>
    <cfRule type="cellIs" dxfId="151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A1DFD-B286-4EAB-8E05-680FE0971C69}">
  <dimension ref="B3:BX69"/>
  <sheetViews>
    <sheetView zoomScale="85" zoomScaleNormal="8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40" sqref="D40:L41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23" width="16.44140625" customWidth="1"/>
    <col min="24" max="24" width="17.109375" customWidth="1"/>
    <col min="25" max="25" width="17.5546875" customWidth="1"/>
    <col min="26" max="26" width="16.44140625" customWidth="1"/>
    <col min="27" max="27" width="18.109375" customWidth="1"/>
    <col min="28" max="28" width="17.33203125" customWidth="1"/>
    <col min="29" max="29" width="18.88671875" customWidth="1"/>
    <col min="30" max="31" width="18.33203125" customWidth="1"/>
    <col min="32" max="32" width="17.6640625" customWidth="1"/>
    <col min="33" max="34" width="17.8867187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hidden="1" customWidth="1"/>
    <col min="70" max="71" width="9.109375" hidden="1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292</v>
      </c>
      <c r="E4" s="344" t="s">
        <v>293</v>
      </c>
      <c r="F4" s="344" t="s">
        <v>294</v>
      </c>
      <c r="G4" s="344" t="s">
        <v>295</v>
      </c>
      <c r="H4" s="344" t="s">
        <v>296</v>
      </c>
      <c r="I4" s="344" t="s">
        <v>297</v>
      </c>
      <c r="J4" s="344" t="s">
        <v>298</v>
      </c>
      <c r="K4" s="344" t="s">
        <v>299</v>
      </c>
      <c r="L4" s="344" t="s">
        <v>300</v>
      </c>
      <c r="M4" s="344" t="s">
        <v>301</v>
      </c>
      <c r="N4" s="344" t="s">
        <v>302</v>
      </c>
      <c r="O4" s="344" t="s">
        <v>303</v>
      </c>
      <c r="P4" s="344" t="s">
        <v>304</v>
      </c>
      <c r="Q4" s="344" t="s">
        <v>305</v>
      </c>
      <c r="R4" s="344" t="s">
        <v>306</v>
      </c>
      <c r="S4" s="344" t="s">
        <v>307</v>
      </c>
      <c r="T4" s="344" t="s">
        <v>308</v>
      </c>
      <c r="U4" s="344" t="s">
        <v>309</v>
      </c>
      <c r="V4" s="344" t="s">
        <v>310</v>
      </c>
      <c r="W4" s="344" t="s">
        <v>311</v>
      </c>
      <c r="X4" s="344" t="s">
        <v>312</v>
      </c>
      <c r="Y4" s="344" t="s">
        <v>313</v>
      </c>
      <c r="Z4" s="344" t="s">
        <v>314</v>
      </c>
      <c r="AA4" s="344" t="s">
        <v>315</v>
      </c>
      <c r="AB4" s="344" t="s">
        <v>316</v>
      </c>
      <c r="AC4" s="344" t="s">
        <v>317</v>
      </c>
      <c r="AD4" s="344" t="s">
        <v>318</v>
      </c>
      <c r="AE4" s="344" t="s">
        <v>319</v>
      </c>
      <c r="AF4" s="344" t="s">
        <v>320</v>
      </c>
      <c r="AG4" s="345" t="s">
        <v>321</v>
      </c>
      <c r="AH4" s="345" t="s">
        <v>322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53.2</v>
      </c>
      <c r="E5" s="103">
        <v>48.2</v>
      </c>
      <c r="F5" s="103">
        <v>63.1</v>
      </c>
      <c r="G5" s="103">
        <v>48.3</v>
      </c>
      <c r="H5" s="103">
        <v>56</v>
      </c>
      <c r="I5" s="331">
        <v>61.8</v>
      </c>
      <c r="J5" s="103">
        <v>67.3</v>
      </c>
      <c r="K5" s="103">
        <v>45.4</v>
      </c>
      <c r="L5" s="357">
        <v>37.9</v>
      </c>
      <c r="M5" s="103">
        <v>30</v>
      </c>
      <c r="N5" s="282">
        <v>6.1</v>
      </c>
      <c r="O5" s="103">
        <v>50.9</v>
      </c>
      <c r="P5" s="103">
        <v>47.2</v>
      </c>
      <c r="Q5" s="331">
        <v>56.2</v>
      </c>
      <c r="R5" s="103">
        <v>65.5</v>
      </c>
      <c r="S5" s="103">
        <v>61.4</v>
      </c>
      <c r="T5" s="103">
        <v>50</v>
      </c>
      <c r="U5" s="103">
        <v>61.5</v>
      </c>
      <c r="V5" s="103">
        <v>59.6</v>
      </c>
      <c r="W5" s="331">
        <v>56.6</v>
      </c>
      <c r="X5" s="103">
        <v>52.5</v>
      </c>
      <c r="Y5" s="103">
        <v>49.4</v>
      </c>
      <c r="Z5" s="104">
        <v>37.1</v>
      </c>
      <c r="AA5" s="332">
        <v>58.5</v>
      </c>
      <c r="AB5" s="365">
        <v>41.9</v>
      </c>
      <c r="AC5" s="368">
        <v>44.7</v>
      </c>
      <c r="AD5" s="368">
        <v>26</v>
      </c>
      <c r="AE5" s="104">
        <v>56.6</v>
      </c>
      <c r="AF5" s="104">
        <v>51.7</v>
      </c>
      <c r="AG5" s="104">
        <v>50.7</v>
      </c>
      <c r="AH5" s="372">
        <v>17.600000000000001</v>
      </c>
      <c r="AI5" s="335">
        <f>SUM(D5:AH5)</f>
        <v>1512.9</v>
      </c>
      <c r="AJ5" s="160">
        <v>12</v>
      </c>
      <c r="AK5" s="336">
        <f t="shared" ref="AK5:AK11" si="0">F5/(AJ5*432)</f>
        <v>1.2172067901234568E-2</v>
      </c>
      <c r="AL5" s="337">
        <f t="shared" ref="AL5:BA20" si="1">IF(OR(D5="",D5="Sem monitoramento"),"VAZIO",IFERROR(D5/($AJ5*24),"-"))</f>
        <v>0.18472222222222223</v>
      </c>
      <c r="AM5" s="338">
        <f t="shared" si="1"/>
        <v>0.16736111111111113</v>
      </c>
      <c r="AN5" s="338">
        <f t="shared" si="1"/>
        <v>0.21909722222222222</v>
      </c>
      <c r="AO5" s="338">
        <f t="shared" si="1"/>
        <v>0.16770833333333332</v>
      </c>
      <c r="AP5" s="338">
        <f t="shared" si="1"/>
        <v>0.19444444444444445</v>
      </c>
      <c r="AQ5" s="338">
        <f t="shared" si="1"/>
        <v>0.21458333333333332</v>
      </c>
      <c r="AR5" s="338">
        <f t="shared" si="1"/>
        <v>0.23368055555555556</v>
      </c>
      <c r="AS5" s="338">
        <f t="shared" si="1"/>
        <v>0.15763888888888888</v>
      </c>
      <c r="AT5" s="338">
        <f t="shared" si="1"/>
        <v>0.13159722222222223</v>
      </c>
      <c r="AU5" s="338">
        <f t="shared" si="1"/>
        <v>0.10416666666666667</v>
      </c>
      <c r="AV5" s="338">
        <f t="shared" si="1"/>
        <v>2.1180555555555553E-2</v>
      </c>
      <c r="AW5" s="338">
        <f t="shared" si="1"/>
        <v>0.17673611111111109</v>
      </c>
      <c r="AX5" s="338">
        <f t="shared" si="1"/>
        <v>0.16388888888888889</v>
      </c>
      <c r="AY5" s="338">
        <f t="shared" si="1"/>
        <v>0.19513888888888889</v>
      </c>
      <c r="AZ5" s="338">
        <f t="shared" si="1"/>
        <v>0.22743055555555555</v>
      </c>
      <c r="BA5" s="338">
        <f t="shared" si="1"/>
        <v>0.21319444444444444</v>
      </c>
      <c r="BB5" s="338">
        <f t="shared" ref="BB5:BO20" si="2">IF(OR(T5="",T5="Sem monitoramento"),"VAZIO",IFERROR(T5/($AJ5*24),"-"))</f>
        <v>0.1736111111111111</v>
      </c>
      <c r="BC5" s="338">
        <f t="shared" si="2"/>
        <v>0.21354166666666666</v>
      </c>
      <c r="BD5" s="338">
        <f t="shared" si="2"/>
        <v>0.20694444444444446</v>
      </c>
      <c r="BE5" s="338">
        <f t="shared" si="2"/>
        <v>0.19652777777777777</v>
      </c>
      <c r="BF5" s="338">
        <f t="shared" si="2"/>
        <v>0.18229166666666666</v>
      </c>
      <c r="BG5" s="338">
        <f t="shared" si="2"/>
        <v>0.17152777777777778</v>
      </c>
      <c r="BH5" s="338">
        <f t="shared" si="2"/>
        <v>0.12881944444444446</v>
      </c>
      <c r="BI5" s="338">
        <f t="shared" si="2"/>
        <v>0.203125</v>
      </c>
      <c r="BJ5" s="338">
        <f t="shared" si="2"/>
        <v>0.14548611111111109</v>
      </c>
      <c r="BK5" s="338" t="e">
        <f>IF(OR(#REF!="",#REF!="Sem monitoramento"),"VAZIO",IFERROR(#REF!/($AJ5*24),"-"))</f>
        <v>#REF!</v>
      </c>
      <c r="BL5" s="338">
        <f t="shared" si="2"/>
        <v>9.0277777777777776E-2</v>
      </c>
      <c r="BM5" s="338">
        <f t="shared" si="2"/>
        <v>0.19652777777777777</v>
      </c>
      <c r="BN5" s="338">
        <f t="shared" si="2"/>
        <v>0.17951388888888889</v>
      </c>
      <c r="BO5" s="338">
        <f t="shared" si="2"/>
        <v>0.17604166666666668</v>
      </c>
      <c r="BP5" s="339">
        <f t="shared" ref="BP5:BP31" si="3">AI5/(AJ5*(COUNTA(D5:AG5)*24))</f>
        <v>0.17510416666666667</v>
      </c>
      <c r="BQ5" s="180">
        <f>'FCs estimados em PVsyst'!Y3</f>
        <v>0.1804398148148148</v>
      </c>
      <c r="BR5" s="340">
        <f t="shared" ref="BR5:BR11" si="4">AJ5*BQ5</f>
        <v>2.1652777777777779</v>
      </c>
      <c r="BS5" s="341">
        <f t="shared" ref="BS5:BS11" si="5">AN5-BQ5</f>
        <v>3.8657407407407418E-2</v>
      </c>
      <c r="BT5" s="342">
        <f t="shared" ref="BT5:BT29" si="6">BP5-BQ5</f>
        <v>-5.335648148148131E-3</v>
      </c>
      <c r="BU5" s="15" t="s">
        <v>7</v>
      </c>
      <c r="BV5" s="75" t="s">
        <v>107</v>
      </c>
      <c r="BW5" s="7">
        <f>COUNTIF(BT5:BT29,"&gt;0")</f>
        <v>15</v>
      </c>
      <c r="BX5" s="2"/>
    </row>
    <row r="6" spans="2:76" x14ac:dyDescent="0.3">
      <c r="B6" s="771"/>
      <c r="C6" s="325" t="s">
        <v>8</v>
      </c>
      <c r="D6" s="62">
        <f>55.6+229.7</f>
        <v>285.3</v>
      </c>
      <c r="E6" s="63">
        <f>201.7+48</f>
        <v>249.7</v>
      </c>
      <c r="F6" s="63">
        <f>69.2+285.8</f>
        <v>355</v>
      </c>
      <c r="G6" s="63">
        <f>57.1+226</f>
        <v>283.10000000000002</v>
      </c>
      <c r="H6" s="63">
        <f>237.8+58</f>
        <v>295.8</v>
      </c>
      <c r="I6" s="283">
        <f>282.8+67.7</f>
        <v>350.5</v>
      </c>
      <c r="J6" s="63">
        <f>70.7+304.7</f>
        <v>375.4</v>
      </c>
      <c r="K6" s="230">
        <f>53.6+221.4</f>
        <v>275</v>
      </c>
      <c r="L6" s="230">
        <f>152.6+35.9</f>
        <v>188.5</v>
      </c>
      <c r="M6" s="63">
        <f>138.1+32.5</f>
        <v>170.6</v>
      </c>
      <c r="N6" s="282">
        <v>90</v>
      </c>
      <c r="O6" s="63">
        <f>51.3+220.2</f>
        <v>271.5</v>
      </c>
      <c r="P6" s="63">
        <f>198+47.7</f>
        <v>245.7</v>
      </c>
      <c r="Q6" s="283">
        <f>56.3+223.2</f>
        <v>279.5</v>
      </c>
      <c r="R6" s="63">
        <f>64.1+262</f>
        <v>326.10000000000002</v>
      </c>
      <c r="S6" s="63">
        <f>54.8+219</f>
        <v>273.8</v>
      </c>
      <c r="T6" s="63">
        <f>203.4+48.7</f>
        <v>252.10000000000002</v>
      </c>
      <c r="U6" s="63">
        <f>62.8+262.3</f>
        <v>325.10000000000002</v>
      </c>
      <c r="V6" s="63">
        <f>66.3+277.1</f>
        <v>343.40000000000003</v>
      </c>
      <c r="W6" s="283">
        <f>64.9+273.6</f>
        <v>338.5</v>
      </c>
      <c r="X6" s="63">
        <f>224.9+54.2</f>
        <v>279.10000000000002</v>
      </c>
      <c r="Y6" s="63">
        <f>55.3+218.3</f>
        <v>273.60000000000002</v>
      </c>
      <c r="Z6" s="15">
        <f>44.8+185.2</f>
        <v>230</v>
      </c>
      <c r="AA6" s="18">
        <f>256+63</f>
        <v>319</v>
      </c>
      <c r="AB6" s="364">
        <f>199.1+49.9</f>
        <v>249</v>
      </c>
      <c r="AC6" s="369">
        <f>50.5+205.6</f>
        <v>256.10000000000002</v>
      </c>
      <c r="AD6" s="212">
        <f>28.2+120</f>
        <v>148.19999999999999</v>
      </c>
      <c r="AE6" s="15">
        <f>261.6+62.1</f>
        <v>323.70000000000005</v>
      </c>
      <c r="AF6" s="15">
        <f>55.8+232.3</f>
        <v>288.10000000000002</v>
      </c>
      <c r="AG6" s="15">
        <f>53.6+230.6</f>
        <v>284.2</v>
      </c>
      <c r="AH6" s="371">
        <f>83.4+18.9</f>
        <v>102.30000000000001</v>
      </c>
      <c r="AI6" s="290">
        <f>SUM(D6:AH6)</f>
        <v>8327.9</v>
      </c>
      <c r="AJ6" s="118">
        <v>67</v>
      </c>
      <c r="AK6" s="121">
        <f t="shared" si="0"/>
        <v>1.226506357103372E-2</v>
      </c>
      <c r="AL6" s="67">
        <f t="shared" si="1"/>
        <v>0.17742537313432838</v>
      </c>
      <c r="AM6" s="68">
        <f t="shared" si="1"/>
        <v>0.1552860696517413</v>
      </c>
      <c r="AN6" s="68">
        <f t="shared" si="1"/>
        <v>0.22077114427860697</v>
      </c>
      <c r="AO6" s="68">
        <f t="shared" si="1"/>
        <v>0.17605721393034826</v>
      </c>
      <c r="AP6" s="68">
        <f t="shared" si="1"/>
        <v>0.18395522388059701</v>
      </c>
      <c r="AQ6" s="68">
        <f t="shared" si="1"/>
        <v>0.21797263681592038</v>
      </c>
      <c r="AR6" s="68">
        <f t="shared" si="1"/>
        <v>0.23345771144278604</v>
      </c>
      <c r="AS6" s="68">
        <f t="shared" si="1"/>
        <v>0.17101990049751245</v>
      </c>
      <c r="AT6" s="68">
        <f t="shared" si="1"/>
        <v>0.11722636815920398</v>
      </c>
      <c r="AU6" s="68">
        <f t="shared" si="1"/>
        <v>0.10609452736318407</v>
      </c>
      <c r="AV6" s="68">
        <f t="shared" si="1"/>
        <v>5.5970149253731345E-2</v>
      </c>
      <c r="AW6" s="68">
        <f t="shared" si="1"/>
        <v>0.16884328358208955</v>
      </c>
      <c r="AX6" s="68">
        <f t="shared" si="1"/>
        <v>0.15279850746268656</v>
      </c>
      <c r="AY6" s="68">
        <f t="shared" si="1"/>
        <v>0.17381840796019901</v>
      </c>
      <c r="AZ6" s="68">
        <f t="shared" si="1"/>
        <v>0.20279850746268657</v>
      </c>
      <c r="BA6" s="68">
        <f t="shared" si="1"/>
        <v>0.17027363184079602</v>
      </c>
      <c r="BB6" s="68">
        <f t="shared" si="2"/>
        <v>0.15677860696517415</v>
      </c>
      <c r="BC6" s="68">
        <f t="shared" si="2"/>
        <v>0.20217661691542291</v>
      </c>
      <c r="BD6" s="68">
        <f t="shared" si="2"/>
        <v>0.21355721393034827</v>
      </c>
      <c r="BE6" s="68">
        <f t="shared" si="2"/>
        <v>0.21050995024875621</v>
      </c>
      <c r="BF6" s="68">
        <f t="shared" si="2"/>
        <v>0.17356965174129355</v>
      </c>
      <c r="BG6" s="68">
        <f t="shared" si="2"/>
        <v>0.17014925373134329</v>
      </c>
      <c r="BH6" s="68">
        <f t="shared" si="2"/>
        <v>0.14303482587064675</v>
      </c>
      <c r="BI6" s="68">
        <f t="shared" si="2"/>
        <v>0.19838308457711443</v>
      </c>
      <c r="BJ6" s="68">
        <f t="shared" si="2"/>
        <v>0.15485074626865672</v>
      </c>
      <c r="BK6" s="68">
        <f>IF(OR(AC5="",AC5="Sem monitoramento"),"VAZIO",IFERROR(AC5/($AJ6*24),"-"))</f>
        <v>2.779850746268657E-2</v>
      </c>
      <c r="BL6" s="68">
        <f t="shared" si="2"/>
        <v>9.2164179104477606E-2</v>
      </c>
      <c r="BM6" s="68">
        <f t="shared" si="2"/>
        <v>0.20130597014925375</v>
      </c>
      <c r="BN6" s="68">
        <f t="shared" si="2"/>
        <v>0.17916666666666667</v>
      </c>
      <c r="BO6" s="68">
        <f t="shared" si="2"/>
        <v>0.17674129353233831</v>
      </c>
      <c r="BP6" s="70">
        <f t="shared" si="3"/>
        <v>0.17263474295190712</v>
      </c>
      <c r="BQ6" s="180">
        <f>'FCs estimados em PVsyst'!Y4</f>
        <v>0.1868988391376451</v>
      </c>
      <c r="BR6" s="72">
        <f t="shared" si="4"/>
        <v>12.522222222222222</v>
      </c>
      <c r="BS6" s="73">
        <f t="shared" si="5"/>
        <v>3.3872305140961873E-2</v>
      </c>
      <c r="BT6" s="74">
        <f t="shared" si="6"/>
        <v>-1.4264096185737984E-2</v>
      </c>
      <c r="BU6" s="15" t="s">
        <v>8</v>
      </c>
      <c r="BV6" s="77" t="s">
        <v>108</v>
      </c>
      <c r="BW6" s="78">
        <f>(COUNTA(BU5:BU29)-BW5-BW7)</f>
        <v>3</v>
      </c>
      <c r="BX6" s="2"/>
    </row>
    <row r="7" spans="2:76" x14ac:dyDescent="0.3">
      <c r="B7" s="771"/>
      <c r="C7" s="326" t="s">
        <v>9</v>
      </c>
      <c r="D7" s="62">
        <v>223.5</v>
      </c>
      <c r="E7" s="63">
        <v>203.7</v>
      </c>
      <c r="F7" s="63">
        <v>258.10000000000002</v>
      </c>
      <c r="G7" s="63">
        <v>188.6</v>
      </c>
      <c r="H7" s="63">
        <v>228.1</v>
      </c>
      <c r="I7" s="283">
        <v>247.8</v>
      </c>
      <c r="J7" s="63">
        <v>281</v>
      </c>
      <c r="K7" s="63">
        <v>178.8</v>
      </c>
      <c r="L7" s="259">
        <v>153</v>
      </c>
      <c r="M7" s="283">
        <v>124</v>
      </c>
      <c r="N7" s="282">
        <v>23.9</v>
      </c>
      <c r="O7" s="360">
        <v>208.5</v>
      </c>
      <c r="P7" s="283">
        <v>192.1</v>
      </c>
      <c r="Q7" s="282">
        <v>72.099999999999994</v>
      </c>
      <c r="R7" s="283">
        <v>274.89999999999998</v>
      </c>
      <c r="S7" s="283">
        <v>242.1</v>
      </c>
      <c r="T7" s="283">
        <v>197</v>
      </c>
      <c r="U7" s="63">
        <v>253.5</v>
      </c>
      <c r="V7" s="283">
        <v>243.9</v>
      </c>
      <c r="W7" s="283">
        <v>222.6</v>
      </c>
      <c r="X7" s="283">
        <v>205.7</v>
      </c>
      <c r="Y7" s="283">
        <v>184.4</v>
      </c>
      <c r="Z7" s="15">
        <v>145.19999999999999</v>
      </c>
      <c r="AA7" s="18">
        <v>230</v>
      </c>
      <c r="AB7" s="363">
        <v>163.19999999999999</v>
      </c>
      <c r="AC7" s="212">
        <v>173.2</v>
      </c>
      <c r="AD7" s="212">
        <v>108.7</v>
      </c>
      <c r="AE7" s="15">
        <v>247.5</v>
      </c>
      <c r="AF7" s="15">
        <v>223.5</v>
      </c>
      <c r="AG7" s="15">
        <v>340.7</v>
      </c>
      <c r="AH7" s="371">
        <v>71.3</v>
      </c>
      <c r="AI7" s="290">
        <f t="shared" ref="AI7:AI31" si="7">SUM(D7:AH7)</f>
        <v>6110.5999999999985</v>
      </c>
      <c r="AJ7" s="118">
        <v>49</v>
      </c>
      <c r="AK7" s="121">
        <f t="shared" si="0"/>
        <v>1.2192932728647016E-2</v>
      </c>
      <c r="AL7" s="67">
        <f t="shared" si="1"/>
        <v>0.19005102040816327</v>
      </c>
      <c r="AM7" s="68">
        <f t="shared" si="1"/>
        <v>0.17321428571428571</v>
      </c>
      <c r="AN7" s="68">
        <f t="shared" si="1"/>
        <v>0.21947278911564627</v>
      </c>
      <c r="AO7" s="68">
        <f t="shared" si="1"/>
        <v>0.16037414965986393</v>
      </c>
      <c r="AP7" s="68">
        <f t="shared" si="1"/>
        <v>0.19396258503401359</v>
      </c>
      <c r="AQ7" s="68">
        <f t="shared" si="1"/>
        <v>0.21071428571428572</v>
      </c>
      <c r="AR7" s="68">
        <f t="shared" si="1"/>
        <v>0.2389455782312925</v>
      </c>
      <c r="AS7" s="68">
        <f t="shared" si="1"/>
        <v>0.15204081632653063</v>
      </c>
      <c r="AT7" s="68">
        <f t="shared" si="1"/>
        <v>0.13010204081632654</v>
      </c>
      <c r="AU7" s="68">
        <f t="shared" si="1"/>
        <v>0.10544217687074831</v>
      </c>
      <c r="AV7" s="68">
        <f t="shared" si="1"/>
        <v>2.032312925170068E-2</v>
      </c>
      <c r="AW7" s="68">
        <f t="shared" si="1"/>
        <v>0.17729591836734693</v>
      </c>
      <c r="AX7" s="68">
        <f t="shared" si="1"/>
        <v>0.16335034013605443</v>
      </c>
      <c r="AY7" s="68">
        <f t="shared" si="1"/>
        <v>6.1309523809523807E-2</v>
      </c>
      <c r="AZ7" s="68">
        <f t="shared" si="1"/>
        <v>0.23375850340136053</v>
      </c>
      <c r="BA7" s="68">
        <f t="shared" si="1"/>
        <v>0.20586734693877551</v>
      </c>
      <c r="BB7" s="68">
        <f t="shared" si="2"/>
        <v>0.16751700680272108</v>
      </c>
      <c r="BC7" s="68" t="e">
        <f>IF(OR(#REF!="",#REF!="Sem monitoramento"),"VAZIO",IFERROR(#REF!/($AJ7*24),"-"))</f>
        <v>#REF!</v>
      </c>
      <c r="BD7" s="68">
        <f t="shared" si="2"/>
        <v>0.20739795918367349</v>
      </c>
      <c r="BE7" s="68">
        <f t="shared" si="2"/>
        <v>0.18928571428571428</v>
      </c>
      <c r="BF7" s="68">
        <f t="shared" si="2"/>
        <v>0.17491496598639455</v>
      </c>
      <c r="BG7" s="68">
        <f t="shared" si="2"/>
        <v>0.15680272108843538</v>
      </c>
      <c r="BH7" s="68">
        <f t="shared" si="2"/>
        <v>0.12346938775510204</v>
      </c>
      <c r="BI7" s="68">
        <f t="shared" si="2"/>
        <v>0.195578231292517</v>
      </c>
      <c r="BJ7" s="68">
        <f t="shared" si="2"/>
        <v>0.13877551020408163</v>
      </c>
      <c r="BK7" s="68" t="e">
        <f>IF(OR(#REF!="",#REF!="Sem monitoramento"),"VAZIO",IFERROR(#REF!/($AJ7*24),"-"))</f>
        <v>#REF!</v>
      </c>
      <c r="BL7" s="68">
        <f t="shared" si="2"/>
        <v>9.2431972789115649E-2</v>
      </c>
      <c r="BM7" s="68">
        <f t="shared" si="2"/>
        <v>0.21045918367346939</v>
      </c>
      <c r="BN7" s="68">
        <f t="shared" si="2"/>
        <v>0.19005102040816327</v>
      </c>
      <c r="BO7" s="68" t="e">
        <f>IF(OR(#REF!="",#REF!="Sem monitoramento"),"VAZIO",IFERROR(#REF!/($AJ7*24),"-"))</f>
        <v>#REF!</v>
      </c>
      <c r="BP7" s="70">
        <f>AI7/(AJ7*(COUNTA(D7:AG7)*24))</f>
        <v>0.17320294784580495</v>
      </c>
      <c r="BQ7" s="180">
        <f>'FCs estimados em PVsyst'!Y5</f>
        <v>0.17987528344671203</v>
      </c>
      <c r="BR7" s="72">
        <f t="shared" si="4"/>
        <v>8.81388888888889</v>
      </c>
      <c r="BS7" s="73">
        <f t="shared" si="5"/>
        <v>3.9597505668934246E-2</v>
      </c>
      <c r="BT7" s="74">
        <f t="shared" si="6"/>
        <v>-6.6723356009070756E-3</v>
      </c>
      <c r="BU7" s="15" t="s">
        <v>9</v>
      </c>
      <c r="BV7" s="79" t="s">
        <v>109</v>
      </c>
      <c r="BW7" s="80">
        <f>COUNTIF(BT5:BT29,"&lt;-0,01")</f>
        <v>6</v>
      </c>
      <c r="BX7" s="2"/>
    </row>
    <row r="8" spans="2:76" x14ac:dyDescent="0.3">
      <c r="B8" s="771"/>
      <c r="C8" s="326" t="s">
        <v>10</v>
      </c>
      <c r="D8" s="62">
        <v>147.6</v>
      </c>
      <c r="E8" s="63">
        <v>137.30000000000001</v>
      </c>
      <c r="F8" s="63">
        <v>170.4</v>
      </c>
      <c r="G8" s="63">
        <v>123.2</v>
      </c>
      <c r="H8" s="63">
        <v>144.19999999999999</v>
      </c>
      <c r="I8" s="283">
        <v>162.5</v>
      </c>
      <c r="J8" s="63">
        <v>187.7</v>
      </c>
      <c r="K8" s="63">
        <v>120.3</v>
      </c>
      <c r="L8" s="259">
        <v>104.1</v>
      </c>
      <c r="M8" s="283">
        <v>85.5</v>
      </c>
      <c r="N8" s="282">
        <v>17.100000000000001</v>
      </c>
      <c r="O8" s="63">
        <v>142.80000000000001</v>
      </c>
      <c r="P8" s="63">
        <v>130.9</v>
      </c>
      <c r="Q8" s="282">
        <v>48.7</v>
      </c>
      <c r="R8" s="63">
        <v>172.3</v>
      </c>
      <c r="S8" s="63">
        <v>160.19999999999999</v>
      </c>
      <c r="T8" s="63">
        <v>132.19999999999999</v>
      </c>
      <c r="U8" s="63">
        <v>164.3</v>
      </c>
      <c r="V8" s="63">
        <v>159.19999999999999</v>
      </c>
      <c r="W8" s="283">
        <v>139.6</v>
      </c>
      <c r="X8" s="63">
        <v>135.6</v>
      </c>
      <c r="Y8" s="283">
        <v>123.1</v>
      </c>
      <c r="Z8" s="15">
        <v>98.4</v>
      </c>
      <c r="AA8" s="18">
        <v>152.4</v>
      </c>
      <c r="AB8" s="364">
        <v>108.4</v>
      </c>
      <c r="AC8" s="212">
        <v>116.2</v>
      </c>
      <c r="AD8" s="212">
        <v>75.400000000000006</v>
      </c>
      <c r="AE8" s="15">
        <v>167</v>
      </c>
      <c r="AF8" s="15">
        <v>149.6</v>
      </c>
      <c r="AG8" s="15">
        <v>128.30000000000001</v>
      </c>
      <c r="AH8" s="371">
        <v>50.3</v>
      </c>
      <c r="AI8" s="290">
        <f t="shared" si="7"/>
        <v>3954.7999999999997</v>
      </c>
      <c r="AJ8" s="118">
        <v>33</v>
      </c>
      <c r="AK8" s="121">
        <f t="shared" si="0"/>
        <v>1.1952861952861953E-2</v>
      </c>
      <c r="AL8" s="67">
        <f t="shared" si="1"/>
        <v>0.18636363636363637</v>
      </c>
      <c r="AM8" s="68">
        <f t="shared" si="1"/>
        <v>0.17335858585858588</v>
      </c>
      <c r="AN8" s="68">
        <f t="shared" si="1"/>
        <v>0.21515151515151515</v>
      </c>
      <c r="AO8" s="68">
        <f t="shared" si="1"/>
        <v>0.15555555555555556</v>
      </c>
      <c r="AP8" s="68">
        <f t="shared" si="1"/>
        <v>0.18207070707070705</v>
      </c>
      <c r="AQ8" s="68">
        <f t="shared" si="1"/>
        <v>0.20517676767676768</v>
      </c>
      <c r="AR8" s="68">
        <f t="shared" si="1"/>
        <v>0.23699494949494948</v>
      </c>
      <c r="AS8" s="68">
        <f t="shared" si="1"/>
        <v>0.15189393939393939</v>
      </c>
      <c r="AT8" s="68">
        <f t="shared" si="1"/>
        <v>0.13143939393939394</v>
      </c>
      <c r="AU8" s="68">
        <f t="shared" si="1"/>
        <v>0.10795454545454546</v>
      </c>
      <c r="AV8" s="68">
        <f t="shared" si="1"/>
        <v>2.1590909090909091E-2</v>
      </c>
      <c r="AW8" s="68">
        <f t="shared" si="1"/>
        <v>0.18030303030303033</v>
      </c>
      <c r="AX8" s="68">
        <f t="shared" si="1"/>
        <v>0.16527777777777777</v>
      </c>
      <c r="AY8" s="68">
        <f t="shared" si="1"/>
        <v>6.148989898989899E-2</v>
      </c>
      <c r="AZ8" s="68">
        <f t="shared" si="1"/>
        <v>0.21755050505050508</v>
      </c>
      <c r="BA8" s="68">
        <f t="shared" si="1"/>
        <v>0.20227272727272727</v>
      </c>
      <c r="BB8" s="68">
        <f t="shared" si="2"/>
        <v>0.16691919191919191</v>
      </c>
      <c r="BC8" s="68" t="e">
        <f>IF(OR(#REF!="",#REF!="Sem monitoramento"),"VAZIO",IFERROR(#REF!/($AJ8*24),"-"))</f>
        <v>#REF!</v>
      </c>
      <c r="BD8" s="68">
        <f t="shared" si="2"/>
        <v>0.201010101010101</v>
      </c>
      <c r="BE8" s="68">
        <f t="shared" si="2"/>
        <v>0.17626262626262626</v>
      </c>
      <c r="BF8" s="68">
        <f t="shared" si="2"/>
        <v>0.1712121212121212</v>
      </c>
      <c r="BG8" s="68">
        <f t="shared" si="2"/>
        <v>0.15542929292929292</v>
      </c>
      <c r="BH8" s="68">
        <f t="shared" si="2"/>
        <v>0.12424242424242425</v>
      </c>
      <c r="BI8" s="68">
        <f t="shared" si="2"/>
        <v>0.19242424242424244</v>
      </c>
      <c r="BJ8" s="68">
        <f t="shared" si="2"/>
        <v>0.13686868686868689</v>
      </c>
      <c r="BK8" s="68" t="e">
        <f>IF(OR(#REF!="",#REF!="Sem monitoramento"),"VAZIO",IFERROR(#REF!/($AJ8*24),"-"))</f>
        <v>#REF!</v>
      </c>
      <c r="BL8" s="68">
        <f t="shared" si="2"/>
        <v>9.5202020202020204E-2</v>
      </c>
      <c r="BM8" s="68">
        <f t="shared" si="2"/>
        <v>0.21085858585858586</v>
      </c>
      <c r="BN8" s="68">
        <f t="shared" si="2"/>
        <v>0.18888888888888888</v>
      </c>
      <c r="BO8" s="68" t="e">
        <f>IF(OR(#REF!="",#REF!="Sem monitoramento"),"VAZIO",IFERROR(#REF!/($AJ8*24),"-"))</f>
        <v>#REF!</v>
      </c>
      <c r="BP8" s="70">
        <f>AI8/(AJ8*(COUNTA(D8:AG8)*24))</f>
        <v>0.16644781144781143</v>
      </c>
      <c r="BQ8" s="180">
        <f>'FCs estimados em PVsyst'!Y6</f>
        <v>0.18501683501683502</v>
      </c>
      <c r="BR8" s="72">
        <f t="shared" si="4"/>
        <v>6.1055555555555561</v>
      </c>
      <c r="BS8" s="73">
        <f t="shared" si="5"/>
        <v>3.0134680134680125E-2</v>
      </c>
      <c r="BT8" s="74">
        <f t="shared" si="6"/>
        <v>-1.8569023569023596E-2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223">
        <v>47.1</v>
      </c>
      <c r="E9" s="63">
        <v>38.799999999999997</v>
      </c>
      <c r="F9" s="319">
        <v>55</v>
      </c>
      <c r="G9" s="82">
        <f>48-(55-57.7)</f>
        <v>50.7</v>
      </c>
      <c r="H9" s="82">
        <v>49.5</v>
      </c>
      <c r="I9" s="308">
        <v>53.3</v>
      </c>
      <c r="J9" s="63">
        <v>57.4</v>
      </c>
      <c r="K9" s="282">
        <v>26.1</v>
      </c>
      <c r="L9" s="230">
        <v>31.8</v>
      </c>
      <c r="M9" s="63">
        <v>26</v>
      </c>
      <c r="N9" s="63">
        <v>20.8</v>
      </c>
      <c r="O9" s="63">
        <v>46.9</v>
      </c>
      <c r="P9" s="63">
        <v>40.9</v>
      </c>
      <c r="Q9" s="283">
        <v>42.4</v>
      </c>
      <c r="R9" s="312">
        <v>27.5</v>
      </c>
      <c r="S9" s="63">
        <v>51.5</v>
      </c>
      <c r="T9" s="63">
        <v>40.6</v>
      </c>
      <c r="U9" s="63">
        <v>53.8</v>
      </c>
      <c r="V9" s="63">
        <v>52.1</v>
      </c>
      <c r="W9" s="283">
        <v>57.8</v>
      </c>
      <c r="X9" s="63">
        <v>45.8</v>
      </c>
      <c r="Y9" s="63">
        <v>47.1</v>
      </c>
      <c r="Z9" s="148">
        <v>37.200000000000003</v>
      </c>
      <c r="AA9" s="18">
        <v>52.6</v>
      </c>
      <c r="AB9" s="363">
        <v>42.3</v>
      </c>
      <c r="AC9" s="212">
        <v>45.7</v>
      </c>
      <c r="AD9" s="212">
        <v>22.8</v>
      </c>
      <c r="AE9" s="15">
        <v>43.7</v>
      </c>
      <c r="AF9" s="15">
        <v>48.6</v>
      </c>
      <c r="AG9" s="15">
        <v>49.5</v>
      </c>
      <c r="AH9" s="371">
        <v>16.399999999999999</v>
      </c>
      <c r="AI9" s="290">
        <f t="shared" si="7"/>
        <v>1321.7</v>
      </c>
      <c r="AJ9" s="118">
        <v>12</v>
      </c>
      <c r="AK9" s="121">
        <f t="shared" si="0"/>
        <v>1.0609567901234568E-2</v>
      </c>
      <c r="AL9" s="67">
        <f t="shared" si="1"/>
        <v>0.16354166666666667</v>
      </c>
      <c r="AM9" s="68">
        <f t="shared" si="1"/>
        <v>0.13472222222222222</v>
      </c>
      <c r="AN9" s="68">
        <f t="shared" si="1"/>
        <v>0.19097222222222221</v>
      </c>
      <c r="AO9" s="68">
        <f t="shared" si="1"/>
        <v>0.17604166666666668</v>
      </c>
      <c r="AP9" s="68">
        <f t="shared" si="1"/>
        <v>0.171875</v>
      </c>
      <c r="AQ9" s="68">
        <f t="shared" si="1"/>
        <v>0.18506944444444443</v>
      </c>
      <c r="AR9" s="68">
        <f t="shared" si="1"/>
        <v>0.19930555555555554</v>
      </c>
      <c r="AS9" s="68">
        <f t="shared" si="1"/>
        <v>9.0625000000000011E-2</v>
      </c>
      <c r="AT9" s="68">
        <f t="shared" si="1"/>
        <v>0.11041666666666666</v>
      </c>
      <c r="AU9" s="68">
        <f t="shared" si="1"/>
        <v>9.0277777777777776E-2</v>
      </c>
      <c r="AV9" s="68">
        <f t="shared" si="1"/>
        <v>7.2222222222222229E-2</v>
      </c>
      <c r="AW9" s="68">
        <f t="shared" si="1"/>
        <v>0.16284722222222223</v>
      </c>
      <c r="AX9" s="68">
        <f t="shared" si="1"/>
        <v>0.14201388888888888</v>
      </c>
      <c r="AY9" s="68">
        <f t="shared" si="1"/>
        <v>0.14722222222222223</v>
      </c>
      <c r="AZ9" s="68">
        <f t="shared" si="1"/>
        <v>9.5486111111111105E-2</v>
      </c>
      <c r="BA9" s="68">
        <f t="shared" si="1"/>
        <v>0.17881944444444445</v>
      </c>
      <c r="BB9" s="68">
        <f t="shared" si="2"/>
        <v>0.14097222222222222</v>
      </c>
      <c r="BC9" s="68">
        <f>IF(OR(U7="",U7="Sem monitoramento"),"VAZIO",IFERROR(U7/($AJ9*24),"-"))</f>
        <v>0.88020833333333337</v>
      </c>
      <c r="BD9" s="68">
        <f t="shared" si="2"/>
        <v>0.18090277777777777</v>
      </c>
      <c r="BE9" s="68">
        <f t="shared" si="2"/>
        <v>0.20069444444444443</v>
      </c>
      <c r="BF9" s="68">
        <f t="shared" si="2"/>
        <v>0.15902777777777777</v>
      </c>
      <c r="BG9" s="68">
        <f t="shared" si="2"/>
        <v>0.16354166666666667</v>
      </c>
      <c r="BH9" s="68">
        <f>IF(OR(Z10="",Z10="Sem monitoramento"),"VAZIO",IFERROR(Z10/($AJ9*24),"-"))</f>
        <v>0.26111111111111113</v>
      </c>
      <c r="BI9" s="68">
        <f t="shared" si="2"/>
        <v>0.18263888888888891</v>
      </c>
      <c r="BJ9" s="68">
        <f t="shared" si="2"/>
        <v>0.14687499999999998</v>
      </c>
      <c r="BK9" s="68">
        <f>IF(OR(AC7="",AC7="Sem monitoramento"),"VAZIO",IFERROR(AC7/($AJ9*24),"-"))</f>
        <v>0.60138888888888886</v>
      </c>
      <c r="BL9" s="68">
        <f t="shared" si="2"/>
        <v>7.9166666666666663E-2</v>
      </c>
      <c r="BM9" s="68">
        <f t="shared" si="2"/>
        <v>0.15173611111111113</v>
      </c>
      <c r="BN9" s="68">
        <f t="shared" si="2"/>
        <v>0.16875000000000001</v>
      </c>
      <c r="BO9" s="68">
        <f>IF(OR(AG7="",AG7="Sem monitoramento"),"VAZIO",IFERROR(AG7/($AJ9*24),"-"))</f>
        <v>1.1829861111111111</v>
      </c>
      <c r="BP9" s="70">
        <f t="shared" si="3"/>
        <v>0.15297453703703703</v>
      </c>
      <c r="BQ9" s="180">
        <f>'FCs estimados em PVsyst'!Y7</f>
        <v>0.18333333333333332</v>
      </c>
      <c r="BR9" s="72">
        <f t="shared" si="4"/>
        <v>2.1999999999999997</v>
      </c>
      <c r="BS9" s="73">
        <f t="shared" si="5"/>
        <v>7.6388888888888895E-3</v>
      </c>
      <c r="BT9" s="74">
        <f t="shared" si="6"/>
        <v>-3.0358796296296287E-2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95.7</v>
      </c>
      <c r="E10" s="63">
        <v>78.2</v>
      </c>
      <c r="F10" s="63">
        <v>118.8</v>
      </c>
      <c r="G10" s="82">
        <v>99.1</v>
      </c>
      <c r="H10" s="82">
        <v>98.4</v>
      </c>
      <c r="I10" s="63">
        <v>110.9</v>
      </c>
      <c r="J10" s="63">
        <v>120.1</v>
      </c>
      <c r="K10" s="282">
        <v>54.8</v>
      </c>
      <c r="L10" s="230">
        <v>64.099999999999994</v>
      </c>
      <c r="M10" s="63">
        <v>51.5</v>
      </c>
      <c r="N10" s="63">
        <v>41.7</v>
      </c>
      <c r="O10" s="63">
        <v>95.7</v>
      </c>
      <c r="P10" s="63">
        <v>82</v>
      </c>
      <c r="Q10" s="283">
        <v>84</v>
      </c>
      <c r="R10" s="312">
        <v>43.8</v>
      </c>
      <c r="S10" s="63">
        <v>102.9</v>
      </c>
      <c r="T10" s="63">
        <v>79.400000000000006</v>
      </c>
      <c r="U10" s="63">
        <v>109</v>
      </c>
      <c r="V10" s="63">
        <v>104.3</v>
      </c>
      <c r="W10" s="283">
        <v>117.6</v>
      </c>
      <c r="X10" s="63">
        <v>91.4</v>
      </c>
      <c r="Y10" s="63">
        <v>95</v>
      </c>
      <c r="Z10" s="15">
        <v>75.2</v>
      </c>
      <c r="AA10" s="18">
        <v>104.8</v>
      </c>
      <c r="AB10" s="363">
        <v>86.9</v>
      </c>
      <c r="AC10" s="212">
        <v>92.9</v>
      </c>
      <c r="AD10" s="212">
        <v>43.7</v>
      </c>
      <c r="AE10" s="15">
        <v>84</v>
      </c>
      <c r="AF10" s="15">
        <v>93.3</v>
      </c>
      <c r="AG10" s="15">
        <v>95.6</v>
      </c>
      <c r="AH10" s="371">
        <v>31.3</v>
      </c>
      <c r="AI10" s="290">
        <f t="shared" si="7"/>
        <v>2646.1000000000004</v>
      </c>
      <c r="AJ10" s="118">
        <v>25</v>
      </c>
      <c r="AK10" s="121">
        <f t="shared" si="0"/>
        <v>1.0999999999999999E-2</v>
      </c>
      <c r="AL10" s="67">
        <f t="shared" si="1"/>
        <v>0.1595</v>
      </c>
      <c r="AM10" s="68">
        <f t="shared" si="1"/>
        <v>0.13033333333333333</v>
      </c>
      <c r="AN10" s="68">
        <f t="shared" si="1"/>
        <v>0.19799999999999998</v>
      </c>
      <c r="AO10" s="68">
        <f t="shared" si="1"/>
        <v>0.16516666666666666</v>
      </c>
      <c r="AP10" s="68">
        <f t="shared" si="1"/>
        <v>0.16400000000000001</v>
      </c>
      <c r="AQ10" s="68">
        <f t="shared" si="1"/>
        <v>0.18483333333333335</v>
      </c>
      <c r="AR10" s="68">
        <f t="shared" si="1"/>
        <v>0.20016666666666666</v>
      </c>
      <c r="AS10" s="68">
        <f t="shared" si="1"/>
        <v>9.1333333333333322E-2</v>
      </c>
      <c r="AT10" s="68">
        <f t="shared" si="1"/>
        <v>0.10683333333333332</v>
      </c>
      <c r="AU10" s="68">
        <f t="shared" si="1"/>
        <v>8.5833333333333331E-2</v>
      </c>
      <c r="AV10" s="68">
        <f t="shared" si="1"/>
        <v>6.9500000000000006E-2</v>
      </c>
      <c r="AW10" s="68">
        <f t="shared" si="1"/>
        <v>0.1595</v>
      </c>
      <c r="AX10" s="68">
        <f t="shared" si="1"/>
        <v>0.13666666666666666</v>
      </c>
      <c r="AY10" s="68">
        <f t="shared" si="1"/>
        <v>0.14000000000000001</v>
      </c>
      <c r="AZ10" s="68">
        <f t="shared" si="1"/>
        <v>7.2999999999999995E-2</v>
      </c>
      <c r="BA10" s="68">
        <f t="shared" si="1"/>
        <v>0.17150000000000001</v>
      </c>
      <c r="BB10" s="68">
        <f t="shared" si="2"/>
        <v>0.13233333333333333</v>
      </c>
      <c r="BC10" s="68">
        <f>IF(OR(U8="",U8="Sem monitoramento"),"VAZIO",IFERROR(U8/($AJ10*24),"-"))</f>
        <v>0.27383333333333337</v>
      </c>
      <c r="BD10" s="68">
        <f t="shared" si="2"/>
        <v>0.17383333333333334</v>
      </c>
      <c r="BE10" s="68">
        <f t="shared" si="2"/>
        <v>0.19599999999999998</v>
      </c>
      <c r="BF10" s="68">
        <f t="shared" si="2"/>
        <v>0.15233333333333335</v>
      </c>
      <c r="BG10" s="68">
        <f t="shared" si="2"/>
        <v>0.15833333333333333</v>
      </c>
      <c r="BH10" s="68" t="e">
        <f>IF(OR(#REF!="",#REF!="Sem monitoramento"),"VAZIO",IFERROR(#REF!/($AJ10*24),"-"))</f>
        <v>#REF!</v>
      </c>
      <c r="BI10" s="68">
        <f t="shared" si="2"/>
        <v>0.17466666666666666</v>
      </c>
      <c r="BJ10" s="68">
        <f t="shared" si="2"/>
        <v>0.14483333333333334</v>
      </c>
      <c r="BK10" s="68">
        <f>IF(OR(AC8="",AC8="Sem monitoramento"),"VAZIO",IFERROR(AC8/($AJ10*24),"-"))</f>
        <v>0.19366666666666668</v>
      </c>
      <c r="BL10" s="68">
        <f t="shared" si="2"/>
        <v>7.2833333333333333E-2</v>
      </c>
      <c r="BM10" s="68">
        <f t="shared" si="2"/>
        <v>0.14000000000000001</v>
      </c>
      <c r="BN10" s="68">
        <f t="shared" si="2"/>
        <v>0.1555</v>
      </c>
      <c r="BO10" s="68">
        <f>IF(OR(AG8="",AG8="Sem monitoramento"),"VAZIO",IFERROR(AG8/($AJ10*24),"-"))</f>
        <v>0.21383333333333335</v>
      </c>
      <c r="BP10" s="70">
        <f t="shared" si="3"/>
        <v>0.14700555555555558</v>
      </c>
      <c r="BQ10" s="180">
        <f>'FCs estimados em PVsyst'!Y8</f>
        <v>0.185</v>
      </c>
      <c r="BR10" s="72">
        <f t="shared" si="4"/>
        <v>4.625</v>
      </c>
      <c r="BS10" s="73">
        <f t="shared" si="5"/>
        <v>1.2999999999999984E-2</v>
      </c>
      <c r="BT10" s="74">
        <f t="shared" si="6"/>
        <v>-3.7994444444444414E-2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397.9</v>
      </c>
      <c r="E11" s="63">
        <v>339.3</v>
      </c>
      <c r="F11" s="63">
        <v>407.4</v>
      </c>
      <c r="G11" s="63">
        <v>308.60000000000002</v>
      </c>
      <c r="H11" s="63">
        <v>373.1</v>
      </c>
      <c r="I11" s="283">
        <v>441.3</v>
      </c>
      <c r="J11" s="283">
        <v>456.6</v>
      </c>
      <c r="K11" s="283">
        <v>327.5</v>
      </c>
      <c r="L11" s="230">
        <v>240.8</v>
      </c>
      <c r="M11" s="63">
        <v>198.3</v>
      </c>
      <c r="N11" s="63">
        <v>116.1</v>
      </c>
      <c r="O11" s="63">
        <v>348.1</v>
      </c>
      <c r="P11" s="63">
        <v>288.89999999999998</v>
      </c>
      <c r="Q11" s="283">
        <v>325.60000000000002</v>
      </c>
      <c r="R11" s="63">
        <v>425.4</v>
      </c>
      <c r="S11" s="63">
        <v>386.3</v>
      </c>
      <c r="T11" s="63">
        <v>322.7</v>
      </c>
      <c r="U11" s="63">
        <v>432.6</v>
      </c>
      <c r="V11" s="283">
        <v>425</v>
      </c>
      <c r="W11" s="283">
        <v>387.2</v>
      </c>
      <c r="X11" s="63">
        <v>332.2</v>
      </c>
      <c r="Y11" s="63">
        <v>375.2</v>
      </c>
      <c r="Z11" s="15">
        <v>287.39999999999998</v>
      </c>
      <c r="AA11" s="18">
        <v>332.5</v>
      </c>
      <c r="AB11" s="363">
        <v>291.8</v>
      </c>
      <c r="AC11" s="367">
        <v>262.10000000000002</v>
      </c>
      <c r="AD11" s="212">
        <v>160.30000000000001</v>
      </c>
      <c r="AE11" s="221">
        <v>357.4</v>
      </c>
      <c r="AF11" s="15">
        <v>389.8</v>
      </c>
      <c r="AG11" s="15">
        <v>302.2</v>
      </c>
      <c r="AH11" s="371">
        <v>114</v>
      </c>
      <c r="AI11" s="290">
        <f t="shared" si="7"/>
        <v>10153.599999999999</v>
      </c>
      <c r="AJ11" s="118">
        <v>78</v>
      </c>
      <c r="AK11" s="121">
        <f t="shared" si="0"/>
        <v>1.209045584045584E-2</v>
      </c>
      <c r="AL11" s="67">
        <f t="shared" si="1"/>
        <v>0.2125534188034188</v>
      </c>
      <c r="AM11" s="68">
        <f t="shared" si="1"/>
        <v>0.18124999999999999</v>
      </c>
      <c r="AN11" s="68">
        <f t="shared" si="1"/>
        <v>0.2176282051282051</v>
      </c>
      <c r="AO11" s="68">
        <f t="shared" si="1"/>
        <v>0.16485042735042738</v>
      </c>
      <c r="AP11" s="68">
        <f t="shared" si="1"/>
        <v>0.19930555555555557</v>
      </c>
      <c r="AQ11" s="68">
        <f t="shared" si="1"/>
        <v>0.23573717948717948</v>
      </c>
      <c r="AR11" s="68">
        <f t="shared" si="1"/>
        <v>0.24391025641025643</v>
      </c>
      <c r="AS11" s="68">
        <f t="shared" si="1"/>
        <v>0.17494658119658119</v>
      </c>
      <c r="AT11" s="68">
        <f t="shared" si="1"/>
        <v>0.12863247863247865</v>
      </c>
      <c r="AU11" s="68">
        <f t="shared" si="1"/>
        <v>0.10592948717948719</v>
      </c>
      <c r="AV11" s="68">
        <f t="shared" si="1"/>
        <v>6.2019230769230764E-2</v>
      </c>
      <c r="AW11" s="68">
        <f t="shared" si="1"/>
        <v>0.18595085470085471</v>
      </c>
      <c r="AX11" s="68">
        <f t="shared" si="1"/>
        <v>0.15432692307692306</v>
      </c>
      <c r="AY11" s="68">
        <f t="shared" si="1"/>
        <v>0.17393162393162395</v>
      </c>
      <c r="AZ11" s="68">
        <f t="shared" si="1"/>
        <v>0.22724358974358974</v>
      </c>
      <c r="BA11" s="68">
        <f t="shared" si="1"/>
        <v>0.20635683760683762</v>
      </c>
      <c r="BB11" s="68">
        <f t="shared" si="2"/>
        <v>0.17238247863247863</v>
      </c>
      <c r="BC11" s="68">
        <f t="shared" si="2"/>
        <v>0.2310897435897436</v>
      </c>
      <c r="BD11" s="68">
        <f t="shared" si="2"/>
        <v>0.22702991452991453</v>
      </c>
      <c r="BE11" s="68">
        <f t="shared" si="2"/>
        <v>0.20683760683760682</v>
      </c>
      <c r="BF11" s="68">
        <f t="shared" si="2"/>
        <v>0.17745726495726494</v>
      </c>
      <c r="BG11" s="68">
        <f t="shared" si="2"/>
        <v>0.20042735042735041</v>
      </c>
      <c r="BH11" s="68">
        <f t="shared" si="2"/>
        <v>0.15352564102564101</v>
      </c>
      <c r="BI11" s="68">
        <f t="shared" si="2"/>
        <v>0.17761752136752137</v>
      </c>
      <c r="BJ11" s="68">
        <f>IF(OR(AB9="",AB9="Sem monitoramento"),"VAZIO",IFERROR(AB9/($AJ11*24),"-"))</f>
        <v>2.2596153846153846E-2</v>
      </c>
      <c r="BK11" s="68">
        <f t="shared" ref="BK11:BO31" si="8">IF(OR(AC11="",AC11="Sem monitoramento"),"VAZIO",IFERROR(AC11/($AJ11*24),"-"))</f>
        <v>0.14001068376068376</v>
      </c>
      <c r="BL11" s="68">
        <f t="shared" si="2"/>
        <v>8.5630341880341881E-2</v>
      </c>
      <c r="BM11" s="68">
        <f t="shared" si="2"/>
        <v>0.19091880341880341</v>
      </c>
      <c r="BN11" s="68">
        <f t="shared" si="2"/>
        <v>0.20822649572649574</v>
      </c>
      <c r="BO11" s="68">
        <f t="shared" si="2"/>
        <v>0.16143162393162391</v>
      </c>
      <c r="BP11" s="70">
        <f t="shared" si="3"/>
        <v>0.18079772079772077</v>
      </c>
      <c r="BQ11" s="198">
        <f>BQ19</f>
        <v>0.168125</v>
      </c>
      <c r="BR11" s="72">
        <f t="shared" si="4"/>
        <v>13.11375</v>
      </c>
      <c r="BS11" s="73">
        <f t="shared" si="5"/>
        <v>4.9503205128205108E-2</v>
      </c>
      <c r="BT11" s="74">
        <f t="shared" si="6"/>
        <v>1.2672720797720777E-2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291">
        <v>279.2</v>
      </c>
      <c r="E12" s="308">
        <v>219.6</v>
      </c>
      <c r="F12" s="82">
        <v>347.3</v>
      </c>
      <c r="G12" s="82">
        <v>279.89999999999998</v>
      </c>
      <c r="H12" s="82">
        <v>270.10000000000002</v>
      </c>
      <c r="I12" s="308">
        <v>313.39999999999998</v>
      </c>
      <c r="J12" s="82">
        <v>356.5</v>
      </c>
      <c r="K12" s="312">
        <v>168.1</v>
      </c>
      <c r="L12" s="231">
        <v>172.8</v>
      </c>
      <c r="M12" s="82">
        <v>145.30000000000001</v>
      </c>
      <c r="N12" s="82">
        <v>112.7</v>
      </c>
      <c r="O12" s="82">
        <v>269.3</v>
      </c>
      <c r="P12" s="82">
        <v>234.8</v>
      </c>
      <c r="Q12" s="308">
        <v>246</v>
      </c>
      <c r="R12" s="312">
        <v>119.5</v>
      </c>
      <c r="S12" s="82">
        <v>294</v>
      </c>
      <c r="T12" s="82">
        <v>232.2</v>
      </c>
      <c r="U12" s="82">
        <v>312.8</v>
      </c>
      <c r="V12" s="82">
        <v>330</v>
      </c>
      <c r="W12" s="308">
        <v>351.1</v>
      </c>
      <c r="X12" s="82">
        <v>261.7</v>
      </c>
      <c r="Y12" s="82">
        <v>252.3</v>
      </c>
      <c r="Z12" s="16">
        <v>216</v>
      </c>
      <c r="AA12" s="17">
        <v>317.2</v>
      </c>
      <c r="AB12" s="362">
        <v>253.2</v>
      </c>
      <c r="AC12" s="267">
        <v>260.3</v>
      </c>
      <c r="AD12" s="267">
        <v>129.30000000000001</v>
      </c>
      <c r="AE12" s="16">
        <v>255.2</v>
      </c>
      <c r="AF12" s="16">
        <v>278.3</v>
      </c>
      <c r="AG12" s="16">
        <v>271.39999999999998</v>
      </c>
      <c r="AH12" s="373">
        <v>91</v>
      </c>
      <c r="AI12" s="290">
        <f t="shared" si="7"/>
        <v>7640.5</v>
      </c>
      <c r="AJ12" s="123">
        <v>61</v>
      </c>
      <c r="AK12" s="121" t="s">
        <v>31</v>
      </c>
      <c r="AL12" s="67">
        <f t="shared" si="1"/>
        <v>0.19071038251366118</v>
      </c>
      <c r="AM12" s="68">
        <f t="shared" si="1"/>
        <v>0.15</v>
      </c>
      <c r="AN12" s="68">
        <f t="shared" si="1"/>
        <v>0.23722677595628416</v>
      </c>
      <c r="AO12" s="68">
        <f t="shared" si="1"/>
        <v>0.19118852459016392</v>
      </c>
      <c r="AP12" s="68">
        <f t="shared" si="1"/>
        <v>0.1844945355191257</v>
      </c>
      <c r="AQ12" s="68">
        <f t="shared" si="1"/>
        <v>0.21407103825136611</v>
      </c>
      <c r="AR12" s="68">
        <f t="shared" si="1"/>
        <v>0.24351092896174864</v>
      </c>
      <c r="AS12" s="68">
        <f t="shared" si="1"/>
        <v>0.1148224043715847</v>
      </c>
      <c r="AT12" s="68">
        <f t="shared" si="1"/>
        <v>0.11803278688524591</v>
      </c>
      <c r="AU12" s="68">
        <f t="shared" si="1"/>
        <v>9.9248633879781431E-2</v>
      </c>
      <c r="AV12" s="68">
        <f t="shared" si="1"/>
        <v>7.6980874316939896E-2</v>
      </c>
      <c r="AW12" s="68">
        <f t="shared" si="1"/>
        <v>0.183948087431694</v>
      </c>
      <c r="AX12" s="68">
        <f t="shared" si="1"/>
        <v>0.16038251366120218</v>
      </c>
      <c r="AY12" s="68">
        <f t="shared" si="1"/>
        <v>0.16803278688524589</v>
      </c>
      <c r="AZ12" s="68">
        <f t="shared" si="1"/>
        <v>8.1625683060109283E-2</v>
      </c>
      <c r="BA12" s="68">
        <f t="shared" si="1"/>
        <v>0.20081967213114754</v>
      </c>
      <c r="BB12" s="68">
        <f t="shared" si="2"/>
        <v>0.15860655737704918</v>
      </c>
      <c r="BC12" s="68">
        <f t="shared" si="2"/>
        <v>0.21366120218579235</v>
      </c>
      <c r="BD12" s="68">
        <f t="shared" si="2"/>
        <v>0.22540983606557377</v>
      </c>
      <c r="BE12" s="68">
        <f t="shared" si="2"/>
        <v>0.23982240437158472</v>
      </c>
      <c r="BF12" s="68">
        <f t="shared" si="2"/>
        <v>0.17875683060109288</v>
      </c>
      <c r="BG12" s="68">
        <f t="shared" si="2"/>
        <v>0.17233606557377049</v>
      </c>
      <c r="BH12" s="68">
        <f t="shared" si="2"/>
        <v>0.14754098360655737</v>
      </c>
      <c r="BI12" s="68">
        <f t="shared" si="2"/>
        <v>0.21666666666666665</v>
      </c>
      <c r="BJ12" s="68">
        <f t="shared" si="2"/>
        <v>0.17295081967213113</v>
      </c>
      <c r="BK12" s="68">
        <f t="shared" si="8"/>
        <v>0.17780054644808743</v>
      </c>
      <c r="BL12" s="68">
        <f t="shared" si="2"/>
        <v>8.8319672131147553E-2</v>
      </c>
      <c r="BM12" s="68">
        <f t="shared" si="2"/>
        <v>0.17431693989071037</v>
      </c>
      <c r="BN12" s="68">
        <f t="shared" si="2"/>
        <v>0.19009562841530056</v>
      </c>
      <c r="BO12" s="68">
        <f t="shared" si="2"/>
        <v>0.18538251366120218</v>
      </c>
      <c r="BP12" s="70">
        <f t="shared" si="3"/>
        <v>0.17396402550091075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6"/>
        <v>-1.068989071038251E-2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62">
        <v>433.8</v>
      </c>
      <c r="E13" s="63">
        <v>331.3</v>
      </c>
      <c r="F13" s="63">
        <v>556.20000000000005</v>
      </c>
      <c r="G13" s="63">
        <v>459.6</v>
      </c>
      <c r="H13" s="63">
        <v>415.3</v>
      </c>
      <c r="I13" s="283">
        <v>495</v>
      </c>
      <c r="J13" s="63">
        <v>563.6</v>
      </c>
      <c r="K13" s="282">
        <v>284.7</v>
      </c>
      <c r="L13" s="230">
        <v>293.10000000000002</v>
      </c>
      <c r="M13" s="63">
        <v>236.7</v>
      </c>
      <c r="N13" s="63">
        <v>190</v>
      </c>
      <c r="O13" s="63">
        <v>444.6</v>
      </c>
      <c r="P13" s="63">
        <v>378.8</v>
      </c>
      <c r="Q13" s="283">
        <v>361.9</v>
      </c>
      <c r="R13" s="312">
        <v>207</v>
      </c>
      <c r="S13" s="63">
        <v>427.7</v>
      </c>
      <c r="T13" s="63">
        <v>341.7</v>
      </c>
      <c r="U13" s="63">
        <v>479.2</v>
      </c>
      <c r="V13" s="63">
        <v>508.7</v>
      </c>
      <c r="W13" s="283">
        <v>543.20000000000005</v>
      </c>
      <c r="X13" s="63">
        <v>420.5</v>
      </c>
      <c r="Y13" s="63">
        <v>415.7</v>
      </c>
      <c r="Z13" s="15">
        <v>361</v>
      </c>
      <c r="AA13" s="18">
        <v>500.7</v>
      </c>
      <c r="AB13" s="363">
        <v>430.1</v>
      </c>
      <c r="AC13" s="212">
        <v>443.6</v>
      </c>
      <c r="AD13" s="212">
        <v>210.5</v>
      </c>
      <c r="AE13" s="15">
        <v>409.8</v>
      </c>
      <c r="AF13" s="15">
        <v>430.4</v>
      </c>
      <c r="AG13" s="15">
        <v>442.2</v>
      </c>
      <c r="AH13" s="371">
        <v>140.9</v>
      </c>
      <c r="AI13" s="290">
        <f t="shared" si="7"/>
        <v>12157.5</v>
      </c>
      <c r="AJ13" s="118">
        <v>100</v>
      </c>
      <c r="AK13" s="121">
        <f t="shared" ref="AK13:AK25" si="9">F13/(AJ13*432)</f>
        <v>1.2875000000000001E-2</v>
      </c>
      <c r="AL13" s="67">
        <f t="shared" si="1"/>
        <v>0.18074999999999999</v>
      </c>
      <c r="AM13" s="68">
        <f t="shared" si="1"/>
        <v>0.13804166666666667</v>
      </c>
      <c r="AN13" s="68">
        <f t="shared" si="1"/>
        <v>0.23175000000000001</v>
      </c>
      <c r="AO13" s="68">
        <f t="shared" si="1"/>
        <v>0.1915</v>
      </c>
      <c r="AP13" s="68">
        <f t="shared" si="1"/>
        <v>0.17304166666666668</v>
      </c>
      <c r="AQ13" s="68">
        <f t="shared" si="1"/>
        <v>0.20624999999999999</v>
      </c>
      <c r="AR13" s="68">
        <f t="shared" si="1"/>
        <v>0.23483333333333334</v>
      </c>
      <c r="AS13" s="68">
        <f t="shared" si="1"/>
        <v>0.11862499999999999</v>
      </c>
      <c r="AT13" s="68">
        <f t="shared" si="1"/>
        <v>0.12212500000000001</v>
      </c>
      <c r="AU13" s="68">
        <f t="shared" si="1"/>
        <v>9.862499999999999E-2</v>
      </c>
      <c r="AV13" s="68">
        <f t="shared" si="1"/>
        <v>7.9166666666666663E-2</v>
      </c>
      <c r="AW13" s="68">
        <f t="shared" si="1"/>
        <v>0.18525</v>
      </c>
      <c r="AX13" s="68">
        <f t="shared" si="1"/>
        <v>0.15783333333333333</v>
      </c>
      <c r="AY13" s="68">
        <f t="shared" si="1"/>
        <v>0.15079166666666666</v>
      </c>
      <c r="AZ13" s="68">
        <f t="shared" si="1"/>
        <v>8.6249999999999993E-2</v>
      </c>
      <c r="BA13" s="68">
        <f t="shared" si="1"/>
        <v>0.17820833333333333</v>
      </c>
      <c r="BB13" s="68">
        <f t="shared" si="2"/>
        <v>0.142375</v>
      </c>
      <c r="BC13" s="68">
        <f t="shared" si="2"/>
        <v>0.19966666666666666</v>
      </c>
      <c r="BD13" s="68">
        <f t="shared" si="2"/>
        <v>0.21195833333333333</v>
      </c>
      <c r="BE13" s="68">
        <f t="shared" si="2"/>
        <v>0.22633333333333336</v>
      </c>
      <c r="BF13" s="68">
        <f t="shared" si="2"/>
        <v>0.17520833333333333</v>
      </c>
      <c r="BG13" s="68">
        <f t="shared" si="2"/>
        <v>0.17320833333333333</v>
      </c>
      <c r="BH13" s="68">
        <f t="shared" si="2"/>
        <v>0.15041666666666667</v>
      </c>
      <c r="BI13" s="68">
        <f t="shared" si="2"/>
        <v>0.208625</v>
      </c>
      <c r="BJ13" s="68">
        <f t="shared" si="2"/>
        <v>0.17920833333333333</v>
      </c>
      <c r="BK13" s="68">
        <f t="shared" si="8"/>
        <v>0.18483333333333335</v>
      </c>
      <c r="BL13" s="68">
        <f t="shared" si="2"/>
        <v>8.7708333333333333E-2</v>
      </c>
      <c r="BM13" s="68">
        <f t="shared" si="2"/>
        <v>0.17075000000000001</v>
      </c>
      <c r="BN13" s="68">
        <f t="shared" si="2"/>
        <v>0.17933333333333332</v>
      </c>
      <c r="BO13" s="68">
        <f t="shared" si="2"/>
        <v>0.18425</v>
      </c>
      <c r="BP13" s="70">
        <f t="shared" si="3"/>
        <v>0.16885416666666667</v>
      </c>
      <c r="BQ13" s="198">
        <f>BQ19</f>
        <v>0.168125</v>
      </c>
      <c r="BR13" s="72">
        <f t="shared" ref="BR13:BR29" si="10">AJ13*BQ13</f>
        <v>16.8125</v>
      </c>
      <c r="BS13" s="73">
        <f t="shared" ref="BS13:BS29" si="11">AN13-BQ13</f>
        <v>6.3625000000000015E-2</v>
      </c>
      <c r="BT13" s="74">
        <f t="shared" si="6"/>
        <v>7.2916666666666963E-4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534.79999999999995</v>
      </c>
      <c r="E14" s="63">
        <v>449.2</v>
      </c>
      <c r="F14" s="63">
        <v>550</v>
      </c>
      <c r="G14" s="63">
        <v>434</v>
      </c>
      <c r="H14" s="63">
        <v>485.5</v>
      </c>
      <c r="I14" s="283">
        <v>596.1</v>
      </c>
      <c r="J14" s="283">
        <v>611.9</v>
      </c>
      <c r="K14" s="259">
        <v>450.6</v>
      </c>
      <c r="L14" s="230">
        <v>313.8</v>
      </c>
      <c r="M14" s="63">
        <v>267.60000000000002</v>
      </c>
      <c r="N14" s="63">
        <v>150.30000000000001</v>
      </c>
      <c r="O14" s="63">
        <v>475.4</v>
      </c>
      <c r="P14" s="63">
        <v>400.3</v>
      </c>
      <c r="Q14" s="283">
        <v>440.7</v>
      </c>
      <c r="R14" s="63">
        <v>583.5</v>
      </c>
      <c r="S14" s="63">
        <v>515.6</v>
      </c>
      <c r="T14" s="63">
        <v>417.3</v>
      </c>
      <c r="U14" s="63">
        <v>580.20000000000005</v>
      </c>
      <c r="V14" s="283">
        <v>557.5</v>
      </c>
      <c r="W14" s="283">
        <v>516.1</v>
      </c>
      <c r="X14" s="63">
        <v>455.8</v>
      </c>
      <c r="Y14" s="63">
        <v>540.29999999999995</v>
      </c>
      <c r="Z14" s="15">
        <v>387.7</v>
      </c>
      <c r="AA14" s="18">
        <v>498.8</v>
      </c>
      <c r="AB14" s="363">
        <v>429.8</v>
      </c>
      <c r="AC14" s="367">
        <v>399.4</v>
      </c>
      <c r="AD14" s="212">
        <v>212.3</v>
      </c>
      <c r="AE14" s="15">
        <v>493.5</v>
      </c>
      <c r="AF14" s="15">
        <v>512.29999999999995</v>
      </c>
      <c r="AG14" s="15">
        <v>414.6</v>
      </c>
      <c r="AH14" s="371">
        <v>146.30000000000001</v>
      </c>
      <c r="AI14" s="290">
        <f t="shared" si="7"/>
        <v>13821.199999999997</v>
      </c>
      <c r="AJ14" s="118">
        <v>100</v>
      </c>
      <c r="AK14" s="121">
        <f t="shared" si="9"/>
        <v>1.2731481481481481E-2</v>
      </c>
      <c r="AL14" s="67">
        <f t="shared" si="1"/>
        <v>0.22283333333333333</v>
      </c>
      <c r="AM14" s="68">
        <f t="shared" si="1"/>
        <v>0.18716666666666668</v>
      </c>
      <c r="AN14" s="68">
        <f t="shared" si="1"/>
        <v>0.22916666666666666</v>
      </c>
      <c r="AO14" s="68">
        <f t="shared" si="1"/>
        <v>0.18083333333333335</v>
      </c>
      <c r="AP14" s="68">
        <f t="shared" si="1"/>
        <v>0.20229166666666668</v>
      </c>
      <c r="AQ14" s="68">
        <f t="shared" si="1"/>
        <v>0.24837500000000001</v>
      </c>
      <c r="AR14" s="68">
        <f t="shared" si="1"/>
        <v>0.25495833333333334</v>
      </c>
      <c r="AS14" s="68">
        <f t="shared" si="1"/>
        <v>0.18775</v>
      </c>
      <c r="AT14" s="68">
        <f t="shared" si="1"/>
        <v>0.13075000000000001</v>
      </c>
      <c r="AU14" s="68">
        <f t="shared" si="1"/>
        <v>0.11150000000000002</v>
      </c>
      <c r="AV14" s="68">
        <f t="shared" si="1"/>
        <v>6.2625E-2</v>
      </c>
      <c r="AW14" s="68">
        <f>IF(OR(O14="",O14="Sem monitoramento"),"VAZIO",IFERROR(O14/($AJ14*24),"-"))</f>
        <v>0.19808333333333333</v>
      </c>
      <c r="AX14" s="68">
        <f t="shared" si="1"/>
        <v>0.16679166666666667</v>
      </c>
      <c r="AY14" s="68">
        <f t="shared" si="1"/>
        <v>0.18362499999999998</v>
      </c>
      <c r="AZ14" s="68">
        <f t="shared" si="1"/>
        <v>0.24312500000000001</v>
      </c>
      <c r="BA14" s="68">
        <f t="shared" si="1"/>
        <v>0.21483333333333335</v>
      </c>
      <c r="BB14" s="68" t="e">
        <f>IF(OR(#REF!="",#REF!="Sem monitoramento"),"VAZIO",IFERROR(#REF!/($AJ14*24),"-"))</f>
        <v>#REF!</v>
      </c>
      <c r="BC14" s="68">
        <f>IF(OR(U14="",U14="Sem monitoramento"),"VAZIO",IFERROR(U14/($AJ14*24),"-"))</f>
        <v>0.24175000000000002</v>
      </c>
      <c r="BD14" s="68">
        <f t="shared" si="2"/>
        <v>0.23229166666666667</v>
      </c>
      <c r="BE14" s="68">
        <f t="shared" si="2"/>
        <v>0.21504166666666669</v>
      </c>
      <c r="BF14" s="68">
        <f t="shared" si="2"/>
        <v>0.18991666666666668</v>
      </c>
      <c r="BG14" s="68">
        <f t="shared" si="2"/>
        <v>0.22512499999999999</v>
      </c>
      <c r="BH14" s="68">
        <f t="shared" si="2"/>
        <v>0.16154166666666667</v>
      </c>
      <c r="BI14" s="68">
        <f t="shared" si="2"/>
        <v>0.20783333333333334</v>
      </c>
      <c r="BJ14" s="68">
        <f t="shared" si="2"/>
        <v>0.17908333333333334</v>
      </c>
      <c r="BK14" s="68">
        <f t="shared" si="8"/>
        <v>0.16641666666666666</v>
      </c>
      <c r="BL14" s="68">
        <f t="shared" si="2"/>
        <v>8.8458333333333333E-2</v>
      </c>
      <c r="BM14" s="68">
        <f t="shared" si="2"/>
        <v>0.205625</v>
      </c>
      <c r="BN14" s="68">
        <f t="shared" si="2"/>
        <v>0.21345833333333331</v>
      </c>
      <c r="BO14" s="68">
        <f t="shared" si="2"/>
        <v>0.17275000000000001</v>
      </c>
      <c r="BP14" s="70">
        <f t="shared" si="3"/>
        <v>0.19196111111111108</v>
      </c>
      <c r="BQ14" s="198">
        <f>$BQ$19</f>
        <v>0.168125</v>
      </c>
      <c r="BR14" s="72">
        <f t="shared" si="10"/>
        <v>16.8125</v>
      </c>
      <c r="BS14" s="73">
        <f t="shared" si="11"/>
        <v>6.1041666666666661E-2</v>
      </c>
      <c r="BT14" s="74">
        <f t="shared" si="6"/>
        <v>2.3836111111111086E-2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151.6</v>
      </c>
      <c r="E15" s="63">
        <v>126.3</v>
      </c>
      <c r="F15" s="319">
        <v>150</v>
      </c>
      <c r="G15" s="63">
        <f>123.5-(150-156.4)</f>
        <v>129.9</v>
      </c>
      <c r="H15" s="63">
        <v>144.1</v>
      </c>
      <c r="I15" s="283">
        <v>167.4</v>
      </c>
      <c r="J15" s="283">
        <v>169.3</v>
      </c>
      <c r="K15" s="259">
        <v>121.8</v>
      </c>
      <c r="L15" s="230">
        <v>87.4</v>
      </c>
      <c r="M15" s="63">
        <v>73.2</v>
      </c>
      <c r="N15" s="63">
        <v>40.5</v>
      </c>
      <c r="O15" s="63">
        <v>130.4</v>
      </c>
      <c r="P15" s="63">
        <v>114</v>
      </c>
      <c r="Q15" s="283">
        <v>133.9</v>
      </c>
      <c r="R15" s="63">
        <v>167.4</v>
      </c>
      <c r="S15" s="63">
        <v>156.19999999999999</v>
      </c>
      <c r="T15" s="63">
        <v>121</v>
      </c>
      <c r="U15" s="63">
        <v>163.6</v>
      </c>
      <c r="V15" s="283">
        <v>161.5</v>
      </c>
      <c r="W15" s="283">
        <v>147.5</v>
      </c>
      <c r="X15" s="63">
        <v>124.9</v>
      </c>
      <c r="Y15" s="63">
        <v>155.5</v>
      </c>
      <c r="Z15" s="15">
        <v>106.8</v>
      </c>
      <c r="AA15" s="18">
        <v>140.1</v>
      </c>
      <c r="AB15" s="363">
        <v>118.8</v>
      </c>
      <c r="AC15" s="367">
        <v>108.7</v>
      </c>
      <c r="AD15" s="367">
        <v>56.9</v>
      </c>
      <c r="AE15" s="15">
        <v>140.9</v>
      </c>
      <c r="AF15" s="15">
        <v>145.6</v>
      </c>
      <c r="AG15" s="15">
        <v>112.7</v>
      </c>
      <c r="AH15" s="371">
        <v>38.9</v>
      </c>
      <c r="AI15" s="290">
        <f t="shared" si="7"/>
        <v>3906.8</v>
      </c>
      <c r="AJ15" s="118">
        <v>29</v>
      </c>
      <c r="AK15" s="121">
        <f t="shared" si="9"/>
        <v>1.1973180076628353E-2</v>
      </c>
      <c r="AL15" s="67">
        <f t="shared" si="1"/>
        <v>0.21781609195402299</v>
      </c>
      <c r="AM15" s="68">
        <f t="shared" si="1"/>
        <v>0.1814655172413793</v>
      </c>
      <c r="AN15" s="68">
        <f t="shared" si="1"/>
        <v>0.21551724137931033</v>
      </c>
      <c r="AO15" s="68">
        <f t="shared" si="1"/>
        <v>0.18663793103448276</v>
      </c>
      <c r="AP15" s="68">
        <f t="shared" si="1"/>
        <v>0.20704022988505746</v>
      </c>
      <c r="AQ15" s="68">
        <f t="shared" si="1"/>
        <v>0.24051724137931035</v>
      </c>
      <c r="AR15" s="68">
        <f t="shared" si="1"/>
        <v>0.24324712643678162</v>
      </c>
      <c r="AS15" s="68">
        <f t="shared" si="1"/>
        <v>0.17499999999999999</v>
      </c>
      <c r="AT15" s="68">
        <f t="shared" si="1"/>
        <v>0.12557471264367817</v>
      </c>
      <c r="AU15" s="68">
        <f t="shared" si="1"/>
        <v>0.10517241379310345</v>
      </c>
      <c r="AV15" s="68">
        <f t="shared" si="1"/>
        <v>5.8189655172413791E-2</v>
      </c>
      <c r="AW15" s="68">
        <f>IF(OR(O15="",O15="Sem monitoramento"),"VAZIO",IFERROR(O15/($AJ15*24),"-"))</f>
        <v>0.18735632183908046</v>
      </c>
      <c r="AX15" s="68">
        <f t="shared" si="1"/>
        <v>0.16379310344827586</v>
      </c>
      <c r="AY15" s="68">
        <f t="shared" si="1"/>
        <v>0.19238505747126439</v>
      </c>
      <c r="AZ15" s="68">
        <f t="shared" si="1"/>
        <v>0.24051724137931035</v>
      </c>
      <c r="BA15" s="68">
        <f t="shared" si="1"/>
        <v>0.22442528735632183</v>
      </c>
      <c r="BB15" s="68">
        <f>IF(OR(T15="",T15="Sem monitoramento"),"VAZIO",IFERROR(T15/($AJ15*24),"-"))</f>
        <v>0.17385057471264367</v>
      </c>
      <c r="BC15" s="68">
        <f>IF(OR(U15="",U15="Sem monitoramento"),"VAZIO",IFERROR(U15/($AJ15*24),"-"))</f>
        <v>0.2350574712643678</v>
      </c>
      <c r="BD15" s="68">
        <f t="shared" si="2"/>
        <v>0.23204022988505746</v>
      </c>
      <c r="BE15" s="68">
        <f t="shared" si="2"/>
        <v>0.21192528735632185</v>
      </c>
      <c r="BF15" s="68">
        <f t="shared" si="2"/>
        <v>0.17945402298850577</v>
      </c>
      <c r="BG15" s="68">
        <f t="shared" si="2"/>
        <v>0.22341954022988506</v>
      </c>
      <c r="BH15" s="68">
        <f t="shared" si="2"/>
        <v>0.15344827586206897</v>
      </c>
      <c r="BI15" s="68">
        <f t="shared" si="2"/>
        <v>0.20129310344827586</v>
      </c>
      <c r="BJ15" s="68">
        <f t="shared" si="2"/>
        <v>0.1706896551724138</v>
      </c>
      <c r="BK15" s="68">
        <f t="shared" si="8"/>
        <v>0.15617816091954023</v>
      </c>
      <c r="BL15" s="68">
        <f t="shared" si="2"/>
        <v>8.1752873563218392E-2</v>
      </c>
      <c r="BM15" s="68">
        <f t="shared" si="2"/>
        <v>0.2024425287356322</v>
      </c>
      <c r="BN15" s="68">
        <f t="shared" si="2"/>
        <v>0.20919540229885056</v>
      </c>
      <c r="BO15" s="68">
        <f t="shared" si="2"/>
        <v>0.16192528735632183</v>
      </c>
      <c r="BP15" s="70">
        <f t="shared" si="3"/>
        <v>0.18710727969348659</v>
      </c>
      <c r="BQ15" s="180">
        <f>'FCs estimados em PVsyst'!Y13</f>
        <v>0.1850095785440613</v>
      </c>
      <c r="BR15" s="72">
        <f t="shared" si="10"/>
        <v>5.365277777777778</v>
      </c>
      <c r="BS15" s="73">
        <f t="shared" si="11"/>
        <v>3.0507662835249028E-2</v>
      </c>
      <c r="BT15" s="74">
        <f t="shared" si="6"/>
        <v>2.0977011494252851E-3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519</v>
      </c>
      <c r="E16" s="63">
        <v>446.2</v>
      </c>
      <c r="F16" s="63">
        <v>506.4</v>
      </c>
      <c r="G16" s="63">
        <v>331.9</v>
      </c>
      <c r="H16" s="63">
        <v>424.9</v>
      </c>
      <c r="I16" s="63">
        <v>520.5</v>
      </c>
      <c r="J16" s="63">
        <v>561.20000000000005</v>
      </c>
      <c r="K16" s="230">
        <v>368.8</v>
      </c>
      <c r="L16" s="230">
        <v>272.8</v>
      </c>
      <c r="M16" s="63">
        <v>264.39999999999998</v>
      </c>
      <c r="N16" s="63">
        <v>143.1</v>
      </c>
      <c r="O16" s="359">
        <v>0.4</v>
      </c>
      <c r="P16" s="283">
        <v>376.5</v>
      </c>
      <c r="Q16" s="283">
        <v>452.1</v>
      </c>
      <c r="R16" s="63">
        <v>559.1</v>
      </c>
      <c r="S16" s="63">
        <v>451</v>
      </c>
      <c r="T16" s="141">
        <v>431.1</v>
      </c>
      <c r="U16" s="63">
        <v>491.1</v>
      </c>
      <c r="V16" s="63">
        <v>525.5</v>
      </c>
      <c r="W16" s="283">
        <v>555.5</v>
      </c>
      <c r="X16" s="63">
        <v>417</v>
      </c>
      <c r="Y16" s="63">
        <v>451.5</v>
      </c>
      <c r="Z16" s="15">
        <v>321.3</v>
      </c>
      <c r="AA16" s="18">
        <v>521.6</v>
      </c>
      <c r="AB16" s="363">
        <v>366.2</v>
      </c>
      <c r="AC16" s="212">
        <v>358.7</v>
      </c>
      <c r="AD16" s="212">
        <v>240.7</v>
      </c>
      <c r="AE16" s="15">
        <v>432.8</v>
      </c>
      <c r="AF16" s="15">
        <v>466.6</v>
      </c>
      <c r="AG16" s="15">
        <v>409.2</v>
      </c>
      <c r="AH16" s="371">
        <v>135.6</v>
      </c>
      <c r="AI16" s="290">
        <f t="shared" si="7"/>
        <v>12322.700000000004</v>
      </c>
      <c r="AJ16" s="118">
        <v>100</v>
      </c>
      <c r="AK16" s="121">
        <f t="shared" si="9"/>
        <v>1.1722222222222222E-2</v>
      </c>
      <c r="AL16" s="67">
        <f t="shared" si="1"/>
        <v>0.21625</v>
      </c>
      <c r="AM16" s="68">
        <f t="shared" si="1"/>
        <v>0.18591666666666667</v>
      </c>
      <c r="AN16" s="68">
        <f t="shared" si="1"/>
        <v>0.21099999999999999</v>
      </c>
      <c r="AO16" s="68">
        <f t="shared" si="1"/>
        <v>0.13829166666666665</v>
      </c>
      <c r="AP16" s="68">
        <f t="shared" si="1"/>
        <v>0.17704166666666665</v>
      </c>
      <c r="AQ16" s="68">
        <f t="shared" si="1"/>
        <v>0.21687500000000001</v>
      </c>
      <c r="AR16" s="68">
        <f t="shared" si="1"/>
        <v>0.23383333333333337</v>
      </c>
      <c r="AS16" s="68">
        <f t="shared" si="1"/>
        <v>0.15366666666666667</v>
      </c>
      <c r="AT16" s="68">
        <f t="shared" si="1"/>
        <v>0.11366666666666667</v>
      </c>
      <c r="AU16" s="68">
        <f t="shared" si="1"/>
        <v>0.11016666666666666</v>
      </c>
      <c r="AV16" s="68">
        <f t="shared" si="1"/>
        <v>5.9624999999999997E-2</v>
      </c>
      <c r="AW16" s="68">
        <f t="shared" si="1"/>
        <v>1.6666666666666669E-4</v>
      </c>
      <c r="AX16" s="68">
        <f t="shared" si="1"/>
        <v>0.15687499999999999</v>
      </c>
      <c r="AY16" s="68">
        <f t="shared" si="1"/>
        <v>0.18837500000000001</v>
      </c>
      <c r="AZ16" s="68">
        <f t="shared" si="1"/>
        <v>0.23295833333333335</v>
      </c>
      <c r="BA16" s="68">
        <f t="shared" si="1"/>
        <v>0.18791666666666668</v>
      </c>
      <c r="BB16" s="68">
        <f>IF(OR(T14="",T14="Sem monitoramento"),"VAZIO",IFERROR(T14/($AJ16*24),"-"))</f>
        <v>0.173875</v>
      </c>
      <c r="BC16" s="68">
        <f t="shared" si="2"/>
        <v>0.204625</v>
      </c>
      <c r="BD16" s="68">
        <f t="shared" si="2"/>
        <v>0.21895833333333334</v>
      </c>
      <c r="BE16" s="68">
        <f t="shared" si="2"/>
        <v>0.23145833333333332</v>
      </c>
      <c r="BF16" s="68">
        <f t="shared" si="2"/>
        <v>0.17374999999999999</v>
      </c>
      <c r="BG16" s="68">
        <f t="shared" si="2"/>
        <v>0.18812499999999999</v>
      </c>
      <c r="BH16" s="68">
        <f t="shared" si="2"/>
        <v>0.13387499999999999</v>
      </c>
      <c r="BI16" s="68">
        <f t="shared" si="2"/>
        <v>0.21733333333333335</v>
      </c>
      <c r="BJ16" s="68">
        <f t="shared" si="2"/>
        <v>0.15258333333333332</v>
      </c>
      <c r="BK16" s="68">
        <f t="shared" si="8"/>
        <v>0.14945833333333333</v>
      </c>
      <c r="BL16" s="68">
        <f t="shared" si="2"/>
        <v>0.10029166666666667</v>
      </c>
      <c r="BM16" s="68">
        <f t="shared" si="2"/>
        <v>0.18033333333333335</v>
      </c>
      <c r="BN16" s="68">
        <f t="shared" si="2"/>
        <v>0.19441666666666668</v>
      </c>
      <c r="BO16" s="68">
        <f t="shared" si="2"/>
        <v>0.17049999999999998</v>
      </c>
      <c r="BP16" s="70">
        <f t="shared" si="3"/>
        <v>0.17114861111111118</v>
      </c>
      <c r="BQ16" s="180">
        <f>'FCs estimados em PVsyst'!Y14</f>
        <v>0.16425000000000001</v>
      </c>
      <c r="BR16" s="72">
        <f t="shared" si="10"/>
        <v>16.425000000000001</v>
      </c>
      <c r="BS16" s="73">
        <f t="shared" si="11"/>
        <v>4.6749999999999986E-2</v>
      </c>
      <c r="BT16" s="74">
        <f t="shared" si="6"/>
        <v>6.8986111111111748E-3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528.5</v>
      </c>
      <c r="E17" s="63">
        <v>428.6</v>
      </c>
      <c r="F17" s="82">
        <v>520.29999999999995</v>
      </c>
      <c r="G17" s="282">
        <v>436.2</v>
      </c>
      <c r="H17" s="63">
        <v>550.29999999999995</v>
      </c>
      <c r="I17" s="82">
        <v>556.29999999999995</v>
      </c>
      <c r="J17" s="82">
        <v>563.5</v>
      </c>
      <c r="K17" s="230">
        <v>456.2</v>
      </c>
      <c r="L17" s="230">
        <v>201.7</v>
      </c>
      <c r="M17" s="63">
        <v>309.60000000000002</v>
      </c>
      <c r="N17" s="63">
        <v>207.2</v>
      </c>
      <c r="O17" s="63">
        <v>495</v>
      </c>
      <c r="P17" s="283">
        <v>444.5</v>
      </c>
      <c r="Q17" s="283">
        <v>477.3</v>
      </c>
      <c r="R17" s="63">
        <v>550.1</v>
      </c>
      <c r="S17" s="63">
        <v>487.4</v>
      </c>
      <c r="T17" s="63">
        <v>473.5</v>
      </c>
      <c r="U17" s="63">
        <v>493.8</v>
      </c>
      <c r="V17" s="63">
        <v>442.3</v>
      </c>
      <c r="W17" s="283">
        <v>533.20000000000005</v>
      </c>
      <c r="X17" s="63">
        <v>488.8</v>
      </c>
      <c r="Y17" s="63">
        <v>475.4</v>
      </c>
      <c r="Z17" s="15">
        <v>408.1</v>
      </c>
      <c r="AA17" s="18">
        <v>499.7</v>
      </c>
      <c r="AB17" s="364">
        <v>422.7</v>
      </c>
      <c r="AC17" s="212">
        <v>449.3</v>
      </c>
      <c r="AD17" s="255">
        <v>184.2</v>
      </c>
      <c r="AE17" s="15">
        <v>408.8</v>
      </c>
      <c r="AF17" s="15">
        <v>501.3</v>
      </c>
      <c r="AG17" s="207">
        <v>344.8</v>
      </c>
      <c r="AH17" s="371">
        <v>146.19999999999999</v>
      </c>
      <c r="AI17" s="290">
        <f t="shared" si="7"/>
        <v>13484.8</v>
      </c>
      <c r="AJ17" s="118">
        <v>100</v>
      </c>
      <c r="AK17" s="122">
        <f t="shared" si="9"/>
        <v>1.204398148148148E-2</v>
      </c>
      <c r="AL17" s="67">
        <f t="shared" si="1"/>
        <v>0.22020833333333334</v>
      </c>
      <c r="AM17" s="68">
        <f t="shared" si="1"/>
        <v>0.17858333333333334</v>
      </c>
      <c r="AN17" s="68">
        <f t="shared" si="1"/>
        <v>0.21679166666666666</v>
      </c>
      <c r="AO17" s="68">
        <f t="shared" si="1"/>
        <v>0.18174999999999999</v>
      </c>
      <c r="AP17" s="68">
        <f t="shared" si="1"/>
        <v>0.22929166666666664</v>
      </c>
      <c r="AQ17" s="68">
        <f t="shared" si="1"/>
        <v>0.23179166666666665</v>
      </c>
      <c r="AR17" s="68">
        <f t="shared" si="1"/>
        <v>0.23479166666666668</v>
      </c>
      <c r="AS17" s="68">
        <f t="shared" si="1"/>
        <v>0.19008333333333333</v>
      </c>
      <c r="AT17" s="68">
        <f t="shared" si="1"/>
        <v>8.4041666666666667E-2</v>
      </c>
      <c r="AU17" s="68">
        <f t="shared" si="1"/>
        <v>0.129</v>
      </c>
      <c r="AV17" s="68">
        <f t="shared" si="1"/>
        <v>8.6333333333333331E-2</v>
      </c>
      <c r="AW17" s="68">
        <f t="shared" si="1"/>
        <v>0.20624999999999999</v>
      </c>
      <c r="AX17" s="68">
        <f t="shared" si="1"/>
        <v>0.18520833333333334</v>
      </c>
      <c r="AY17" s="68">
        <f t="shared" si="1"/>
        <v>0.198875</v>
      </c>
      <c r="AZ17" s="68">
        <f t="shared" si="1"/>
        <v>0.22920833333333335</v>
      </c>
      <c r="BA17" s="68">
        <f t="shared" si="1"/>
        <v>0.20308333333333331</v>
      </c>
      <c r="BB17" s="68">
        <f t="shared" ref="BB17:BJ31" si="12">IF(OR(T17="",T17="Sem monitoramento"),"VAZIO",IFERROR(T17/($AJ17*24),"-"))</f>
        <v>0.19729166666666667</v>
      </c>
      <c r="BC17" s="68">
        <f t="shared" si="2"/>
        <v>0.20575000000000002</v>
      </c>
      <c r="BD17" s="68">
        <f t="shared" si="2"/>
        <v>0.18429166666666666</v>
      </c>
      <c r="BE17" s="68">
        <f t="shared" si="2"/>
        <v>0.22216666666666668</v>
      </c>
      <c r="BF17" s="68">
        <f t="shared" si="2"/>
        <v>0.20366666666666666</v>
      </c>
      <c r="BG17" s="68" t="e">
        <f>IF(OR(#REF!="",#REF!="Sem monitoramento"),"VAZIO",IFERROR(#REF!/($AJ17*24),"-"))</f>
        <v>#REF!</v>
      </c>
      <c r="BH17" s="68">
        <f t="shared" si="2"/>
        <v>0.17004166666666667</v>
      </c>
      <c r="BI17" s="68">
        <f t="shared" si="2"/>
        <v>0.20820833333333333</v>
      </c>
      <c r="BJ17" s="68">
        <f t="shared" si="2"/>
        <v>0.176125</v>
      </c>
      <c r="BK17" s="68">
        <f t="shared" si="8"/>
        <v>0.18720833333333334</v>
      </c>
      <c r="BL17" s="68">
        <f t="shared" si="2"/>
        <v>7.6749999999999999E-2</v>
      </c>
      <c r="BM17" s="68">
        <f t="shared" si="2"/>
        <v>0.17033333333333334</v>
      </c>
      <c r="BN17" s="68">
        <f t="shared" si="2"/>
        <v>0.20887500000000001</v>
      </c>
      <c r="BO17" s="68">
        <f t="shared" si="2"/>
        <v>0.14366666666666666</v>
      </c>
      <c r="BP17" s="70">
        <f t="shared" si="3"/>
        <v>0.18728888888888887</v>
      </c>
      <c r="BQ17" s="198">
        <f>$BQ$19</f>
        <v>0.168125</v>
      </c>
      <c r="BR17" s="90">
        <f t="shared" si="10"/>
        <v>16.8125</v>
      </c>
      <c r="BS17" s="73">
        <f t="shared" si="11"/>
        <v>4.8666666666666664E-2</v>
      </c>
      <c r="BT17" s="74">
        <f t="shared" si="6"/>
        <v>1.9163888888888869E-2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550.4</v>
      </c>
      <c r="E18" s="63">
        <v>434.2</v>
      </c>
      <c r="F18" s="312">
        <v>170.5</v>
      </c>
      <c r="G18" s="282">
        <v>336.2</v>
      </c>
      <c r="H18" s="63">
        <v>551.20000000000005</v>
      </c>
      <c r="I18" s="63">
        <v>574.5</v>
      </c>
      <c r="J18" s="63">
        <v>578.5</v>
      </c>
      <c r="K18" s="230">
        <v>457</v>
      </c>
      <c r="L18" s="230">
        <v>204.9</v>
      </c>
      <c r="M18" s="316">
        <v>314.3</v>
      </c>
      <c r="N18" s="63">
        <v>211.8</v>
      </c>
      <c r="O18" s="63">
        <v>496.9</v>
      </c>
      <c r="P18" s="63">
        <v>443.6</v>
      </c>
      <c r="Q18" s="283">
        <v>499.4</v>
      </c>
      <c r="R18" s="63">
        <v>576.5</v>
      </c>
      <c r="S18" s="63">
        <v>504.3</v>
      </c>
      <c r="T18" s="63">
        <v>495.4</v>
      </c>
      <c r="U18" s="63">
        <v>499.5</v>
      </c>
      <c r="V18" s="63">
        <v>432</v>
      </c>
      <c r="W18" s="283">
        <v>533.29999999999995</v>
      </c>
      <c r="X18" s="63">
        <v>498.5</v>
      </c>
      <c r="Y18" s="63">
        <v>492</v>
      </c>
      <c r="Z18" s="15">
        <v>408.2</v>
      </c>
      <c r="AA18" s="18">
        <v>512.9</v>
      </c>
      <c r="AB18" s="364">
        <v>420.2</v>
      </c>
      <c r="AC18" s="212">
        <v>452.6</v>
      </c>
      <c r="AD18" s="255">
        <v>192</v>
      </c>
      <c r="AE18" s="15">
        <v>432.3</v>
      </c>
      <c r="AF18" s="15">
        <v>525.29999999999995</v>
      </c>
      <c r="AG18" s="207">
        <v>351.4</v>
      </c>
      <c r="AH18" s="371">
        <v>153.19999999999999</v>
      </c>
      <c r="AI18" s="290">
        <f t="shared" si="7"/>
        <v>13302.999999999998</v>
      </c>
      <c r="AJ18" s="118">
        <v>100</v>
      </c>
      <c r="AK18" s="122">
        <f t="shared" si="9"/>
        <v>3.9467592592592592E-3</v>
      </c>
      <c r="AL18" s="67">
        <f t="shared" si="1"/>
        <v>0.22933333333333333</v>
      </c>
      <c r="AM18" s="68">
        <f t="shared" si="1"/>
        <v>0.18091666666666667</v>
      </c>
      <c r="AN18" s="68">
        <f t="shared" si="1"/>
        <v>7.104166666666667E-2</v>
      </c>
      <c r="AO18" s="68">
        <f t="shared" si="1"/>
        <v>0.14008333333333334</v>
      </c>
      <c r="AP18" s="68">
        <f t="shared" si="1"/>
        <v>0.22966666666666669</v>
      </c>
      <c r="AQ18" s="68">
        <f t="shared" si="1"/>
        <v>0.239375</v>
      </c>
      <c r="AR18" s="68">
        <f t="shared" si="1"/>
        <v>0.24104166666666665</v>
      </c>
      <c r="AS18" s="68">
        <f t="shared" si="1"/>
        <v>0.19041666666666668</v>
      </c>
      <c r="AT18" s="68">
        <f t="shared" si="1"/>
        <v>8.5375000000000006E-2</v>
      </c>
      <c r="AU18" s="68">
        <f>IF(OR(M21="",M21="Sem monitoramento"),"VAZIO",IFERROR(M21/($AJ18*24),"-"))</f>
        <v>0.10429166666666667</v>
      </c>
      <c r="AV18" s="68">
        <f t="shared" si="1"/>
        <v>8.8250000000000009E-2</v>
      </c>
      <c r="AW18" s="68">
        <f t="shared" si="1"/>
        <v>0.20704166666666665</v>
      </c>
      <c r="AX18" s="68">
        <f t="shared" si="1"/>
        <v>0.18483333333333335</v>
      </c>
      <c r="AY18" s="68">
        <f t="shared" si="1"/>
        <v>0.20808333333333331</v>
      </c>
      <c r="AZ18" s="68">
        <f t="shared" si="1"/>
        <v>0.24020833333333333</v>
      </c>
      <c r="BA18" s="68">
        <f t="shared" si="1"/>
        <v>0.21012500000000001</v>
      </c>
      <c r="BB18" s="68">
        <f t="shared" si="12"/>
        <v>0.20641666666666666</v>
      </c>
      <c r="BC18" s="68">
        <f t="shared" si="2"/>
        <v>0.208125</v>
      </c>
      <c r="BD18" s="68">
        <f t="shared" si="2"/>
        <v>0.18</v>
      </c>
      <c r="BE18" s="68">
        <f t="shared" si="2"/>
        <v>0.22220833333333331</v>
      </c>
      <c r="BF18" s="68">
        <f t="shared" si="2"/>
        <v>0.20770833333333333</v>
      </c>
      <c r="BG18" s="68">
        <f t="shared" si="2"/>
        <v>0.20499999999999999</v>
      </c>
      <c r="BH18" s="68">
        <f>IF(OR(Z18="",Z18="Sem monitoramento"),"VAZIO",IFERROR(Z18/($AJ18*24),"-"))</f>
        <v>0.17008333333333334</v>
      </c>
      <c r="BI18" s="68">
        <f t="shared" si="2"/>
        <v>0.21370833333333333</v>
      </c>
      <c r="BJ18" s="68">
        <f t="shared" si="2"/>
        <v>0.17508333333333334</v>
      </c>
      <c r="BK18" s="68">
        <f t="shared" si="8"/>
        <v>0.18858333333333335</v>
      </c>
      <c r="BL18" s="68">
        <f t="shared" si="2"/>
        <v>0.08</v>
      </c>
      <c r="BM18" s="68">
        <f t="shared" si="2"/>
        <v>0.18012500000000001</v>
      </c>
      <c r="BN18" s="68">
        <f t="shared" si="2"/>
        <v>0.21887499999999999</v>
      </c>
      <c r="BO18" s="68">
        <f t="shared" si="2"/>
        <v>0.14641666666666667</v>
      </c>
      <c r="BP18" s="70">
        <f t="shared" si="3"/>
        <v>0.18476388888888887</v>
      </c>
      <c r="BQ18" s="198">
        <f>$BQ$19</f>
        <v>0.168125</v>
      </c>
      <c r="BR18" s="90">
        <f t="shared" si="10"/>
        <v>16.8125</v>
      </c>
      <c r="BS18" s="73">
        <f t="shared" si="11"/>
        <v>-9.7083333333333327E-2</v>
      </c>
      <c r="BT18" s="74">
        <f t="shared" si="6"/>
        <v>1.663888888888887E-2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459.2</v>
      </c>
      <c r="E19" s="63">
        <v>336.3</v>
      </c>
      <c r="F19" s="63">
        <v>409.2</v>
      </c>
      <c r="G19" s="63">
        <v>377.1</v>
      </c>
      <c r="H19" s="63">
        <v>460.5</v>
      </c>
      <c r="I19" s="63">
        <v>488.1</v>
      </c>
      <c r="J19" s="283">
        <v>477.7</v>
      </c>
      <c r="K19" s="63">
        <v>383.3</v>
      </c>
      <c r="L19" s="230">
        <v>176.1</v>
      </c>
      <c r="M19" s="63">
        <v>255.5</v>
      </c>
      <c r="N19" s="226">
        <v>173.9</v>
      </c>
      <c r="O19" s="63">
        <v>407.4</v>
      </c>
      <c r="P19" s="63">
        <v>385.5</v>
      </c>
      <c r="Q19" s="283">
        <v>370.3</v>
      </c>
      <c r="R19" s="63">
        <v>463.6</v>
      </c>
      <c r="S19" s="63">
        <v>411.3</v>
      </c>
      <c r="T19" s="63">
        <v>417.4</v>
      </c>
      <c r="U19" s="63">
        <v>405.6</v>
      </c>
      <c r="V19" s="283">
        <v>408.2</v>
      </c>
      <c r="W19" s="282">
        <v>315.2</v>
      </c>
      <c r="X19" s="283">
        <v>388.8</v>
      </c>
      <c r="Y19" s="316">
        <v>407.3</v>
      </c>
      <c r="Z19" s="15">
        <v>357.5</v>
      </c>
      <c r="AA19" s="18">
        <v>411.6</v>
      </c>
      <c r="AB19" s="364">
        <v>360.2</v>
      </c>
      <c r="AC19" s="212">
        <v>381.1</v>
      </c>
      <c r="AD19" s="255">
        <v>176.3</v>
      </c>
      <c r="AE19" s="221">
        <v>346.2</v>
      </c>
      <c r="AF19" s="15">
        <v>407.1</v>
      </c>
      <c r="AG19" s="207">
        <v>307.39999999999998</v>
      </c>
      <c r="AH19" s="371">
        <v>127.1</v>
      </c>
      <c r="AI19" s="290">
        <f t="shared" si="7"/>
        <v>11252.000000000002</v>
      </c>
      <c r="AJ19" s="118">
        <v>80</v>
      </c>
      <c r="AK19" s="121">
        <f t="shared" si="9"/>
        <v>1.1840277777777778E-2</v>
      </c>
      <c r="AL19" s="67">
        <f t="shared" si="1"/>
        <v>0.23916666666666667</v>
      </c>
      <c r="AM19" s="68">
        <f t="shared" si="1"/>
        <v>0.17515625000000001</v>
      </c>
      <c r="AN19" s="68">
        <f t="shared" si="1"/>
        <v>0.21312499999999998</v>
      </c>
      <c r="AO19" s="68">
        <f t="shared" si="1"/>
        <v>0.19640625</v>
      </c>
      <c r="AP19" s="68">
        <f t="shared" si="1"/>
        <v>0.23984374999999999</v>
      </c>
      <c r="AQ19" s="68">
        <f t="shared" si="1"/>
        <v>0.25421874999999999</v>
      </c>
      <c r="AR19" s="68">
        <f t="shared" si="1"/>
        <v>0.24880208333333334</v>
      </c>
      <c r="AS19" s="68">
        <f t="shared" si="1"/>
        <v>0.19963541666666668</v>
      </c>
      <c r="AT19" s="68">
        <f>IF(OR(L21="",L21="Sem monitoramento"),"VAZIO",IFERROR(L21/($AJ19*24),"-"))</f>
        <v>9.4947916666666674E-2</v>
      </c>
      <c r="AU19" s="68">
        <f t="shared" si="1"/>
        <v>0.13307291666666668</v>
      </c>
      <c r="AV19" s="68">
        <f t="shared" si="1"/>
        <v>9.057291666666667E-2</v>
      </c>
      <c r="AW19" s="68">
        <f t="shared" si="1"/>
        <v>0.2121875</v>
      </c>
      <c r="AX19" s="68">
        <f t="shared" si="1"/>
        <v>0.20078124999999999</v>
      </c>
      <c r="AY19" s="68">
        <f t="shared" si="1"/>
        <v>0.19286458333333334</v>
      </c>
      <c r="AZ19" s="68">
        <f t="shared" si="1"/>
        <v>0.24145833333333336</v>
      </c>
      <c r="BA19" s="68">
        <f t="shared" si="1"/>
        <v>0.21421875000000001</v>
      </c>
      <c r="BB19" s="68">
        <f t="shared" si="12"/>
        <v>0.21739583333333332</v>
      </c>
      <c r="BC19" s="68">
        <f t="shared" si="2"/>
        <v>0.21125000000000002</v>
      </c>
      <c r="BD19" s="68">
        <f t="shared" si="2"/>
        <v>0.21260416666666665</v>
      </c>
      <c r="BE19" s="68">
        <f t="shared" si="2"/>
        <v>0.16416666666666666</v>
      </c>
      <c r="BF19" s="68">
        <f t="shared" si="2"/>
        <v>0.20250000000000001</v>
      </c>
      <c r="BG19" s="68">
        <f>IF(OR(Y17="",Y17="Sem monitoramento"),"VAZIO",IFERROR(Y17/($AJ19*24),"-"))</f>
        <v>0.24760416666666665</v>
      </c>
      <c r="BH19" s="68">
        <f>IF(OR(Z19="",Z19="Sem monitoramento"),"VAZIO",IFERROR(Z19/($AJ19*24),"-"))</f>
        <v>0.18619791666666666</v>
      </c>
      <c r="BI19" s="68">
        <f t="shared" si="2"/>
        <v>0.21437500000000001</v>
      </c>
      <c r="BJ19" s="68">
        <f t="shared" si="2"/>
        <v>0.18760416666666666</v>
      </c>
      <c r="BK19" s="68">
        <f t="shared" si="8"/>
        <v>0.19848958333333336</v>
      </c>
      <c r="BL19" s="68">
        <f t="shared" si="2"/>
        <v>9.1822916666666671E-2</v>
      </c>
      <c r="BM19" s="68">
        <f t="shared" si="2"/>
        <v>0.18031249999999999</v>
      </c>
      <c r="BN19" s="68">
        <f t="shared" si="2"/>
        <v>0.21203125</v>
      </c>
      <c r="BO19" s="68">
        <f t="shared" si="2"/>
        <v>0.16010416666666666</v>
      </c>
      <c r="BP19" s="70">
        <f t="shared" si="3"/>
        <v>0.19534722222222226</v>
      </c>
      <c r="BQ19" s="180">
        <f>'FCs estimados em PVsyst'!Y17</f>
        <v>0.168125</v>
      </c>
      <c r="BR19" s="72">
        <f t="shared" si="10"/>
        <v>13.45</v>
      </c>
      <c r="BS19" s="73">
        <f t="shared" si="11"/>
        <v>4.4999999999999984E-2</v>
      </c>
      <c r="BT19" s="74">
        <f t="shared" si="6"/>
        <v>2.7222222222222259E-2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62">
        <v>551.29999999999995</v>
      </c>
      <c r="E20" s="63">
        <v>427.3</v>
      </c>
      <c r="F20" s="63">
        <v>494.2</v>
      </c>
      <c r="G20" s="63">
        <v>464.6</v>
      </c>
      <c r="H20" s="63">
        <v>550.29999999999995</v>
      </c>
      <c r="I20" s="63">
        <v>582</v>
      </c>
      <c r="J20" s="283">
        <v>587.6</v>
      </c>
      <c r="K20" s="63">
        <v>499.1</v>
      </c>
      <c r="L20" s="230">
        <v>233.2</v>
      </c>
      <c r="M20" s="63">
        <v>325</v>
      </c>
      <c r="N20" s="256">
        <v>227.7</v>
      </c>
      <c r="O20" s="63">
        <v>520.70000000000005</v>
      </c>
      <c r="P20" s="63">
        <v>462.6</v>
      </c>
      <c r="Q20" s="283">
        <v>424.1</v>
      </c>
      <c r="R20" s="63">
        <v>549.79999999999995</v>
      </c>
      <c r="S20" s="63">
        <v>394.5</v>
      </c>
      <c r="T20" s="283">
        <v>510.7</v>
      </c>
      <c r="U20" s="63">
        <v>499.7</v>
      </c>
      <c r="V20" s="282">
        <v>386.6</v>
      </c>
      <c r="W20" s="282">
        <v>373.8</v>
      </c>
      <c r="X20" s="283">
        <v>468.8</v>
      </c>
      <c r="Y20" s="63">
        <v>480.3</v>
      </c>
      <c r="Z20" s="15">
        <v>459</v>
      </c>
      <c r="AA20" s="18">
        <v>512.20000000000005</v>
      </c>
      <c r="AB20" s="364">
        <v>463</v>
      </c>
      <c r="AC20" s="212">
        <v>392.8</v>
      </c>
      <c r="AD20" s="255">
        <v>230</v>
      </c>
      <c r="AE20" s="221">
        <v>429.5</v>
      </c>
      <c r="AF20" s="15">
        <v>505.1</v>
      </c>
      <c r="AG20" s="207">
        <v>395.6</v>
      </c>
      <c r="AH20" s="371">
        <v>167.7</v>
      </c>
      <c r="AI20" s="290">
        <f t="shared" si="7"/>
        <v>13568.8</v>
      </c>
      <c r="AJ20" s="118">
        <v>100</v>
      </c>
      <c r="AK20" s="121">
        <f t="shared" si="9"/>
        <v>1.1439814814814814E-2</v>
      </c>
      <c r="AL20" s="67">
        <f t="shared" si="1"/>
        <v>0.22970833333333332</v>
      </c>
      <c r="AM20" s="68">
        <f t="shared" si="1"/>
        <v>0.17804166666666668</v>
      </c>
      <c r="AN20" s="68">
        <f t="shared" si="1"/>
        <v>0.20591666666666666</v>
      </c>
      <c r="AO20" s="68">
        <f t="shared" si="1"/>
        <v>0.19358333333333333</v>
      </c>
      <c r="AP20" s="68">
        <f t="shared" si="1"/>
        <v>0.22929166666666664</v>
      </c>
      <c r="AQ20" s="68">
        <f t="shared" si="1"/>
        <v>0.24249999999999999</v>
      </c>
      <c r="AR20" s="68">
        <f t="shared" si="1"/>
        <v>0.24483333333333335</v>
      </c>
      <c r="AS20" s="68">
        <f t="shared" si="1"/>
        <v>0.20795833333333336</v>
      </c>
      <c r="AT20" s="68">
        <f t="shared" si="1"/>
        <v>9.7166666666666665E-2</v>
      </c>
      <c r="AU20" s="68">
        <f t="shared" si="1"/>
        <v>0.13541666666666666</v>
      </c>
      <c r="AV20" s="68">
        <f>IF(OR(N21="",N21="Sem monitoramento"),"VAZIO",IFERROR(N21/($AJ20*24),"-"))</f>
        <v>7.3291666666666672E-2</v>
      </c>
      <c r="AW20" s="68" t="e">
        <f>IF(OR(#REF!="",#REF!="Sem monitoramento"),"VAZIO",IFERROR(#REF!/($AJ20*24),"-"))</f>
        <v>#REF!</v>
      </c>
      <c r="AX20" s="68">
        <f t="shared" si="1"/>
        <v>0.19275</v>
      </c>
      <c r="AY20" s="68">
        <f t="shared" si="1"/>
        <v>0.17670833333333336</v>
      </c>
      <c r="AZ20" s="68">
        <f t="shared" si="1"/>
        <v>0.22908333333333331</v>
      </c>
      <c r="BA20" s="68">
        <f>IF(OR(S21="",S21="Sem monitoramento"),"VAZIO",IFERROR(S21/($AJ20*24),"-"))</f>
        <v>0.19679166666666667</v>
      </c>
      <c r="BB20" s="68">
        <f t="shared" si="12"/>
        <v>0.21279166666666666</v>
      </c>
      <c r="BC20" s="68">
        <f t="shared" si="2"/>
        <v>0.20820833333333333</v>
      </c>
      <c r="BD20" s="68">
        <f t="shared" si="2"/>
        <v>0.16108333333333336</v>
      </c>
      <c r="BE20" s="68">
        <f t="shared" si="2"/>
        <v>0.15575</v>
      </c>
      <c r="BF20" s="68">
        <f>IF(OR(X21="",X21="Sem monitoramento"),"VAZIO",IFERROR(X21/($AJ20*24),"-"))</f>
        <v>0.16200000000000001</v>
      </c>
      <c r="BG20" s="68" t="e">
        <f>IF(OR(#REF!="",#REF!="Sem monitoramento"),"VAZIO",IFERROR(#REF!/($AJ20*24),"-"))</f>
        <v>#REF!</v>
      </c>
      <c r="BH20" s="68">
        <f t="shared" si="2"/>
        <v>0.19125</v>
      </c>
      <c r="BI20" s="68">
        <f t="shared" si="2"/>
        <v>0.2134166666666667</v>
      </c>
      <c r="BJ20" s="68">
        <f t="shared" si="2"/>
        <v>0.19291666666666665</v>
      </c>
      <c r="BK20" s="68">
        <f t="shared" si="8"/>
        <v>0.16366666666666668</v>
      </c>
      <c r="BL20" s="68">
        <f t="shared" si="2"/>
        <v>9.583333333333334E-2</v>
      </c>
      <c r="BM20" s="68">
        <f t="shared" si="2"/>
        <v>0.17895833333333333</v>
      </c>
      <c r="BN20" s="68">
        <f t="shared" si="2"/>
        <v>0.21045833333333333</v>
      </c>
      <c r="BO20" s="68">
        <f t="shared" si="2"/>
        <v>0.16483333333333333</v>
      </c>
      <c r="BP20" s="70">
        <f t="shared" si="3"/>
        <v>0.18845555555555554</v>
      </c>
      <c r="BQ20" s="198">
        <f t="shared" ref="BQ20:BQ29" si="13">$BQ$19</f>
        <v>0.168125</v>
      </c>
      <c r="BR20" s="72">
        <f t="shared" si="10"/>
        <v>16.8125</v>
      </c>
      <c r="BS20" s="73">
        <f t="shared" si="11"/>
        <v>3.7791666666666668E-2</v>
      </c>
      <c r="BT20" s="74">
        <f t="shared" si="6"/>
        <v>2.0330555555555546E-2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62">
        <v>462.2</v>
      </c>
      <c r="E21" s="63">
        <v>340.5</v>
      </c>
      <c r="F21" s="63">
        <v>419.8</v>
      </c>
      <c r="G21" s="63">
        <v>386.2</v>
      </c>
      <c r="H21" s="63">
        <v>455.2</v>
      </c>
      <c r="I21" s="63">
        <v>490.5</v>
      </c>
      <c r="J21" s="283">
        <v>486.5</v>
      </c>
      <c r="K21" s="63">
        <v>411.6</v>
      </c>
      <c r="L21" s="259">
        <v>182.3</v>
      </c>
      <c r="M21" s="63">
        <v>250.3</v>
      </c>
      <c r="N21" s="226">
        <v>175.9</v>
      </c>
      <c r="O21" s="63">
        <v>426.6</v>
      </c>
      <c r="P21" s="63">
        <v>390.8</v>
      </c>
      <c r="Q21" s="283">
        <v>348.7</v>
      </c>
      <c r="R21" s="63">
        <v>457.9</v>
      </c>
      <c r="S21" s="63">
        <v>472.3</v>
      </c>
      <c r="T21" s="283">
        <v>405.8</v>
      </c>
      <c r="U21" s="63">
        <v>416.7</v>
      </c>
      <c r="V21" s="282">
        <v>344.5</v>
      </c>
      <c r="W21" s="282">
        <v>315.3</v>
      </c>
      <c r="X21" s="283">
        <v>388.8</v>
      </c>
      <c r="Y21" s="63">
        <v>404.3</v>
      </c>
      <c r="Z21" s="15">
        <v>382.2</v>
      </c>
      <c r="AA21" s="18">
        <v>417.1</v>
      </c>
      <c r="AB21" s="364">
        <v>379.7</v>
      </c>
      <c r="AC21" s="212">
        <v>397.8</v>
      </c>
      <c r="AD21" s="255">
        <v>175</v>
      </c>
      <c r="AE21" s="221">
        <v>335.6</v>
      </c>
      <c r="AF21" s="15">
        <v>396.2</v>
      </c>
      <c r="AG21" s="207">
        <v>313.7</v>
      </c>
      <c r="AH21" s="371">
        <v>126.4</v>
      </c>
      <c r="AI21" s="290">
        <f t="shared" si="7"/>
        <v>11356.400000000003</v>
      </c>
      <c r="AJ21" s="118">
        <v>100</v>
      </c>
      <c r="AK21" s="121">
        <f t="shared" si="9"/>
        <v>9.7175925925925936E-3</v>
      </c>
      <c r="AL21" s="67">
        <f t="shared" ref="AL21:AT31" si="14">IF(OR(D21="",D21="Sem monitoramento"),"VAZIO",IFERROR(D21/($AJ21*24),"-"))</f>
        <v>0.19258333333333333</v>
      </c>
      <c r="AM21" s="68">
        <f t="shared" si="14"/>
        <v>0.141875</v>
      </c>
      <c r="AN21" s="68">
        <f t="shared" si="14"/>
        <v>0.17491666666666666</v>
      </c>
      <c r="AO21" s="68">
        <f t="shared" si="14"/>
        <v>0.16091666666666665</v>
      </c>
      <c r="AP21" s="68">
        <f t="shared" si="14"/>
        <v>0.18966666666666665</v>
      </c>
      <c r="AQ21" s="68">
        <f t="shared" si="14"/>
        <v>0.204375</v>
      </c>
      <c r="AR21" s="68">
        <f t="shared" si="14"/>
        <v>0.20270833333333332</v>
      </c>
      <c r="AS21" s="68">
        <f t="shared" si="14"/>
        <v>0.17150000000000001</v>
      </c>
      <c r="AT21" s="68" t="e">
        <f>IF(OR(#REF!="",#REF!="Sem monitoramento"),"VAZIO",IFERROR(#REF!/($AJ21*24),"-"))</f>
        <v>#REF!</v>
      </c>
      <c r="AU21" s="68" t="e">
        <f>IF(OR(#REF!="",#REF!="Sem monitoramento"),"VAZIO",IFERROR(#REF!/($AJ21*24),"-"))</f>
        <v>#REF!</v>
      </c>
      <c r="AV21" s="68" t="e">
        <f>IF(OR(#REF!="",#REF!="Sem monitoramento"),"VAZIO",IFERROR(#REF!/($AJ21*24),"-"))</f>
        <v>#REF!</v>
      </c>
      <c r="AW21" s="68">
        <f t="shared" ref="AU21:BA31" si="15">IF(OR(O21="",O21="Sem monitoramento"),"VAZIO",IFERROR(O21/($AJ21*24),"-"))</f>
        <v>0.17775000000000002</v>
      </c>
      <c r="AX21" s="68">
        <f t="shared" si="15"/>
        <v>0.16283333333333333</v>
      </c>
      <c r="AY21" s="68">
        <f t="shared" si="15"/>
        <v>0.14529166666666665</v>
      </c>
      <c r="AZ21" s="68">
        <f t="shared" si="15"/>
        <v>0.19079166666666666</v>
      </c>
      <c r="BA21" s="68" t="e">
        <f>IF(OR(#REF!="",#REF!="Sem monitoramento"),"VAZIO",IFERROR(#REF!/($AJ21*24),"-"))</f>
        <v>#REF!</v>
      </c>
      <c r="BB21" s="68">
        <f t="shared" si="12"/>
        <v>0.16908333333333334</v>
      </c>
      <c r="BC21" s="68">
        <f t="shared" si="12"/>
        <v>0.173625</v>
      </c>
      <c r="BD21" s="68">
        <f t="shared" si="12"/>
        <v>0.14354166666666668</v>
      </c>
      <c r="BE21" s="68">
        <f t="shared" si="12"/>
        <v>0.13137499999999999</v>
      </c>
      <c r="BF21" s="68" t="e">
        <f>IF(OR(#REF!="",#REF!="Sem monitoramento"),"VAZIO",IFERROR(#REF!/($AJ21*24),"-"))</f>
        <v>#REF!</v>
      </c>
      <c r="BG21" s="68">
        <f t="shared" si="12"/>
        <v>0.16845833333333335</v>
      </c>
      <c r="BH21" s="68">
        <f t="shared" si="12"/>
        <v>0.15925</v>
      </c>
      <c r="BI21" s="68">
        <f t="shared" si="12"/>
        <v>0.17379166666666668</v>
      </c>
      <c r="BJ21" s="68">
        <f>IF(OR(AB20="",AB20="Sem monitoramento"),"VAZIO",IFERROR(AB20/($AJ21*24),"-"))</f>
        <v>0.19291666666666665</v>
      </c>
      <c r="BK21" s="68">
        <f t="shared" si="8"/>
        <v>0.16575000000000001</v>
      </c>
      <c r="BL21" s="68">
        <f t="shared" si="8"/>
        <v>7.2916666666666671E-2</v>
      </c>
      <c r="BM21" s="68">
        <f t="shared" si="8"/>
        <v>0.13983333333333334</v>
      </c>
      <c r="BN21" s="68">
        <f t="shared" si="8"/>
        <v>0.16508333333333333</v>
      </c>
      <c r="BO21" s="68">
        <f t="shared" si="8"/>
        <v>0.13070833333333332</v>
      </c>
      <c r="BP21" s="70">
        <f t="shared" si="3"/>
        <v>0.15772777777777783</v>
      </c>
      <c r="BQ21" s="198">
        <f t="shared" si="13"/>
        <v>0.168125</v>
      </c>
      <c r="BR21" s="72">
        <f t="shared" si="10"/>
        <v>16.8125</v>
      </c>
      <c r="BS21" s="73">
        <f t="shared" si="11"/>
        <v>6.7916666666666681E-3</v>
      </c>
      <c r="BT21" s="74">
        <f t="shared" si="6"/>
        <v>-1.0397222222222169E-2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62">
        <v>452.3</v>
      </c>
      <c r="E22" s="63">
        <v>426.5</v>
      </c>
      <c r="F22" s="63">
        <v>487.73</v>
      </c>
      <c r="G22" s="63">
        <v>355.5</v>
      </c>
      <c r="H22" s="63">
        <v>432.02</v>
      </c>
      <c r="I22" s="63">
        <v>488</v>
      </c>
      <c r="J22" s="63">
        <v>360.69</v>
      </c>
      <c r="K22" s="319">
        <v>350</v>
      </c>
      <c r="L22" s="319">
        <v>200</v>
      </c>
      <c r="M22" s="319">
        <v>220</v>
      </c>
      <c r="N22" s="319">
        <v>101</v>
      </c>
      <c r="O22" s="319">
        <v>510</v>
      </c>
      <c r="P22" s="319">
        <v>280</v>
      </c>
      <c r="Q22" s="283">
        <v>340</v>
      </c>
      <c r="R22" s="63">
        <v>609.5</v>
      </c>
      <c r="S22" s="63">
        <v>571</v>
      </c>
      <c r="T22" s="63">
        <v>514.1</v>
      </c>
      <c r="U22" s="63">
        <v>646.6</v>
      </c>
      <c r="V22" s="63">
        <v>590.4</v>
      </c>
      <c r="W22" s="283">
        <v>618.1</v>
      </c>
      <c r="X22" s="63">
        <v>540.70000000000005</v>
      </c>
      <c r="Y22" s="63">
        <v>592.20000000000005</v>
      </c>
      <c r="Z22" s="15">
        <v>418.3</v>
      </c>
      <c r="AA22" s="18">
        <v>544.4</v>
      </c>
      <c r="AB22" s="364">
        <v>422.1</v>
      </c>
      <c r="AC22" s="212">
        <v>435.3</v>
      </c>
      <c r="AD22" s="367">
        <v>307.7</v>
      </c>
      <c r="AE22" s="15">
        <v>499.1</v>
      </c>
      <c r="AF22" s="15">
        <v>568.79999999999995</v>
      </c>
      <c r="AG22" s="207">
        <v>405.8</v>
      </c>
      <c r="AH22" s="371">
        <v>178.9</v>
      </c>
      <c r="AI22" s="290">
        <f t="shared" si="7"/>
        <v>13466.74</v>
      </c>
      <c r="AJ22" s="118">
        <v>100</v>
      </c>
      <c r="AK22" s="121">
        <f t="shared" si="9"/>
        <v>1.1290046296296296E-2</v>
      </c>
      <c r="AL22" s="67">
        <f t="shared" si="14"/>
        <v>0.18845833333333334</v>
      </c>
      <c r="AM22" s="68">
        <f t="shared" si="14"/>
        <v>0.17770833333333333</v>
      </c>
      <c r="AN22" s="68">
        <f t="shared" si="14"/>
        <v>0.20322083333333335</v>
      </c>
      <c r="AO22" s="68">
        <f t="shared" si="14"/>
        <v>0.14812500000000001</v>
      </c>
      <c r="AP22" s="68">
        <f t="shared" si="14"/>
        <v>0.18000833333333333</v>
      </c>
      <c r="AQ22" s="68">
        <f t="shared" si="14"/>
        <v>0.20333333333333334</v>
      </c>
      <c r="AR22" s="68">
        <f t="shared" si="14"/>
        <v>0.15028749999999999</v>
      </c>
      <c r="AS22" s="68">
        <f t="shared" si="14"/>
        <v>0.14583333333333334</v>
      </c>
      <c r="AT22" s="68">
        <f t="shared" si="14"/>
        <v>8.3333333333333329E-2</v>
      </c>
      <c r="AU22" s="68">
        <f t="shared" si="15"/>
        <v>9.166666666666666E-2</v>
      </c>
      <c r="AV22" s="68">
        <f t="shared" si="15"/>
        <v>4.2083333333333334E-2</v>
      </c>
      <c r="AW22" s="68">
        <f t="shared" si="15"/>
        <v>0.21249999999999999</v>
      </c>
      <c r="AX22" s="68">
        <f t="shared" si="15"/>
        <v>0.11666666666666667</v>
      </c>
      <c r="AY22" s="68">
        <f t="shared" si="15"/>
        <v>0.14166666666666666</v>
      </c>
      <c r="AZ22" s="68">
        <f t="shared" si="15"/>
        <v>0.25395833333333334</v>
      </c>
      <c r="BA22" s="68">
        <f t="shared" si="15"/>
        <v>0.23791666666666667</v>
      </c>
      <c r="BB22" s="68">
        <f t="shared" si="12"/>
        <v>0.21420833333333333</v>
      </c>
      <c r="BC22" s="68">
        <f t="shared" si="12"/>
        <v>0.26941666666666669</v>
      </c>
      <c r="BD22" s="68">
        <f t="shared" si="12"/>
        <v>0.246</v>
      </c>
      <c r="BE22" s="68">
        <f t="shared" si="12"/>
        <v>0.25754166666666667</v>
      </c>
      <c r="BF22" s="68">
        <f t="shared" si="12"/>
        <v>0.2252916666666667</v>
      </c>
      <c r="BG22" s="68">
        <f t="shared" si="12"/>
        <v>0.24675000000000002</v>
      </c>
      <c r="BH22" s="68">
        <f t="shared" si="12"/>
        <v>0.17429166666666668</v>
      </c>
      <c r="BI22" s="68">
        <f t="shared" si="12"/>
        <v>0.22683333333333333</v>
      </c>
      <c r="BJ22" s="68">
        <f>IF(OR(AB21="",AB21="Sem monitoramento"),"VAZIO",IFERROR(AB21/($AJ22*24),"-"))</f>
        <v>0.15820833333333334</v>
      </c>
      <c r="BK22" s="68">
        <f t="shared" si="8"/>
        <v>0.18137500000000001</v>
      </c>
      <c r="BL22" s="68">
        <f t="shared" si="8"/>
        <v>0.12820833333333334</v>
      </c>
      <c r="BM22" s="68">
        <f t="shared" si="8"/>
        <v>0.20795833333333336</v>
      </c>
      <c r="BN22" s="68">
        <f t="shared" si="8"/>
        <v>0.23699999999999999</v>
      </c>
      <c r="BO22" s="68">
        <f t="shared" si="8"/>
        <v>0.16908333333333334</v>
      </c>
      <c r="BP22" s="70">
        <f t="shared" si="3"/>
        <v>0.18703805555555555</v>
      </c>
      <c r="BQ22" s="198">
        <f t="shared" si="13"/>
        <v>0.168125</v>
      </c>
      <c r="BR22" s="72">
        <f t="shared" si="10"/>
        <v>16.8125</v>
      </c>
      <c r="BS22" s="73">
        <f t="shared" si="11"/>
        <v>3.5095833333333354E-2</v>
      </c>
      <c r="BT22" s="74">
        <f t="shared" si="6"/>
        <v>1.8913055555555558E-2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523.6</v>
      </c>
      <c r="E23" s="63">
        <v>489.2</v>
      </c>
      <c r="F23" s="283">
        <v>550</v>
      </c>
      <c r="G23" s="63">
        <f>413.7-(550-564.9)</f>
        <v>428.59999999999997</v>
      </c>
      <c r="H23" s="63">
        <v>493.5</v>
      </c>
      <c r="I23" s="63">
        <v>568.79999999999995</v>
      </c>
      <c r="J23" s="63">
        <v>575.9</v>
      </c>
      <c r="K23" s="63">
        <v>393.9</v>
      </c>
      <c r="L23" s="226">
        <v>259.3</v>
      </c>
      <c r="M23" s="226">
        <v>281.7</v>
      </c>
      <c r="N23" s="63">
        <v>136.30000000000001</v>
      </c>
      <c r="O23" s="316">
        <v>493.1</v>
      </c>
      <c r="P23" s="63">
        <v>390</v>
      </c>
      <c r="Q23" s="283">
        <v>452.5</v>
      </c>
      <c r="R23" s="63">
        <v>554.6</v>
      </c>
      <c r="S23" s="63">
        <v>504.5</v>
      </c>
      <c r="T23" s="63">
        <v>433.8</v>
      </c>
      <c r="U23" s="63">
        <v>582.79999999999995</v>
      </c>
      <c r="V23" s="63">
        <v>533.70000000000005</v>
      </c>
      <c r="W23" s="283">
        <v>540.79999999999995</v>
      </c>
      <c r="X23" s="63">
        <v>468.9</v>
      </c>
      <c r="Y23" s="63">
        <v>532.1</v>
      </c>
      <c r="Z23" s="15">
        <v>361.1</v>
      </c>
      <c r="AA23" s="18">
        <v>466.8</v>
      </c>
      <c r="AB23" s="364">
        <v>373.6</v>
      </c>
      <c r="AC23" s="212">
        <v>374</v>
      </c>
      <c r="AD23" s="212">
        <v>241.4</v>
      </c>
      <c r="AE23" s="15">
        <v>388.5</v>
      </c>
      <c r="AF23" s="15">
        <v>485.8</v>
      </c>
      <c r="AG23" s="207">
        <v>348.5</v>
      </c>
      <c r="AH23" s="371">
        <v>140.9</v>
      </c>
      <c r="AI23" s="290">
        <f t="shared" si="7"/>
        <v>13368.199999999999</v>
      </c>
      <c r="AJ23" s="118">
        <v>100</v>
      </c>
      <c r="AK23" s="121">
        <f t="shared" si="9"/>
        <v>1.2731481481481481E-2</v>
      </c>
      <c r="AL23" s="67">
        <f t="shared" si="14"/>
        <v>0.21816666666666668</v>
      </c>
      <c r="AM23" s="68">
        <f t="shared" si="14"/>
        <v>0.20383333333333334</v>
      </c>
      <c r="AN23" s="68">
        <f t="shared" si="14"/>
        <v>0.22916666666666666</v>
      </c>
      <c r="AO23" s="68">
        <f t="shared" si="14"/>
        <v>0.17858333333333332</v>
      </c>
      <c r="AP23" s="68">
        <f t="shared" si="14"/>
        <v>0.205625</v>
      </c>
      <c r="AQ23" s="68">
        <f t="shared" si="14"/>
        <v>0.23699999999999999</v>
      </c>
      <c r="AR23" s="68">
        <f t="shared" si="14"/>
        <v>0.23995833333333333</v>
      </c>
      <c r="AS23" s="68">
        <f>IF(OR(K23="",K23="Sem monitoramento"),"VAZIO",IFERROR(K23/($AJ23*24),"-"))</f>
        <v>0.16412499999999999</v>
      </c>
      <c r="AT23" s="68">
        <f t="shared" si="14"/>
        <v>0.10804166666666667</v>
      </c>
      <c r="AU23" s="68">
        <f t="shared" si="15"/>
        <v>0.11737499999999999</v>
      </c>
      <c r="AV23" s="68">
        <f t="shared" si="15"/>
        <v>5.6791666666666671E-2</v>
      </c>
      <c r="AW23" s="68">
        <f>IF(OR(O20="",O20="Sem monitoramento"),"VAZIO",IFERROR(O20/($AJ23*24),"-"))</f>
        <v>0.21695833333333336</v>
      </c>
      <c r="AX23" s="68">
        <f t="shared" si="15"/>
        <v>0.16250000000000001</v>
      </c>
      <c r="AY23" s="68">
        <f t="shared" si="15"/>
        <v>0.18854166666666666</v>
      </c>
      <c r="AZ23" s="68">
        <f t="shared" si="15"/>
        <v>0.23108333333333334</v>
      </c>
      <c r="BA23" s="68">
        <f t="shared" si="15"/>
        <v>0.21020833333333333</v>
      </c>
      <c r="BB23" s="68">
        <f t="shared" si="12"/>
        <v>0.18074999999999999</v>
      </c>
      <c r="BC23" s="68">
        <f t="shared" si="12"/>
        <v>0.24283333333333332</v>
      </c>
      <c r="BD23" s="68">
        <f t="shared" si="12"/>
        <v>0.22237500000000002</v>
      </c>
      <c r="BE23" s="68">
        <f t="shared" si="12"/>
        <v>0.2253333333333333</v>
      </c>
      <c r="BF23" s="68">
        <f t="shared" si="12"/>
        <v>0.19537499999999999</v>
      </c>
      <c r="BG23" s="68">
        <f t="shared" si="12"/>
        <v>0.22170833333333334</v>
      </c>
      <c r="BH23" s="68">
        <f t="shared" si="12"/>
        <v>0.15045833333333333</v>
      </c>
      <c r="BI23" s="68">
        <f t="shared" si="12"/>
        <v>0.19450000000000001</v>
      </c>
      <c r="BJ23" s="68">
        <f t="shared" si="12"/>
        <v>0.15566666666666668</v>
      </c>
      <c r="BK23" s="68">
        <f t="shared" si="8"/>
        <v>0.15583333333333332</v>
      </c>
      <c r="BL23" s="68">
        <f t="shared" si="8"/>
        <v>0.10058333333333333</v>
      </c>
      <c r="BM23" s="68">
        <f t="shared" si="8"/>
        <v>0.16187499999999999</v>
      </c>
      <c r="BN23" s="68">
        <f t="shared" si="8"/>
        <v>0.20241666666666666</v>
      </c>
      <c r="BO23" s="68">
        <f t="shared" si="8"/>
        <v>0.14520833333333333</v>
      </c>
      <c r="BP23" s="70">
        <f t="shared" si="3"/>
        <v>0.18566944444444444</v>
      </c>
      <c r="BQ23" s="198">
        <f t="shared" si="13"/>
        <v>0.168125</v>
      </c>
      <c r="BR23" s="72">
        <f t="shared" si="10"/>
        <v>16.8125</v>
      </c>
      <c r="BS23" s="73">
        <f t="shared" si="11"/>
        <v>6.1041666666666661E-2</v>
      </c>
      <c r="BT23" s="74">
        <f t="shared" si="6"/>
        <v>1.7544444444444446E-2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1470</v>
      </c>
      <c r="E24" s="63">
        <v>1380</v>
      </c>
      <c r="F24" s="63">
        <v>1570</v>
      </c>
      <c r="G24" s="63">
        <v>1170</v>
      </c>
      <c r="H24" s="63">
        <v>1382.7</v>
      </c>
      <c r="I24" s="63">
        <v>1310</v>
      </c>
      <c r="J24" s="63">
        <v>1150</v>
      </c>
      <c r="K24" s="63">
        <v>1260</v>
      </c>
      <c r="L24" s="226">
        <v>1000</v>
      </c>
      <c r="M24" s="226">
        <v>1094.5</v>
      </c>
      <c r="N24" s="63">
        <v>527</v>
      </c>
      <c r="O24" s="63">
        <v>1914.5</v>
      </c>
      <c r="P24" s="63">
        <v>1510</v>
      </c>
      <c r="Q24" s="283">
        <v>1710</v>
      </c>
      <c r="R24" s="63">
        <v>1950</v>
      </c>
      <c r="S24" s="63">
        <v>1860</v>
      </c>
      <c r="T24" s="63">
        <v>1636.7</v>
      </c>
      <c r="U24" s="63">
        <v>2020</v>
      </c>
      <c r="V24" s="63">
        <v>1990.5</v>
      </c>
      <c r="W24" s="283">
        <v>2000</v>
      </c>
      <c r="X24" s="63">
        <v>1722.8</v>
      </c>
      <c r="Y24" s="63">
        <v>1888</v>
      </c>
      <c r="Z24" s="15">
        <v>1331.1</v>
      </c>
      <c r="AA24" s="18">
        <v>1750</v>
      </c>
      <c r="AB24" s="364">
        <v>1370</v>
      </c>
      <c r="AC24" s="212">
        <v>1372.9</v>
      </c>
      <c r="AD24" s="212">
        <v>935.4</v>
      </c>
      <c r="AE24" s="15">
        <v>1530</v>
      </c>
      <c r="AF24" s="15">
        <v>1808.3</v>
      </c>
      <c r="AG24" s="207">
        <v>1320</v>
      </c>
      <c r="AH24" s="371">
        <v>543.1</v>
      </c>
      <c r="AI24" s="290">
        <f t="shared" si="7"/>
        <v>45477.5</v>
      </c>
      <c r="AJ24" s="118">
        <v>360</v>
      </c>
      <c r="AK24" s="121">
        <f t="shared" si="9"/>
        <v>1.0095164609053497E-2</v>
      </c>
      <c r="AL24" s="67">
        <f t="shared" si="14"/>
        <v>0.1701388888888889</v>
      </c>
      <c r="AM24" s="68">
        <f t="shared" si="14"/>
        <v>0.15972222222222221</v>
      </c>
      <c r="AN24" s="68">
        <f t="shared" si="14"/>
        <v>0.18171296296296297</v>
      </c>
      <c r="AO24" s="68">
        <f t="shared" si="14"/>
        <v>0.13541666666666666</v>
      </c>
      <c r="AP24" s="68">
        <f t="shared" si="14"/>
        <v>0.16003472222222223</v>
      </c>
      <c r="AQ24" s="68">
        <f t="shared" si="14"/>
        <v>0.15162037037037038</v>
      </c>
      <c r="AR24" s="68">
        <f t="shared" si="14"/>
        <v>0.13310185185185186</v>
      </c>
      <c r="AS24" s="68">
        <f>IF(OR(K24="",K24="Sem monitoramento"),"VAZIO",IFERROR(K24/($AJ24*24),"-"))</f>
        <v>0.14583333333333334</v>
      </c>
      <c r="AT24" s="68">
        <f t="shared" si="14"/>
        <v>0.11574074074074074</v>
      </c>
      <c r="AU24" s="68">
        <f t="shared" si="15"/>
        <v>0.12667824074074074</v>
      </c>
      <c r="AV24" s="68">
        <f t="shared" si="15"/>
        <v>6.0995370370370373E-2</v>
      </c>
      <c r="AW24" s="68">
        <f t="shared" si="15"/>
        <v>0.22158564814814816</v>
      </c>
      <c r="AX24" s="68">
        <f t="shared" si="15"/>
        <v>0.17476851851851852</v>
      </c>
      <c r="AY24" s="68">
        <f t="shared" si="15"/>
        <v>0.19791666666666666</v>
      </c>
      <c r="AZ24" s="68">
        <f t="shared" si="15"/>
        <v>0.22569444444444445</v>
      </c>
      <c r="BA24" s="68">
        <f t="shared" si="15"/>
        <v>0.21527777777777779</v>
      </c>
      <c r="BB24" s="68">
        <f t="shared" si="12"/>
        <v>0.18943287037037038</v>
      </c>
      <c r="BC24" s="68">
        <f t="shared" si="12"/>
        <v>0.23379629629629631</v>
      </c>
      <c r="BD24" s="68">
        <f t="shared" si="12"/>
        <v>0.23038194444444443</v>
      </c>
      <c r="BE24" s="68">
        <f t="shared" si="12"/>
        <v>0.23148148148148148</v>
      </c>
      <c r="BF24" s="68">
        <f t="shared" si="12"/>
        <v>0.19939814814814813</v>
      </c>
      <c r="BG24" s="68">
        <f t="shared" si="12"/>
        <v>0.21851851851851853</v>
      </c>
      <c r="BH24" s="68">
        <f t="shared" si="12"/>
        <v>0.15406249999999999</v>
      </c>
      <c r="BI24" s="68">
        <f t="shared" si="12"/>
        <v>0.20254629629629631</v>
      </c>
      <c r="BJ24" s="68">
        <f t="shared" si="12"/>
        <v>0.15856481481481483</v>
      </c>
      <c r="BK24" s="68">
        <f t="shared" si="8"/>
        <v>0.15890046296296298</v>
      </c>
      <c r="BL24" s="68">
        <f t="shared" si="8"/>
        <v>0.10826388888888888</v>
      </c>
      <c r="BM24" s="68">
        <f t="shared" si="8"/>
        <v>0.17708333333333334</v>
      </c>
      <c r="BN24" s="68">
        <f t="shared" si="8"/>
        <v>0.20929398148148148</v>
      </c>
      <c r="BO24" s="68">
        <f t="shared" si="8"/>
        <v>0.15277777777777779</v>
      </c>
      <c r="BP24" s="70">
        <f t="shared" si="3"/>
        <v>0.17545331790123456</v>
      </c>
      <c r="BQ24" s="198">
        <f t="shared" si="13"/>
        <v>0.168125</v>
      </c>
      <c r="BR24" s="72">
        <f t="shared" si="10"/>
        <v>60.524999999999999</v>
      </c>
      <c r="BS24" s="73">
        <f t="shared" si="11"/>
        <v>1.3587962962962968E-2</v>
      </c>
      <c r="BT24" s="74">
        <f t="shared" si="6"/>
        <v>7.3283179012345601E-3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472.4</v>
      </c>
      <c r="E25" s="63">
        <v>507.3</v>
      </c>
      <c r="F25" s="63">
        <v>571.9</v>
      </c>
      <c r="G25" s="63">
        <v>509.1</v>
      </c>
      <c r="H25" s="63">
        <v>296.10000000000002</v>
      </c>
      <c r="I25" s="63">
        <v>535.20000000000005</v>
      </c>
      <c r="J25" s="63">
        <v>547.6</v>
      </c>
      <c r="K25" s="230">
        <v>323.7</v>
      </c>
      <c r="L25" s="230">
        <v>322.3</v>
      </c>
      <c r="M25" s="226">
        <v>213</v>
      </c>
      <c r="N25" s="63">
        <v>215</v>
      </c>
      <c r="O25" s="63">
        <v>284.2</v>
      </c>
      <c r="P25" s="63">
        <v>331.9</v>
      </c>
      <c r="Q25" s="283">
        <v>572.9</v>
      </c>
      <c r="R25" s="63">
        <v>562.4</v>
      </c>
      <c r="S25" s="63">
        <v>595.6</v>
      </c>
      <c r="T25" s="63">
        <v>572.1</v>
      </c>
      <c r="U25" s="63">
        <v>463.7</v>
      </c>
      <c r="V25" s="283">
        <v>561.1</v>
      </c>
      <c r="W25" s="283">
        <v>497.1</v>
      </c>
      <c r="X25" s="63">
        <v>538.20000000000005</v>
      </c>
      <c r="Y25" s="63">
        <v>569.9</v>
      </c>
      <c r="Z25" s="15">
        <v>471.8</v>
      </c>
      <c r="AA25" s="18">
        <v>456.2</v>
      </c>
      <c r="AB25" s="20">
        <v>621.9</v>
      </c>
      <c r="AC25" s="212">
        <v>382.5</v>
      </c>
      <c r="AD25" s="212">
        <v>364.8</v>
      </c>
      <c r="AE25" s="15">
        <v>472.3</v>
      </c>
      <c r="AF25" s="15">
        <v>607.5</v>
      </c>
      <c r="AG25" s="207">
        <v>267.89999999999998</v>
      </c>
      <c r="AH25" s="371">
        <v>155.1</v>
      </c>
      <c r="AI25" s="290">
        <f t="shared" si="7"/>
        <v>13862.699999999999</v>
      </c>
      <c r="AJ25" s="118">
        <v>100</v>
      </c>
      <c r="AK25" s="121">
        <f t="shared" si="9"/>
        <v>1.3238425925925926E-2</v>
      </c>
      <c r="AL25" s="67">
        <f t="shared" si="14"/>
        <v>0.19683333333333333</v>
      </c>
      <c r="AM25" s="68">
        <f t="shared" si="14"/>
        <v>0.21137500000000001</v>
      </c>
      <c r="AN25" s="68">
        <f t="shared" si="14"/>
        <v>0.23829166666666665</v>
      </c>
      <c r="AO25" s="68">
        <f t="shared" si="14"/>
        <v>0.21212500000000001</v>
      </c>
      <c r="AP25" s="68">
        <f t="shared" si="14"/>
        <v>0.12337500000000001</v>
      </c>
      <c r="AQ25" s="68">
        <f t="shared" si="14"/>
        <v>0.22300000000000003</v>
      </c>
      <c r="AR25" s="68">
        <f t="shared" si="14"/>
        <v>0.22816666666666668</v>
      </c>
      <c r="AS25" s="68">
        <f t="shared" si="14"/>
        <v>0.13487499999999999</v>
      </c>
      <c r="AT25" s="68">
        <f t="shared" si="14"/>
        <v>0.13429166666666667</v>
      </c>
      <c r="AU25" s="68">
        <f t="shared" si="15"/>
        <v>8.8749999999999996E-2</v>
      </c>
      <c r="AV25" s="68">
        <f t="shared" si="15"/>
        <v>8.9583333333333334E-2</v>
      </c>
      <c r="AW25" s="68">
        <f t="shared" si="15"/>
        <v>0.11841666666666666</v>
      </c>
      <c r="AX25" s="68">
        <f t="shared" si="15"/>
        <v>0.13829166666666665</v>
      </c>
      <c r="AY25" s="68">
        <f t="shared" si="15"/>
        <v>0.23870833333333333</v>
      </c>
      <c r="AZ25" s="68">
        <f t="shared" si="15"/>
        <v>0.23433333333333331</v>
      </c>
      <c r="BA25" s="68">
        <f t="shared" si="15"/>
        <v>0.24816666666666667</v>
      </c>
      <c r="BB25" s="68">
        <f t="shared" si="12"/>
        <v>0.238375</v>
      </c>
      <c r="BC25" s="68">
        <f t="shared" si="12"/>
        <v>0.19320833333333332</v>
      </c>
      <c r="BD25" s="68">
        <f t="shared" si="12"/>
        <v>0.23379166666666668</v>
      </c>
      <c r="BE25" s="68">
        <f t="shared" si="12"/>
        <v>0.207125</v>
      </c>
      <c r="BF25" s="68">
        <f t="shared" si="12"/>
        <v>0.22425000000000003</v>
      </c>
      <c r="BG25" s="68">
        <f t="shared" si="12"/>
        <v>0.23745833333333333</v>
      </c>
      <c r="BH25" s="68">
        <f t="shared" si="12"/>
        <v>0.19658333333333333</v>
      </c>
      <c r="BI25" s="68">
        <f t="shared" si="12"/>
        <v>0.19008333333333333</v>
      </c>
      <c r="BJ25" s="68">
        <f t="shared" si="12"/>
        <v>0.25912499999999999</v>
      </c>
      <c r="BK25" s="68">
        <f t="shared" si="8"/>
        <v>0.15937499999999999</v>
      </c>
      <c r="BL25" s="68">
        <f t="shared" si="8"/>
        <v>0.152</v>
      </c>
      <c r="BM25" s="68">
        <f t="shared" si="8"/>
        <v>0.19679166666666667</v>
      </c>
      <c r="BN25" s="68">
        <f t="shared" si="8"/>
        <v>0.25312499999999999</v>
      </c>
      <c r="BO25" s="68">
        <f t="shared" si="8"/>
        <v>0.11162499999999999</v>
      </c>
      <c r="BP25" s="70">
        <f t="shared" si="3"/>
        <v>0.19253749999999997</v>
      </c>
      <c r="BQ25" s="198">
        <f t="shared" si="13"/>
        <v>0.168125</v>
      </c>
      <c r="BR25" s="72">
        <f t="shared" si="10"/>
        <v>16.8125</v>
      </c>
      <c r="BS25" s="73">
        <f t="shared" si="11"/>
        <v>7.0166666666666655E-2</v>
      </c>
      <c r="BT25" s="74">
        <f t="shared" si="6"/>
        <v>2.4412499999999976E-2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459.6</v>
      </c>
      <c r="E26" s="63">
        <v>486.8</v>
      </c>
      <c r="F26" s="63">
        <v>527.29999999999995</v>
      </c>
      <c r="G26" s="63">
        <v>320.10000000000002</v>
      </c>
      <c r="H26" s="63">
        <v>473.1</v>
      </c>
      <c r="I26" s="283">
        <v>566.6</v>
      </c>
      <c r="J26" s="63">
        <v>561.6</v>
      </c>
      <c r="K26" s="230">
        <v>308.39999999999998</v>
      </c>
      <c r="L26" s="230">
        <v>363.3</v>
      </c>
      <c r="M26" s="226">
        <v>299.60000000000002</v>
      </c>
      <c r="N26" s="63">
        <v>174.1</v>
      </c>
      <c r="O26" s="63">
        <v>471.4</v>
      </c>
      <c r="P26" s="63">
        <v>372.3</v>
      </c>
      <c r="Q26" s="283">
        <v>522.1</v>
      </c>
      <c r="R26" s="63">
        <v>563.20000000000005</v>
      </c>
      <c r="S26" s="63">
        <v>378.6</v>
      </c>
      <c r="T26" s="63">
        <v>498.7</v>
      </c>
      <c r="U26" s="63">
        <v>506.6</v>
      </c>
      <c r="V26" s="283">
        <v>466.9</v>
      </c>
      <c r="W26" s="283">
        <v>457.5</v>
      </c>
      <c r="X26" s="63">
        <v>498.9</v>
      </c>
      <c r="Y26" s="63">
        <v>507.4</v>
      </c>
      <c r="Z26" s="63">
        <v>316.89999999999998</v>
      </c>
      <c r="AA26" s="320">
        <v>476.8</v>
      </c>
      <c r="AB26" s="364">
        <v>313.10000000000002</v>
      </c>
      <c r="AC26" s="212">
        <v>354.4</v>
      </c>
      <c r="AD26" s="370">
        <v>412.8</v>
      </c>
      <c r="AE26" s="15">
        <v>480.3</v>
      </c>
      <c r="AF26" s="283">
        <v>570.1</v>
      </c>
      <c r="AG26" s="367">
        <v>287.2</v>
      </c>
      <c r="AH26" s="371">
        <v>158.6</v>
      </c>
      <c r="AI26" s="290">
        <f t="shared" si="7"/>
        <v>13154.3</v>
      </c>
      <c r="AJ26" s="118">
        <v>100</v>
      </c>
      <c r="AK26" s="121">
        <f>F26/(AJ26*432)</f>
        <v>1.2206018518518517E-2</v>
      </c>
      <c r="AL26" s="67">
        <f t="shared" si="14"/>
        <v>0.1915</v>
      </c>
      <c r="AM26" s="68">
        <f t="shared" si="14"/>
        <v>0.20283333333333334</v>
      </c>
      <c r="AN26" s="68">
        <f t="shared" si="14"/>
        <v>0.21970833333333331</v>
      </c>
      <c r="AO26" s="68">
        <f t="shared" si="14"/>
        <v>0.13337500000000002</v>
      </c>
      <c r="AP26" s="68">
        <f t="shared" si="14"/>
        <v>0.19712500000000002</v>
      </c>
      <c r="AQ26" s="68">
        <f t="shared" si="14"/>
        <v>0.23608333333333334</v>
      </c>
      <c r="AR26" s="68">
        <f t="shared" si="14"/>
        <v>0.23400000000000001</v>
      </c>
      <c r="AS26" s="68">
        <f t="shared" si="14"/>
        <v>0.1285</v>
      </c>
      <c r="AT26" s="68">
        <f t="shared" si="14"/>
        <v>0.15137500000000001</v>
      </c>
      <c r="AU26" s="68">
        <f t="shared" si="15"/>
        <v>0.12483333333333334</v>
      </c>
      <c r="AV26" s="68">
        <f t="shared" si="15"/>
        <v>7.2541666666666671E-2</v>
      </c>
      <c r="AW26" s="68">
        <f t="shared" si="15"/>
        <v>0.19641666666666666</v>
      </c>
      <c r="AX26" s="68">
        <f t="shared" si="15"/>
        <v>0.15512500000000001</v>
      </c>
      <c r="AY26" s="68">
        <f t="shared" si="15"/>
        <v>0.21754166666666669</v>
      </c>
      <c r="AZ26" s="68">
        <f t="shared" si="15"/>
        <v>0.23466666666666669</v>
      </c>
      <c r="BA26" s="68">
        <f t="shared" si="15"/>
        <v>0.15775</v>
      </c>
      <c r="BB26" s="68">
        <f t="shared" si="12"/>
        <v>0.20779166666666665</v>
      </c>
      <c r="BC26" s="68">
        <f t="shared" si="12"/>
        <v>0.21108333333333335</v>
      </c>
      <c r="BD26" s="68">
        <f t="shared" si="12"/>
        <v>0.19454166666666667</v>
      </c>
      <c r="BE26" s="68">
        <f t="shared" si="12"/>
        <v>0.19062499999999999</v>
      </c>
      <c r="BF26" s="68">
        <f t="shared" si="12"/>
        <v>0.207875</v>
      </c>
      <c r="BG26" s="68">
        <f t="shared" si="12"/>
        <v>0.21141666666666667</v>
      </c>
      <c r="BH26" s="68">
        <f t="shared" si="12"/>
        <v>0.13204166666666667</v>
      </c>
      <c r="BI26" s="68">
        <f t="shared" si="12"/>
        <v>0.19866666666666666</v>
      </c>
      <c r="BJ26" s="68">
        <f t="shared" si="12"/>
        <v>0.13045833333333334</v>
      </c>
      <c r="BK26" s="68">
        <f t="shared" si="8"/>
        <v>0.14766666666666667</v>
      </c>
      <c r="BL26" s="68">
        <f t="shared" si="8"/>
        <v>0.17200000000000001</v>
      </c>
      <c r="BM26" s="68">
        <f t="shared" si="8"/>
        <v>0.200125</v>
      </c>
      <c r="BN26" s="68">
        <f t="shared" si="8"/>
        <v>0.23754166666666668</v>
      </c>
      <c r="BO26" s="68">
        <f t="shared" si="8"/>
        <v>0.11966666666666666</v>
      </c>
      <c r="BP26" s="70">
        <f t="shared" si="3"/>
        <v>0.1826986111111111</v>
      </c>
      <c r="BQ26" s="198">
        <f t="shared" si="13"/>
        <v>0.168125</v>
      </c>
      <c r="BR26" s="72">
        <f t="shared" si="10"/>
        <v>16.8125</v>
      </c>
      <c r="BS26" s="73">
        <f t="shared" si="11"/>
        <v>5.1583333333333314E-2</v>
      </c>
      <c r="BT26" s="74">
        <f t="shared" si="6"/>
        <v>1.4573611111111107E-2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529.4</v>
      </c>
      <c r="E27" s="63">
        <v>315.8</v>
      </c>
      <c r="F27" s="63">
        <v>570</v>
      </c>
      <c r="G27" s="312">
        <f>247.2-(570-544.5)</f>
        <v>221.7</v>
      </c>
      <c r="H27" s="63">
        <v>418.1</v>
      </c>
      <c r="I27" s="355">
        <v>554.20000000000005</v>
      </c>
      <c r="J27" s="63">
        <v>586.1</v>
      </c>
      <c r="K27" s="282">
        <v>259.39999999999998</v>
      </c>
      <c r="L27" s="226">
        <v>166.7</v>
      </c>
      <c r="M27" s="230">
        <v>292</v>
      </c>
      <c r="N27" s="63">
        <v>211.5</v>
      </c>
      <c r="O27" s="63">
        <v>360.3</v>
      </c>
      <c r="P27" s="63">
        <v>391.8</v>
      </c>
      <c r="Q27" s="283">
        <v>568.20000000000005</v>
      </c>
      <c r="R27" s="319">
        <v>598.29999999999995</v>
      </c>
      <c r="S27" s="63">
        <v>585.29999999999995</v>
      </c>
      <c r="T27" s="283">
        <v>570.29999999999995</v>
      </c>
      <c r="U27" s="283">
        <v>522.79999999999995</v>
      </c>
      <c r="V27" s="282">
        <v>419.6</v>
      </c>
      <c r="W27" s="283">
        <v>558.5</v>
      </c>
      <c r="X27" s="282">
        <v>384.3</v>
      </c>
      <c r="Y27" s="63">
        <v>495.6</v>
      </c>
      <c r="Z27" s="221">
        <v>323.60000000000002</v>
      </c>
      <c r="AA27" s="320">
        <v>468.6</v>
      </c>
      <c r="AB27" s="366">
        <v>435</v>
      </c>
      <c r="AC27" s="282">
        <v>0.7</v>
      </c>
      <c r="AD27" s="221">
        <v>408.3</v>
      </c>
      <c r="AE27" s="15">
        <v>394.5</v>
      </c>
      <c r="AF27" s="15">
        <v>552.5</v>
      </c>
      <c r="AG27" s="212">
        <v>149</v>
      </c>
      <c r="AH27" s="371">
        <v>139.6</v>
      </c>
      <c r="AI27" s="290">
        <f t="shared" si="7"/>
        <v>12451.7</v>
      </c>
      <c r="AJ27" s="118">
        <v>100</v>
      </c>
      <c r="AK27" s="121">
        <f>F27/(AJ27*432)</f>
        <v>1.3194444444444444E-2</v>
      </c>
      <c r="AL27" s="67">
        <f t="shared" si="14"/>
        <v>0.22058333333333333</v>
      </c>
      <c r="AM27" s="68">
        <f t="shared" si="14"/>
        <v>0.13158333333333333</v>
      </c>
      <c r="AN27" s="68">
        <f t="shared" si="14"/>
        <v>0.23749999999999999</v>
      </c>
      <c r="AO27" s="68">
        <f t="shared" si="14"/>
        <v>9.2374999999999999E-2</v>
      </c>
      <c r="AP27" s="68">
        <f t="shared" si="14"/>
        <v>0.17420833333333335</v>
      </c>
      <c r="AQ27" s="68">
        <f t="shared" si="14"/>
        <v>0.23091666666666669</v>
      </c>
      <c r="AR27" s="68">
        <f t="shared" si="14"/>
        <v>0.24420833333333333</v>
      </c>
      <c r="AS27" s="68">
        <f t="shared" si="14"/>
        <v>0.10808333333333332</v>
      </c>
      <c r="AT27" s="68">
        <f t="shared" si="14"/>
        <v>6.945833333333333E-2</v>
      </c>
      <c r="AU27" s="68">
        <f t="shared" si="15"/>
        <v>0.12166666666666667</v>
      </c>
      <c r="AV27" s="68">
        <f t="shared" si="15"/>
        <v>8.8124999999999995E-2</v>
      </c>
      <c r="AW27" s="68">
        <f t="shared" si="15"/>
        <v>0.15012500000000001</v>
      </c>
      <c r="AX27" s="68">
        <f t="shared" si="15"/>
        <v>0.16325000000000001</v>
      </c>
      <c r="AY27" s="68">
        <f t="shared" si="15"/>
        <v>0.23675000000000002</v>
      </c>
      <c r="AZ27" s="68">
        <f t="shared" si="15"/>
        <v>0.24929166666666666</v>
      </c>
      <c r="BA27" s="68">
        <f t="shared" si="15"/>
        <v>0.24387499999999998</v>
      </c>
      <c r="BB27" s="68">
        <f t="shared" si="12"/>
        <v>0.23762499999999998</v>
      </c>
      <c r="BC27" s="68">
        <f t="shared" si="12"/>
        <v>0.21783333333333332</v>
      </c>
      <c r="BD27" s="68">
        <f t="shared" si="12"/>
        <v>0.17483333333333334</v>
      </c>
      <c r="BE27" s="68">
        <f t="shared" si="12"/>
        <v>0.23270833333333332</v>
      </c>
      <c r="BF27" s="68">
        <f t="shared" si="12"/>
        <v>0.16012500000000002</v>
      </c>
      <c r="BG27" s="68">
        <f t="shared" si="12"/>
        <v>0.20650000000000002</v>
      </c>
      <c r="BH27" s="68">
        <f t="shared" si="12"/>
        <v>0.13483333333333333</v>
      </c>
      <c r="BI27" s="68">
        <f t="shared" si="12"/>
        <v>0.19525000000000001</v>
      </c>
      <c r="BJ27" s="68">
        <f t="shared" si="12"/>
        <v>0.18124999999999999</v>
      </c>
      <c r="BK27" s="68">
        <f t="shared" si="8"/>
        <v>2.9166666666666664E-4</v>
      </c>
      <c r="BL27" s="68">
        <f t="shared" si="8"/>
        <v>0.170125</v>
      </c>
      <c r="BM27" s="68">
        <f t="shared" si="8"/>
        <v>0.16437499999999999</v>
      </c>
      <c r="BN27" s="68">
        <f t="shared" si="8"/>
        <v>0.23020833333333332</v>
      </c>
      <c r="BO27" s="68">
        <f t="shared" si="8"/>
        <v>6.2083333333333331E-2</v>
      </c>
      <c r="BP27" s="70">
        <f t="shared" si="3"/>
        <v>0.17294027777777779</v>
      </c>
      <c r="BQ27" s="198">
        <f t="shared" si="13"/>
        <v>0.168125</v>
      </c>
      <c r="BR27" s="72">
        <f t="shared" si="10"/>
        <v>16.8125</v>
      </c>
      <c r="BS27" s="73">
        <f t="shared" si="11"/>
        <v>6.9374999999999992E-2</v>
      </c>
      <c r="BT27" s="74">
        <f t="shared" si="6"/>
        <v>4.8152777777777933E-3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489.4</v>
      </c>
      <c r="E28" s="63">
        <v>271</v>
      </c>
      <c r="F28" s="63">
        <v>544</v>
      </c>
      <c r="G28" s="312">
        <v>253.9</v>
      </c>
      <c r="H28" s="63">
        <v>389.2</v>
      </c>
      <c r="I28" s="355">
        <v>505</v>
      </c>
      <c r="J28" s="63">
        <v>564.4</v>
      </c>
      <c r="K28" s="282">
        <v>261.3</v>
      </c>
      <c r="L28" s="226">
        <v>172.5</v>
      </c>
      <c r="M28" s="319">
        <v>284.2</v>
      </c>
      <c r="N28" s="63">
        <v>214.4</v>
      </c>
      <c r="O28" s="63">
        <v>339.7</v>
      </c>
      <c r="P28" s="63">
        <v>349.6</v>
      </c>
      <c r="Q28" s="283">
        <v>519</v>
      </c>
      <c r="R28" s="319">
        <v>579.20000000000005</v>
      </c>
      <c r="S28" s="63">
        <v>564.4</v>
      </c>
      <c r="T28" s="283">
        <v>536.9</v>
      </c>
      <c r="U28" s="283">
        <v>501.7</v>
      </c>
      <c r="V28" s="282">
        <v>412.1</v>
      </c>
      <c r="W28" s="283">
        <v>518.70000000000005</v>
      </c>
      <c r="X28" s="282">
        <v>411</v>
      </c>
      <c r="Y28" s="63">
        <v>507.4</v>
      </c>
      <c r="Z28" s="221">
        <v>358.8</v>
      </c>
      <c r="AA28" s="320">
        <v>462.1</v>
      </c>
      <c r="AB28" s="366">
        <v>449</v>
      </c>
      <c r="AC28" s="282">
        <v>0.6</v>
      </c>
      <c r="AD28" s="221">
        <v>404</v>
      </c>
      <c r="AE28" s="15">
        <v>450</v>
      </c>
      <c r="AF28" s="15">
        <v>550</v>
      </c>
      <c r="AG28" s="212">
        <v>155.30000000000001</v>
      </c>
      <c r="AH28" s="371">
        <v>143.9</v>
      </c>
      <c r="AI28" s="290">
        <f t="shared" si="7"/>
        <v>12162.699999999999</v>
      </c>
      <c r="AJ28" s="301"/>
      <c r="AK28" s="121"/>
      <c r="AL28" s="302"/>
      <c r="AM28" s="303"/>
      <c r="AN28" s="303"/>
      <c r="AO28" s="303"/>
      <c r="AP28" s="303"/>
      <c r="AQ28" s="303"/>
      <c r="AR28" s="303"/>
      <c r="AS28" s="303"/>
      <c r="AT28" s="303"/>
      <c r="AU28" s="303"/>
      <c r="AV28" s="303"/>
      <c r="AW28" s="303"/>
      <c r="AX28" s="303"/>
      <c r="AY28" s="303"/>
      <c r="AZ28" s="303"/>
      <c r="BA28" s="303"/>
      <c r="BB28" s="303"/>
      <c r="BC28" s="303"/>
      <c r="BD28" s="303"/>
      <c r="BE28" s="303"/>
      <c r="BF28" s="303"/>
      <c r="BG28" s="303"/>
      <c r="BH28" s="303"/>
      <c r="BI28" s="303"/>
      <c r="BJ28" s="303"/>
      <c r="BK28" s="303"/>
      <c r="BL28" s="303"/>
      <c r="BM28" s="303"/>
      <c r="BN28" s="303"/>
      <c r="BO28" s="303"/>
      <c r="BP28" s="304"/>
      <c r="BQ28" s="198"/>
      <c r="BR28" s="72"/>
      <c r="BS28" s="73"/>
      <c r="BT28" s="74"/>
      <c r="BU28" s="15"/>
      <c r="BV28" s="3"/>
      <c r="BW28" s="2"/>
      <c r="BX28" s="2"/>
    </row>
    <row r="29" spans="2:76" ht="15" thickBot="1" x14ac:dyDescent="0.35">
      <c r="B29" s="775"/>
      <c r="C29" s="326" t="s">
        <v>289</v>
      </c>
      <c r="D29" s="223">
        <v>518.5</v>
      </c>
      <c r="E29" s="63">
        <v>300.60000000000002</v>
      </c>
      <c r="F29" s="63">
        <v>551.20000000000005</v>
      </c>
      <c r="G29" s="312">
        <v>104.8</v>
      </c>
      <c r="H29" s="63">
        <v>405</v>
      </c>
      <c r="I29" s="356">
        <v>495</v>
      </c>
      <c r="J29" s="82">
        <v>588.5</v>
      </c>
      <c r="K29" s="282">
        <v>264.7</v>
      </c>
      <c r="L29" s="226">
        <v>167.3</v>
      </c>
      <c r="M29" s="230">
        <v>290.7</v>
      </c>
      <c r="N29" s="63">
        <v>213.8</v>
      </c>
      <c r="O29" s="63">
        <v>358.4</v>
      </c>
      <c r="P29" s="63">
        <v>365.2</v>
      </c>
      <c r="Q29" s="283">
        <v>570.4</v>
      </c>
      <c r="R29" s="319">
        <v>601.29999999999995</v>
      </c>
      <c r="S29" s="63">
        <v>589.20000000000005</v>
      </c>
      <c r="T29" s="282">
        <v>329.7</v>
      </c>
      <c r="U29" s="282">
        <v>271.3</v>
      </c>
      <c r="V29" s="282">
        <v>412.7</v>
      </c>
      <c r="W29" s="283">
        <v>533.5</v>
      </c>
      <c r="X29" s="282">
        <v>406.7</v>
      </c>
      <c r="Y29" s="63">
        <v>505.8</v>
      </c>
      <c r="Z29" s="15">
        <v>346.3</v>
      </c>
      <c r="AA29" s="320">
        <v>470.6</v>
      </c>
      <c r="AB29" s="366">
        <v>462.1</v>
      </c>
      <c r="AC29" s="282">
        <v>0.6</v>
      </c>
      <c r="AD29" s="221">
        <v>405.5</v>
      </c>
      <c r="AE29" s="15">
        <v>369.4</v>
      </c>
      <c r="AF29" s="15">
        <v>561.20000000000005</v>
      </c>
      <c r="AG29" s="212">
        <v>151.69999999999999</v>
      </c>
      <c r="AH29" s="371">
        <v>135.19999999999999</v>
      </c>
      <c r="AI29" s="290">
        <f t="shared" si="7"/>
        <v>11746.900000000001</v>
      </c>
      <c r="AJ29" s="119">
        <v>100</v>
      </c>
      <c r="AK29" s="121"/>
      <c r="AL29" s="98">
        <f t="shared" si="14"/>
        <v>0.21604166666666666</v>
      </c>
      <c r="AM29" s="99">
        <f t="shared" si="14"/>
        <v>0.12525</v>
      </c>
      <c r="AN29" s="99">
        <f t="shared" si="14"/>
        <v>0.22966666666666669</v>
      </c>
      <c r="AO29" s="99">
        <f t="shared" si="14"/>
        <v>4.3666666666666666E-2</v>
      </c>
      <c r="AP29" s="99">
        <f t="shared" si="14"/>
        <v>0.16875000000000001</v>
      </c>
      <c r="AQ29" s="99">
        <f t="shared" si="14"/>
        <v>0.20624999999999999</v>
      </c>
      <c r="AR29" s="99">
        <f t="shared" si="14"/>
        <v>0.24520833333333333</v>
      </c>
      <c r="AS29" s="99">
        <f t="shared" si="14"/>
        <v>0.11029166666666666</v>
      </c>
      <c r="AT29" s="99">
        <f t="shared" si="14"/>
        <v>6.9708333333333344E-2</v>
      </c>
      <c r="AU29" s="99">
        <f t="shared" si="15"/>
        <v>0.121125</v>
      </c>
      <c r="AV29" s="99">
        <f t="shared" si="15"/>
        <v>8.9083333333333334E-2</v>
      </c>
      <c r="AW29" s="99">
        <f t="shared" si="15"/>
        <v>0.14933333333333332</v>
      </c>
      <c r="AX29" s="99">
        <f t="shared" si="15"/>
        <v>0.15216666666666667</v>
      </c>
      <c r="AY29" s="99">
        <f t="shared" si="15"/>
        <v>0.23766666666666666</v>
      </c>
      <c r="AZ29" s="99">
        <f t="shared" si="15"/>
        <v>0.25054166666666666</v>
      </c>
      <c r="BA29" s="99">
        <f t="shared" si="15"/>
        <v>0.24550000000000002</v>
      </c>
      <c r="BB29" s="99">
        <f t="shared" si="12"/>
        <v>0.137375</v>
      </c>
      <c r="BC29" s="99">
        <f t="shared" si="12"/>
        <v>0.11304166666666667</v>
      </c>
      <c r="BD29" s="99">
        <f t="shared" si="12"/>
        <v>0.17195833333333332</v>
      </c>
      <c r="BE29" s="99">
        <f t="shared" si="12"/>
        <v>0.22229166666666667</v>
      </c>
      <c r="BF29" s="99">
        <f t="shared" si="12"/>
        <v>0.16945833333333332</v>
      </c>
      <c r="BG29" s="99">
        <f t="shared" si="12"/>
        <v>0.21074999999999999</v>
      </c>
      <c r="BH29" s="99">
        <f t="shared" si="12"/>
        <v>0.14429166666666668</v>
      </c>
      <c r="BI29" s="99">
        <f t="shared" si="12"/>
        <v>0.19608333333333333</v>
      </c>
      <c r="BJ29" s="99">
        <f t="shared" si="12"/>
        <v>0.19254166666666667</v>
      </c>
      <c r="BK29" s="99">
        <f t="shared" si="8"/>
        <v>2.5000000000000001E-4</v>
      </c>
      <c r="BL29" s="99">
        <f t="shared" si="8"/>
        <v>0.16895833333333332</v>
      </c>
      <c r="BM29" s="99">
        <f t="shared" si="8"/>
        <v>0.15391666666666665</v>
      </c>
      <c r="BN29" s="99">
        <f t="shared" si="8"/>
        <v>0.23383333333333337</v>
      </c>
      <c r="BO29" s="99">
        <f t="shared" si="8"/>
        <v>6.3208333333333325E-2</v>
      </c>
      <c r="BP29" s="101">
        <f t="shared" si="3"/>
        <v>0.16315138888888892</v>
      </c>
      <c r="BQ29" s="198">
        <f t="shared" si="13"/>
        <v>0.168125</v>
      </c>
      <c r="BR29" s="72">
        <f t="shared" si="10"/>
        <v>16.8125</v>
      </c>
      <c r="BS29" s="73">
        <f t="shared" si="11"/>
        <v>6.1541666666666689E-2</v>
      </c>
      <c r="BT29" s="74">
        <f t="shared" si="6"/>
        <v>-4.9736111111110815E-3</v>
      </c>
      <c r="BU29" s="15" t="s">
        <v>112</v>
      </c>
      <c r="BV29" s="3"/>
      <c r="BW29" s="2"/>
      <c r="BX29" s="2"/>
    </row>
    <row r="30" spans="2:76" x14ac:dyDescent="0.3">
      <c r="B30" s="773" t="s">
        <v>290</v>
      </c>
      <c r="C30" s="326" t="s">
        <v>291</v>
      </c>
      <c r="D30" s="223">
        <v>502.1</v>
      </c>
      <c r="E30" s="223">
        <v>485.9</v>
      </c>
      <c r="F30" s="63">
        <v>516.70000000000005</v>
      </c>
      <c r="G30" s="63">
        <v>456</v>
      </c>
      <c r="H30" s="63">
        <v>527.79999999999995</v>
      </c>
      <c r="I30" s="82">
        <v>539.29999999999995</v>
      </c>
      <c r="J30" s="308">
        <v>572.20000000000005</v>
      </c>
      <c r="K30" s="283">
        <v>423.1</v>
      </c>
      <c r="L30" s="358">
        <v>244</v>
      </c>
      <c r="M30" s="358">
        <v>240.7</v>
      </c>
      <c r="N30" s="283">
        <v>141.19999999999999</v>
      </c>
      <c r="O30" s="283">
        <v>423.6</v>
      </c>
      <c r="P30" s="283">
        <v>451.1</v>
      </c>
      <c r="Q30" s="283">
        <v>475</v>
      </c>
      <c r="R30" s="283">
        <v>590.5</v>
      </c>
      <c r="S30" s="283">
        <v>485.8</v>
      </c>
      <c r="T30" s="283">
        <v>433.9</v>
      </c>
      <c r="U30" s="283">
        <v>473.1</v>
      </c>
      <c r="V30" s="283">
        <v>532.70000000000005</v>
      </c>
      <c r="W30" s="283">
        <v>428.9</v>
      </c>
      <c r="X30" s="63">
        <v>417.5</v>
      </c>
      <c r="Y30" s="321">
        <v>239.9</v>
      </c>
      <c r="Z30" s="321">
        <v>0</v>
      </c>
      <c r="AA30" s="321">
        <v>420</v>
      </c>
      <c r="AB30" s="366">
        <v>0</v>
      </c>
      <c r="AC30" s="15">
        <v>419</v>
      </c>
      <c r="AD30" s="221">
        <v>418</v>
      </c>
      <c r="AE30" s="15">
        <v>460</v>
      </c>
      <c r="AF30" s="15">
        <v>450</v>
      </c>
      <c r="AG30" s="15">
        <v>400</v>
      </c>
      <c r="AH30" s="64">
        <v>110</v>
      </c>
      <c r="AI30" s="290">
        <f t="shared" si="7"/>
        <v>12278</v>
      </c>
      <c r="AJ30" s="2"/>
      <c r="AK30" s="285"/>
      <c r="AL30" s="286" t="str">
        <f t="shared" si="14"/>
        <v>-</v>
      </c>
      <c r="AM30" s="286" t="str">
        <f t="shared" si="14"/>
        <v>-</v>
      </c>
      <c r="AN30" s="286" t="str">
        <f t="shared" si="14"/>
        <v>-</v>
      </c>
      <c r="AO30" s="286" t="str">
        <f t="shared" si="14"/>
        <v>-</v>
      </c>
      <c r="AP30" s="286" t="str">
        <f t="shared" si="14"/>
        <v>-</v>
      </c>
      <c r="AQ30" s="286" t="str">
        <f t="shared" si="14"/>
        <v>-</v>
      </c>
      <c r="AR30" s="286" t="str">
        <f t="shared" si="14"/>
        <v>-</v>
      </c>
      <c r="AS30" s="286" t="str">
        <f t="shared" si="14"/>
        <v>-</v>
      </c>
      <c r="AT30" s="286" t="str">
        <f t="shared" si="14"/>
        <v>-</v>
      </c>
      <c r="AU30" s="286" t="str">
        <f t="shared" si="15"/>
        <v>-</v>
      </c>
      <c r="AV30" s="286" t="str">
        <f t="shared" si="15"/>
        <v>-</v>
      </c>
      <c r="AW30" s="286" t="str">
        <f t="shared" si="15"/>
        <v>-</v>
      </c>
      <c r="AX30" s="286" t="str">
        <f t="shared" si="15"/>
        <v>-</v>
      </c>
      <c r="AY30" s="286" t="str">
        <f t="shared" si="15"/>
        <v>-</v>
      </c>
      <c r="AZ30" s="286" t="str">
        <f t="shared" si="15"/>
        <v>-</v>
      </c>
      <c r="BA30" s="286" t="str">
        <f t="shared" si="15"/>
        <v>-</v>
      </c>
      <c r="BB30" s="286" t="str">
        <f t="shared" si="12"/>
        <v>-</v>
      </c>
      <c r="BC30" s="286" t="str">
        <f t="shared" si="12"/>
        <v>-</v>
      </c>
      <c r="BD30" s="286" t="str">
        <f t="shared" si="12"/>
        <v>-</v>
      </c>
      <c r="BE30" s="286" t="str">
        <f t="shared" si="12"/>
        <v>-</v>
      </c>
      <c r="BF30" s="286" t="str">
        <f t="shared" si="12"/>
        <v>-</v>
      </c>
      <c r="BG30" s="286" t="str">
        <f t="shared" si="12"/>
        <v>-</v>
      </c>
      <c r="BH30" s="286" t="str">
        <f t="shared" si="12"/>
        <v>-</v>
      </c>
      <c r="BI30" s="286" t="str">
        <f t="shared" si="12"/>
        <v>-</v>
      </c>
      <c r="BJ30" s="286" t="str">
        <f t="shared" si="12"/>
        <v>-</v>
      </c>
      <c r="BK30" s="286" t="str">
        <f t="shared" si="8"/>
        <v>-</v>
      </c>
      <c r="BL30" s="286" t="str">
        <f t="shared" si="8"/>
        <v>-</v>
      </c>
      <c r="BM30" s="286" t="str">
        <f t="shared" si="8"/>
        <v>-</v>
      </c>
      <c r="BN30" s="286" t="str">
        <f t="shared" si="8"/>
        <v>-</v>
      </c>
      <c r="BO30" s="286" t="str">
        <f t="shared" si="8"/>
        <v>-</v>
      </c>
      <c r="BP30" s="286" t="e">
        <f t="shared" si="3"/>
        <v>#DIV/0!</v>
      </c>
      <c r="BQ30" s="198"/>
      <c r="BR30" s="287"/>
      <c r="BS30" s="288"/>
      <c r="BT30" s="289"/>
      <c r="BU30" s="2"/>
      <c r="BV30" s="3"/>
      <c r="BW30" s="2"/>
      <c r="BX30" s="2"/>
    </row>
    <row r="31" spans="2:76" ht="15" thickBot="1" x14ac:dyDescent="0.35">
      <c r="B31" s="777"/>
      <c r="C31" s="329"/>
      <c r="D31" s="224"/>
      <c r="E31" s="93"/>
      <c r="F31" s="93"/>
      <c r="G31" s="115"/>
      <c r="H31" s="284"/>
      <c r="I31" s="115"/>
      <c r="J31" s="115"/>
      <c r="K31" s="93"/>
      <c r="L31" s="93"/>
      <c r="M31" s="93"/>
      <c r="N31" s="93"/>
      <c r="O31" s="93"/>
      <c r="P31" s="93"/>
      <c r="Q31" s="318"/>
      <c r="R31" s="93"/>
      <c r="S31" s="93"/>
      <c r="T31" s="93"/>
      <c r="U31" s="22"/>
      <c r="V31" s="22"/>
      <c r="W31" s="292"/>
      <c r="X31" s="22"/>
      <c r="Y31" s="93"/>
      <c r="Z31" s="22"/>
      <c r="AA31" s="322"/>
      <c r="AB31" s="21"/>
      <c r="AC31" s="22"/>
      <c r="AD31" s="277"/>
      <c r="AE31" s="22"/>
      <c r="AF31" s="22"/>
      <c r="AG31" s="22"/>
      <c r="AH31" s="96"/>
      <c r="AI31" s="290">
        <f t="shared" si="7"/>
        <v>0</v>
      </c>
      <c r="AJ31" s="2"/>
      <c r="AK31" s="285"/>
      <c r="AL31" s="286" t="str">
        <f t="shared" si="14"/>
        <v>VAZIO</v>
      </c>
      <c r="AM31" s="286" t="str">
        <f t="shared" si="14"/>
        <v>VAZIO</v>
      </c>
      <c r="AN31" s="286" t="str">
        <f t="shared" si="14"/>
        <v>VAZIO</v>
      </c>
      <c r="AO31" s="286" t="str">
        <f t="shared" si="14"/>
        <v>VAZIO</v>
      </c>
      <c r="AP31" s="286" t="str">
        <f t="shared" si="14"/>
        <v>VAZIO</v>
      </c>
      <c r="AQ31" s="286" t="str">
        <f t="shared" si="14"/>
        <v>VAZIO</v>
      </c>
      <c r="AR31" s="286" t="str">
        <f t="shared" si="14"/>
        <v>VAZIO</v>
      </c>
      <c r="AS31" s="286" t="str">
        <f t="shared" si="14"/>
        <v>VAZIO</v>
      </c>
      <c r="AT31" s="286" t="str">
        <f t="shared" si="14"/>
        <v>VAZIO</v>
      </c>
      <c r="AU31" s="286" t="str">
        <f t="shared" si="15"/>
        <v>VAZIO</v>
      </c>
      <c r="AV31" s="286" t="str">
        <f t="shared" si="15"/>
        <v>VAZIO</v>
      </c>
      <c r="AW31" s="286" t="str">
        <f t="shared" si="15"/>
        <v>VAZIO</v>
      </c>
      <c r="AX31" s="286" t="str">
        <f t="shared" si="15"/>
        <v>VAZIO</v>
      </c>
      <c r="AY31" s="286" t="str">
        <f t="shared" si="15"/>
        <v>VAZIO</v>
      </c>
      <c r="AZ31" s="286" t="str">
        <f t="shared" si="15"/>
        <v>VAZIO</v>
      </c>
      <c r="BA31" s="286" t="str">
        <f t="shared" si="15"/>
        <v>VAZIO</v>
      </c>
      <c r="BB31" s="286" t="str">
        <f t="shared" si="12"/>
        <v>VAZIO</v>
      </c>
      <c r="BC31" s="286" t="str">
        <f t="shared" si="12"/>
        <v>VAZIO</v>
      </c>
      <c r="BD31" s="286" t="str">
        <f t="shared" si="12"/>
        <v>VAZIO</v>
      </c>
      <c r="BE31" s="286" t="str">
        <f t="shared" si="12"/>
        <v>VAZIO</v>
      </c>
      <c r="BF31" s="286" t="str">
        <f t="shared" si="12"/>
        <v>VAZIO</v>
      </c>
      <c r="BG31" s="286" t="str">
        <f t="shared" si="12"/>
        <v>VAZIO</v>
      </c>
      <c r="BH31" s="286" t="str">
        <f t="shared" si="12"/>
        <v>VAZIO</v>
      </c>
      <c r="BI31" s="286" t="str">
        <f t="shared" si="12"/>
        <v>VAZIO</v>
      </c>
      <c r="BJ31" s="286" t="str">
        <f t="shared" si="12"/>
        <v>VAZIO</v>
      </c>
      <c r="BK31" s="286" t="str">
        <f t="shared" si="8"/>
        <v>VAZIO</v>
      </c>
      <c r="BL31" s="286" t="str">
        <f t="shared" si="8"/>
        <v>VAZIO</v>
      </c>
      <c r="BM31" s="286" t="str">
        <f t="shared" si="8"/>
        <v>VAZIO</v>
      </c>
      <c r="BN31" s="286" t="str">
        <f t="shared" si="8"/>
        <v>VAZIO</v>
      </c>
      <c r="BO31" s="286" t="str">
        <f t="shared" si="8"/>
        <v>VAZIO</v>
      </c>
      <c r="BP31" s="286" t="e">
        <f t="shared" si="3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11137.6</v>
      </c>
      <c r="E32" s="103">
        <f>SUM(E5:E30)</f>
        <v>9297.7999999999993</v>
      </c>
      <c r="F32" s="103">
        <f>SUM(F5:F30)</f>
        <v>11440.53</v>
      </c>
      <c r="G32" s="103">
        <f t="shared" ref="G32:AH32" si="16">SUM(G5:G30)</f>
        <v>8556.9000000000015</v>
      </c>
      <c r="H32" s="103">
        <f t="shared" si="16"/>
        <v>10370.02</v>
      </c>
      <c r="I32" s="103">
        <f t="shared" si="16"/>
        <v>11774.000000000002</v>
      </c>
      <c r="J32" s="103">
        <f t="shared" si="16"/>
        <v>12008.79</v>
      </c>
      <c r="K32" s="103">
        <f t="shared" si="16"/>
        <v>8473.6</v>
      </c>
      <c r="L32" s="103">
        <f t="shared" si="16"/>
        <v>5853.7000000000007</v>
      </c>
      <c r="M32" s="103">
        <f t="shared" si="16"/>
        <v>6344.2</v>
      </c>
      <c r="N32" s="103">
        <f t="shared" si="16"/>
        <v>3883.1000000000004</v>
      </c>
      <c r="O32" s="103">
        <f t="shared" si="16"/>
        <v>9986.3000000000011</v>
      </c>
      <c r="P32" s="103">
        <f t="shared" si="16"/>
        <v>9101</v>
      </c>
      <c r="Q32" s="103">
        <f t="shared" si="16"/>
        <v>10393</v>
      </c>
      <c r="R32" s="103">
        <f t="shared" si="16"/>
        <v>12178.9</v>
      </c>
      <c r="S32" s="103">
        <f t="shared" si="16"/>
        <v>11526.9</v>
      </c>
      <c r="T32" s="103">
        <f t="shared" si="16"/>
        <v>10446.300000000001</v>
      </c>
      <c r="U32" s="103">
        <f t="shared" si="16"/>
        <v>11730.600000000002</v>
      </c>
      <c r="V32" s="103">
        <f t="shared" si="16"/>
        <v>11404.000000000002</v>
      </c>
      <c r="W32" s="103">
        <f t="shared" si="16"/>
        <v>11657.2</v>
      </c>
      <c r="X32" s="103">
        <f t="shared" si="16"/>
        <v>10444.9</v>
      </c>
      <c r="Y32" s="103">
        <f t="shared" si="16"/>
        <v>11060.699999999999</v>
      </c>
      <c r="Z32" s="103">
        <f t="shared" si="16"/>
        <v>8246.2000000000007</v>
      </c>
      <c r="AA32" s="103">
        <f t="shared" si="16"/>
        <v>11097.2</v>
      </c>
      <c r="AB32" s="103">
        <f t="shared" si="16"/>
        <v>9074.2000000000007</v>
      </c>
      <c r="AC32" s="103">
        <f>SUM(AC5:AC30)</f>
        <v>7975.2</v>
      </c>
      <c r="AD32" s="103">
        <f t="shared" si="16"/>
        <v>6290.2000000000007</v>
      </c>
      <c r="AE32" s="103">
        <f t="shared" si="16"/>
        <v>10008.6</v>
      </c>
      <c r="AF32" s="103">
        <f t="shared" si="16"/>
        <v>11567.000000000002</v>
      </c>
      <c r="AG32" s="103">
        <f t="shared" si="16"/>
        <v>8099.5999999999995</v>
      </c>
      <c r="AH32" s="103">
        <f t="shared" si="16"/>
        <v>3381.8</v>
      </c>
      <c r="AI32" s="189">
        <f>SUM(AI5:AI31)</f>
        <v>294810.04000000004</v>
      </c>
      <c r="AJ32" s="104">
        <f>SUM(AJ5:AJ31)</f>
        <v>2106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294,81 MWh</v>
      </c>
      <c r="AJ33" s="2"/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>
        <v>50.8</v>
      </c>
      <c r="V34" s="2">
        <v>50277.3</v>
      </c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9827,001 kWh</v>
      </c>
      <c r="AJ34" s="2"/>
      <c r="AK34" s="2"/>
      <c r="AL34" s="2"/>
      <c r="AM34" s="2"/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/>
      <c r="U35" s="2">
        <v>1.7</v>
      </c>
      <c r="V35" s="2">
        <v>50407.8</v>
      </c>
      <c r="W35" s="2"/>
      <c r="X35" s="2">
        <f>37916.7-3.4</f>
        <v>37913.299999999996</v>
      </c>
      <c r="Y35" s="2">
        <v>38234</v>
      </c>
      <c r="Z35" s="2">
        <f>Y35-X35</f>
        <v>320.70000000000437</v>
      </c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294810,03 kWh</v>
      </c>
      <c r="AJ35" s="2"/>
      <c r="AK35" s="2"/>
      <c r="AL35" s="2"/>
      <c r="AM35" s="2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V36">
        <f>V35-U35-V34</f>
        <v>128.80000000000291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294,81 MWh</v>
      </c>
    </row>
    <row r="37" spans="2:76" x14ac:dyDescent="0.3">
      <c r="V37">
        <f>V36+U34</f>
        <v>179.60000000000292</v>
      </c>
      <c r="W37">
        <v>142</v>
      </c>
      <c r="X37" s="102">
        <f>V35+V37+W28</f>
        <v>51106.100000000006</v>
      </c>
      <c r="Y37">
        <v>51144.2</v>
      </c>
      <c r="AC37">
        <v>53196</v>
      </c>
    </row>
    <row r="38" spans="2:76" x14ac:dyDescent="0.3">
      <c r="X38">
        <v>51055.7</v>
      </c>
      <c r="Y38">
        <v>51607.9</v>
      </c>
      <c r="AC38">
        <v>60.6</v>
      </c>
    </row>
    <row r="39" spans="2:76" x14ac:dyDescent="0.3">
      <c r="X39">
        <f>X38-27.3</f>
        <v>51028.399999999994</v>
      </c>
      <c r="Y39">
        <f>Y38-42.2</f>
        <v>51565.700000000004</v>
      </c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6" x14ac:dyDescent="0.3">
      <c r="X40" s="102">
        <f>X39-X37</f>
        <v>-77.700000000011642</v>
      </c>
      <c r="Y40">
        <f>Y39-Y37</f>
        <v>421.50000000000728</v>
      </c>
      <c r="AF40">
        <f>AF39-20.4</f>
        <v>53905.2</v>
      </c>
    </row>
    <row r="41" spans="2:76" x14ac:dyDescent="0.3">
      <c r="X41" s="102">
        <f>X40+90</f>
        <v>12.299999999988358</v>
      </c>
      <c r="Y41">
        <f>Y40+115.8</f>
        <v>537.30000000000723</v>
      </c>
      <c r="AF41">
        <f>AF40-AD39</f>
        <v>263.19999999999709</v>
      </c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</row>
    <row r="44" spans="2:76" x14ac:dyDescent="0.3">
      <c r="B44" s="751" t="s">
        <v>6</v>
      </c>
      <c r="C44" s="18" t="s">
        <v>7</v>
      </c>
      <c r="D44" s="163">
        <f>D5+Agosto23!AF41</f>
        <v>48895.6</v>
      </c>
      <c r="E44" s="164">
        <f t="shared" ref="E44:F59" si="17">D44+E5</f>
        <v>48943.799999999996</v>
      </c>
      <c r="F44" s="164">
        <f t="shared" si="17"/>
        <v>49006.899999999994</v>
      </c>
      <c r="G44" s="165">
        <v>49036.4</v>
      </c>
      <c r="H44" s="166">
        <v>49076</v>
      </c>
      <c r="I44" s="163">
        <f t="shared" ref="I44:V59" si="18">H44+I5</f>
        <v>49137.8</v>
      </c>
      <c r="J44" s="163">
        <f t="shared" si="18"/>
        <v>49205.100000000006</v>
      </c>
      <c r="K44" s="163">
        <f t="shared" si="18"/>
        <v>49250.500000000007</v>
      </c>
      <c r="L44" s="163">
        <f t="shared" si="18"/>
        <v>49288.400000000009</v>
      </c>
      <c r="M44" s="163">
        <f t="shared" si="18"/>
        <v>49318.400000000009</v>
      </c>
      <c r="N44" s="163">
        <f t="shared" si="18"/>
        <v>49324.500000000007</v>
      </c>
      <c r="O44" s="163">
        <f t="shared" si="18"/>
        <v>49375.400000000009</v>
      </c>
      <c r="P44" s="163">
        <f t="shared" si="18"/>
        <v>49422.600000000006</v>
      </c>
      <c r="Q44" s="163">
        <f t="shared" si="18"/>
        <v>49478.8</v>
      </c>
      <c r="R44" s="163">
        <f t="shared" si="18"/>
        <v>49544.3</v>
      </c>
      <c r="S44" s="163">
        <f t="shared" si="18"/>
        <v>49605.700000000004</v>
      </c>
      <c r="T44" s="163">
        <f t="shared" si="18"/>
        <v>49655.700000000004</v>
      </c>
      <c r="U44" s="163">
        <f t="shared" si="18"/>
        <v>49717.200000000004</v>
      </c>
      <c r="V44" s="163">
        <f t="shared" si="18"/>
        <v>49776.800000000003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</row>
    <row r="45" spans="2:76" x14ac:dyDescent="0.3">
      <c r="B45" s="752"/>
      <c r="C45" s="18" t="s">
        <v>8</v>
      </c>
      <c r="D45" s="163">
        <f>D6+Agosto23!AF42</f>
        <v>99055.900000000009</v>
      </c>
      <c r="E45" s="164">
        <f t="shared" si="17"/>
        <v>99305.600000000006</v>
      </c>
      <c r="F45" s="164">
        <f t="shared" si="17"/>
        <v>99660.6</v>
      </c>
      <c r="G45" s="165">
        <f>21775+78123.8</f>
        <v>99898.8</v>
      </c>
      <c r="H45" s="166">
        <f>21823+78322.8</f>
        <v>100145.8</v>
      </c>
      <c r="I45" s="163">
        <f t="shared" si="18"/>
        <v>100496.3</v>
      </c>
      <c r="J45" s="163">
        <f t="shared" si="18"/>
        <v>100871.7</v>
      </c>
      <c r="K45" s="163">
        <f t="shared" si="18"/>
        <v>101146.7</v>
      </c>
      <c r="L45" s="163">
        <f t="shared" si="18"/>
        <v>101335.2</v>
      </c>
      <c r="M45" s="163">
        <f t="shared" si="18"/>
        <v>101505.8</v>
      </c>
      <c r="N45" s="163">
        <f t="shared" si="18"/>
        <v>101595.8</v>
      </c>
      <c r="O45" s="163">
        <f t="shared" si="18"/>
        <v>101867.3</v>
      </c>
      <c r="P45" s="163">
        <f t="shared" si="18"/>
        <v>102113</v>
      </c>
      <c r="Q45" s="163">
        <f t="shared" si="18"/>
        <v>102392.5</v>
      </c>
      <c r="R45" s="163">
        <f t="shared" si="18"/>
        <v>102718.6</v>
      </c>
      <c r="S45" s="163">
        <f t="shared" si="18"/>
        <v>102992.40000000001</v>
      </c>
      <c r="T45" s="163">
        <f t="shared" si="18"/>
        <v>103244.50000000001</v>
      </c>
      <c r="U45" s="163">
        <f t="shared" si="18"/>
        <v>103569.60000000002</v>
      </c>
      <c r="V45" s="163">
        <f t="shared" si="18"/>
        <v>103913.00000000001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</row>
    <row r="46" spans="2:76" x14ac:dyDescent="0.3">
      <c r="B46" s="752"/>
      <c r="C46" s="18" t="s">
        <v>9</v>
      </c>
      <c r="D46" s="163">
        <f>D7+Agosto23!AF43</f>
        <v>69889</v>
      </c>
      <c r="E46" s="164">
        <f t="shared" si="17"/>
        <v>70092.7</v>
      </c>
      <c r="F46" s="164">
        <f t="shared" si="17"/>
        <v>70350.8</v>
      </c>
      <c r="G46" s="165">
        <v>70458.2</v>
      </c>
      <c r="H46" s="166">
        <v>70615.5</v>
      </c>
      <c r="I46" s="163">
        <f t="shared" si="18"/>
        <v>70863.3</v>
      </c>
      <c r="J46" s="163">
        <f t="shared" si="18"/>
        <v>71144.3</v>
      </c>
      <c r="K46" s="163">
        <f t="shared" si="18"/>
        <v>71323.100000000006</v>
      </c>
      <c r="L46" s="163">
        <f t="shared" si="18"/>
        <v>71476.100000000006</v>
      </c>
      <c r="M46" s="163">
        <f t="shared" si="18"/>
        <v>71600.100000000006</v>
      </c>
      <c r="N46" s="163">
        <f t="shared" si="18"/>
        <v>71624</v>
      </c>
      <c r="O46" s="163">
        <f t="shared" si="18"/>
        <v>71832.5</v>
      </c>
      <c r="P46" s="163">
        <f t="shared" si="18"/>
        <v>72024.600000000006</v>
      </c>
      <c r="Q46" s="163">
        <f t="shared" si="18"/>
        <v>72096.700000000012</v>
      </c>
      <c r="R46" s="163">
        <f t="shared" si="18"/>
        <v>72371.600000000006</v>
      </c>
      <c r="S46" s="163">
        <f t="shared" si="18"/>
        <v>72613.700000000012</v>
      </c>
      <c r="T46" s="163">
        <f t="shared" si="18"/>
        <v>72810.700000000012</v>
      </c>
      <c r="U46" s="163" t="e">
        <f>T46+#REF!</f>
        <v>#REF!</v>
      </c>
      <c r="V46" s="163" t="e">
        <f t="shared" si="18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</row>
    <row r="47" spans="2:76" x14ac:dyDescent="0.3">
      <c r="B47" s="752"/>
      <c r="C47" s="18" t="s">
        <v>10</v>
      </c>
      <c r="D47" s="163">
        <f>D8+Agosto23!AF44</f>
        <v>95769.3</v>
      </c>
      <c r="E47" s="164">
        <f t="shared" si="17"/>
        <v>95906.6</v>
      </c>
      <c r="F47" s="164">
        <f t="shared" si="17"/>
        <v>96077</v>
      </c>
      <c r="G47" s="165">
        <v>96154</v>
      </c>
      <c r="H47" s="166">
        <v>96261.9</v>
      </c>
      <c r="I47" s="163">
        <f t="shared" si="18"/>
        <v>96424.4</v>
      </c>
      <c r="J47" s="163">
        <f t="shared" si="18"/>
        <v>96612.099999999991</v>
      </c>
      <c r="K47" s="163">
        <f t="shared" si="18"/>
        <v>96732.4</v>
      </c>
      <c r="L47" s="163">
        <f t="shared" si="18"/>
        <v>96836.5</v>
      </c>
      <c r="M47" s="163">
        <f t="shared" si="18"/>
        <v>96922</v>
      </c>
      <c r="N47" s="163">
        <f t="shared" si="18"/>
        <v>96939.1</v>
      </c>
      <c r="O47" s="163">
        <f t="shared" si="18"/>
        <v>97081.900000000009</v>
      </c>
      <c r="P47" s="163">
        <f t="shared" si="18"/>
        <v>97212.800000000003</v>
      </c>
      <c r="Q47" s="163">
        <f t="shared" si="18"/>
        <v>97261.5</v>
      </c>
      <c r="R47" s="163">
        <f t="shared" si="18"/>
        <v>97433.8</v>
      </c>
      <c r="S47" s="163">
        <f t="shared" si="18"/>
        <v>97594</v>
      </c>
      <c r="T47" s="163">
        <f t="shared" si="18"/>
        <v>97726.2</v>
      </c>
      <c r="U47" s="163" t="e">
        <f>T47+#REF!</f>
        <v>#REF!</v>
      </c>
      <c r="V47" s="163" t="e">
        <f t="shared" si="18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</row>
    <row r="48" spans="2:76" x14ac:dyDescent="0.3">
      <c r="B48" s="752"/>
      <c r="C48" s="18" t="s">
        <v>11</v>
      </c>
      <c r="D48" s="163">
        <f>D9+Agosto23!AF45</f>
        <v>18802.599999999999</v>
      </c>
      <c r="E48" s="164">
        <f t="shared" si="17"/>
        <v>18841.399999999998</v>
      </c>
      <c r="F48" s="164">
        <f t="shared" si="17"/>
        <v>18896.399999999998</v>
      </c>
      <c r="G48" s="165">
        <v>18957</v>
      </c>
      <c r="H48" s="166">
        <v>18998</v>
      </c>
      <c r="I48" s="163">
        <f t="shared" si="18"/>
        <v>19051.3</v>
      </c>
      <c r="J48" s="163">
        <f t="shared" si="18"/>
        <v>19108.7</v>
      </c>
      <c r="K48" s="163">
        <f t="shared" si="18"/>
        <v>19134.8</v>
      </c>
      <c r="L48" s="163">
        <f t="shared" si="18"/>
        <v>19166.599999999999</v>
      </c>
      <c r="M48" s="163">
        <f t="shared" si="18"/>
        <v>19192.599999999999</v>
      </c>
      <c r="N48" s="163">
        <f t="shared" si="18"/>
        <v>19213.399999999998</v>
      </c>
      <c r="O48" s="163">
        <f t="shared" si="18"/>
        <v>19260.3</v>
      </c>
      <c r="P48" s="163">
        <f t="shared" si="18"/>
        <v>19301.2</v>
      </c>
      <c r="Q48" s="163">
        <f t="shared" si="18"/>
        <v>19343.600000000002</v>
      </c>
      <c r="R48" s="163">
        <f t="shared" si="18"/>
        <v>19371.100000000002</v>
      </c>
      <c r="S48" s="163">
        <f t="shared" si="18"/>
        <v>19422.600000000002</v>
      </c>
      <c r="T48" s="163">
        <f t="shared" si="18"/>
        <v>19463.2</v>
      </c>
      <c r="U48" s="163">
        <f>T48+U7</f>
        <v>19716.7</v>
      </c>
      <c r="V48" s="163">
        <f t="shared" si="18"/>
        <v>19768.8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</row>
    <row r="49" spans="2:39" x14ac:dyDescent="0.3">
      <c r="B49" s="752"/>
      <c r="C49" s="18" t="s">
        <v>12</v>
      </c>
      <c r="D49" s="163">
        <f>D10+Agosto23!AF46</f>
        <v>58236.899999999994</v>
      </c>
      <c r="E49" s="164">
        <f t="shared" si="17"/>
        <v>58315.099999999991</v>
      </c>
      <c r="F49" s="164">
        <f t="shared" si="17"/>
        <v>58433.899999999994</v>
      </c>
      <c r="G49" s="165">
        <v>58550</v>
      </c>
      <c r="H49" s="166">
        <v>58640</v>
      </c>
      <c r="I49" s="163">
        <f t="shared" si="18"/>
        <v>58750.9</v>
      </c>
      <c r="J49" s="163">
        <f t="shared" si="18"/>
        <v>58871</v>
      </c>
      <c r="K49" s="163">
        <f t="shared" si="18"/>
        <v>58925.8</v>
      </c>
      <c r="L49" s="163">
        <f t="shared" si="18"/>
        <v>58989.9</v>
      </c>
      <c r="M49" s="163">
        <f t="shared" si="18"/>
        <v>59041.4</v>
      </c>
      <c r="N49" s="163">
        <f t="shared" si="18"/>
        <v>59083.1</v>
      </c>
      <c r="O49" s="163">
        <f t="shared" si="18"/>
        <v>59178.799999999996</v>
      </c>
      <c r="P49" s="163">
        <f t="shared" si="18"/>
        <v>59260.799999999996</v>
      </c>
      <c r="Q49" s="163">
        <f t="shared" si="18"/>
        <v>59344.799999999996</v>
      </c>
      <c r="R49" s="163">
        <f t="shared" si="18"/>
        <v>59388.6</v>
      </c>
      <c r="S49" s="163">
        <f t="shared" si="18"/>
        <v>59491.5</v>
      </c>
      <c r="T49" s="163">
        <f t="shared" si="18"/>
        <v>59570.9</v>
      </c>
      <c r="U49" s="163">
        <f>T49+U8</f>
        <v>59735.200000000004</v>
      </c>
      <c r="V49" s="163">
        <f t="shared" si="18"/>
        <v>59839.500000000007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</row>
    <row r="50" spans="2:39" x14ac:dyDescent="0.3">
      <c r="B50" s="752"/>
      <c r="C50" s="18" t="s">
        <v>13</v>
      </c>
      <c r="D50" s="163">
        <f>D11+Agosto23!AF47</f>
        <v>230353.1</v>
      </c>
      <c r="E50" s="164">
        <f t="shared" si="17"/>
        <v>230692.4</v>
      </c>
      <c r="F50" s="164">
        <f t="shared" si="17"/>
        <v>231099.8</v>
      </c>
      <c r="G50" s="165">
        <v>231148.9</v>
      </c>
      <c r="H50" s="166">
        <v>231319.5</v>
      </c>
      <c r="I50" s="163">
        <f t="shared" si="18"/>
        <v>231760.8</v>
      </c>
      <c r="J50" s="163">
        <f t="shared" si="18"/>
        <v>232217.4</v>
      </c>
      <c r="K50" s="163">
        <f t="shared" si="18"/>
        <v>232544.9</v>
      </c>
      <c r="L50" s="163">
        <f t="shared" si="18"/>
        <v>232785.69999999998</v>
      </c>
      <c r="M50" s="163">
        <f t="shared" si="18"/>
        <v>232983.99999999997</v>
      </c>
      <c r="N50" s="163">
        <f t="shared" si="18"/>
        <v>233100.09999999998</v>
      </c>
      <c r="O50" s="163">
        <f t="shared" si="18"/>
        <v>233448.19999999998</v>
      </c>
      <c r="P50" s="163">
        <f t="shared" si="18"/>
        <v>233737.09999999998</v>
      </c>
      <c r="Q50" s="163">
        <f t="shared" si="18"/>
        <v>234062.69999999998</v>
      </c>
      <c r="R50" s="163">
        <f t="shared" si="18"/>
        <v>234488.09999999998</v>
      </c>
      <c r="S50" s="163">
        <f t="shared" si="18"/>
        <v>234874.39999999997</v>
      </c>
      <c r="T50" s="163">
        <f t="shared" si="18"/>
        <v>235197.09999999998</v>
      </c>
      <c r="U50" s="163">
        <f t="shared" si="18"/>
        <v>235629.69999999998</v>
      </c>
      <c r="V50" s="163">
        <f t="shared" si="18"/>
        <v>236054.69999999998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</row>
    <row r="51" spans="2:39" x14ac:dyDescent="0.3">
      <c r="B51" s="753"/>
      <c r="C51" s="18" t="s">
        <v>14</v>
      </c>
      <c r="D51" s="163">
        <f>D12+Agosto23!AF48</f>
        <v>883.2</v>
      </c>
      <c r="E51" s="164">
        <f t="shared" si="17"/>
        <v>1102.8</v>
      </c>
      <c r="F51" s="164">
        <f t="shared" si="17"/>
        <v>1450.1</v>
      </c>
      <c r="G51" s="165">
        <v>1440</v>
      </c>
      <c r="H51" s="166">
        <v>1620</v>
      </c>
      <c r="I51" s="163">
        <f t="shared" si="18"/>
        <v>1933.4</v>
      </c>
      <c r="J51" s="163">
        <f t="shared" si="18"/>
        <v>2289.9</v>
      </c>
      <c r="K51" s="163">
        <f t="shared" si="18"/>
        <v>2458</v>
      </c>
      <c r="L51" s="163">
        <f t="shared" si="18"/>
        <v>2630.8</v>
      </c>
      <c r="M51" s="163">
        <f t="shared" si="18"/>
        <v>2776.1000000000004</v>
      </c>
      <c r="N51" s="163">
        <f t="shared" si="18"/>
        <v>2888.8</v>
      </c>
      <c r="O51" s="163">
        <f t="shared" si="18"/>
        <v>3158.1000000000004</v>
      </c>
      <c r="P51" s="163">
        <f t="shared" si="18"/>
        <v>3392.9000000000005</v>
      </c>
      <c r="Q51" s="163">
        <f t="shared" si="18"/>
        <v>3638.9000000000005</v>
      </c>
      <c r="R51" s="163">
        <f t="shared" si="18"/>
        <v>3758.4000000000005</v>
      </c>
      <c r="S51" s="163">
        <f t="shared" si="18"/>
        <v>4052.4000000000005</v>
      </c>
      <c r="T51" s="163">
        <f t="shared" si="18"/>
        <v>4284.6000000000004</v>
      </c>
      <c r="U51" s="163">
        <f t="shared" si="18"/>
        <v>4597.4000000000005</v>
      </c>
      <c r="V51" s="163">
        <f t="shared" si="18"/>
        <v>4927.4000000000005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</row>
    <row r="52" spans="2:39" x14ac:dyDescent="0.3">
      <c r="B52" s="751" t="s">
        <v>16</v>
      </c>
      <c r="C52" s="18" t="s">
        <v>17</v>
      </c>
      <c r="D52" s="163">
        <f>D13+Agosto23!AF49</f>
        <v>137366.39999999999</v>
      </c>
      <c r="E52" s="164">
        <f t="shared" si="17"/>
        <v>137697.69999999998</v>
      </c>
      <c r="F52" s="164">
        <f t="shared" si="17"/>
        <v>138253.9</v>
      </c>
      <c r="G52" s="165">
        <v>138545</v>
      </c>
      <c r="H52" s="166">
        <v>138937</v>
      </c>
      <c r="I52" s="163">
        <f t="shared" si="18"/>
        <v>139432</v>
      </c>
      <c r="J52" s="163">
        <f t="shared" si="18"/>
        <v>139995.6</v>
      </c>
      <c r="K52" s="163">
        <f t="shared" si="18"/>
        <v>140280.30000000002</v>
      </c>
      <c r="L52" s="163">
        <f t="shared" si="18"/>
        <v>140573.40000000002</v>
      </c>
      <c r="M52" s="163">
        <f t="shared" si="18"/>
        <v>140810.10000000003</v>
      </c>
      <c r="N52" s="163">
        <f t="shared" si="18"/>
        <v>141000.10000000003</v>
      </c>
      <c r="O52" s="163">
        <f t="shared" si="18"/>
        <v>141444.70000000004</v>
      </c>
      <c r="P52" s="163">
        <f t="shared" si="18"/>
        <v>141823.50000000003</v>
      </c>
      <c r="Q52" s="163">
        <f t="shared" si="18"/>
        <v>142185.40000000002</v>
      </c>
      <c r="R52" s="163">
        <f t="shared" si="18"/>
        <v>142392.40000000002</v>
      </c>
      <c r="S52" s="163">
        <f t="shared" si="18"/>
        <v>142820.10000000003</v>
      </c>
      <c r="T52" s="163">
        <f t="shared" si="18"/>
        <v>143161.80000000005</v>
      </c>
      <c r="U52" s="163">
        <f t="shared" si="18"/>
        <v>143641.00000000006</v>
      </c>
      <c r="V52" s="163">
        <f t="shared" si="18"/>
        <v>144149.70000000007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</row>
    <row r="53" spans="2:39" x14ac:dyDescent="0.3">
      <c r="B53" s="752"/>
      <c r="C53" s="18" t="s">
        <v>18</v>
      </c>
      <c r="D53" s="163">
        <f>D14+Agosto23!AF50</f>
        <v>127799.90000000001</v>
      </c>
      <c r="E53" s="164">
        <f t="shared" si="17"/>
        <v>128249.1</v>
      </c>
      <c r="F53" s="164">
        <f t="shared" si="17"/>
        <v>128799.1</v>
      </c>
      <c r="G53" s="165">
        <v>128878</v>
      </c>
      <c r="H53" s="166">
        <v>129112</v>
      </c>
      <c r="I53" s="163">
        <f t="shared" si="18"/>
        <v>129708.1</v>
      </c>
      <c r="J53" s="163">
        <f t="shared" si="18"/>
        <v>130320</v>
      </c>
      <c r="K53" s="163">
        <f t="shared" si="18"/>
        <v>130770.6</v>
      </c>
      <c r="L53" s="163">
        <f t="shared" si="18"/>
        <v>131084.4</v>
      </c>
      <c r="M53" s="163">
        <f t="shared" si="18"/>
        <v>131352</v>
      </c>
      <c r="N53" s="163">
        <f t="shared" si="18"/>
        <v>131502.29999999999</v>
      </c>
      <c r="O53" s="163">
        <f>N53+O14</f>
        <v>131977.69999999998</v>
      </c>
      <c r="P53" s="163">
        <f t="shared" si="18"/>
        <v>132377.99999999997</v>
      </c>
      <c r="Q53" s="163">
        <f t="shared" si="18"/>
        <v>132818.69999999998</v>
      </c>
      <c r="R53" s="163">
        <f t="shared" si="18"/>
        <v>133402.19999999998</v>
      </c>
      <c r="S53" s="163">
        <f t="shared" si="18"/>
        <v>133917.79999999999</v>
      </c>
      <c r="T53" s="163" t="e">
        <f>S53+#REF!</f>
        <v>#REF!</v>
      </c>
      <c r="U53" s="163" t="e">
        <f>T53+U14</f>
        <v>#REF!</v>
      </c>
      <c r="V53" s="163" t="e">
        <f t="shared" si="18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</row>
    <row r="54" spans="2:39" x14ac:dyDescent="0.3">
      <c r="B54" s="752"/>
      <c r="C54" s="18" t="s">
        <v>19</v>
      </c>
      <c r="D54" s="163">
        <f>D15+Agosto23!AF51</f>
        <v>37851.5</v>
      </c>
      <c r="E54" s="164">
        <f t="shared" si="17"/>
        <v>37977.800000000003</v>
      </c>
      <c r="F54" s="164">
        <f t="shared" si="17"/>
        <v>38127.800000000003</v>
      </c>
      <c r="G54" s="165">
        <v>38160</v>
      </c>
      <c r="H54" s="166">
        <v>38222</v>
      </c>
      <c r="I54" s="163">
        <f t="shared" si="18"/>
        <v>38389.4</v>
      </c>
      <c r="J54" s="163">
        <f t="shared" si="18"/>
        <v>38558.700000000004</v>
      </c>
      <c r="K54" s="163">
        <f t="shared" si="18"/>
        <v>38680.500000000007</v>
      </c>
      <c r="L54" s="163">
        <f t="shared" si="18"/>
        <v>38767.900000000009</v>
      </c>
      <c r="M54" s="163">
        <f t="shared" si="18"/>
        <v>38841.100000000006</v>
      </c>
      <c r="N54" s="163">
        <f t="shared" si="18"/>
        <v>38881.600000000006</v>
      </c>
      <c r="O54" s="163">
        <f>N54+O15</f>
        <v>39012.000000000007</v>
      </c>
      <c r="P54" s="163">
        <f t="shared" si="18"/>
        <v>39126.000000000007</v>
      </c>
      <c r="Q54" s="163">
        <f t="shared" si="18"/>
        <v>39259.900000000009</v>
      </c>
      <c r="R54" s="163">
        <f t="shared" si="18"/>
        <v>39427.30000000001</v>
      </c>
      <c r="S54" s="163">
        <f t="shared" si="18"/>
        <v>39583.500000000007</v>
      </c>
      <c r="T54" s="163">
        <f>S54+T15</f>
        <v>39704.500000000007</v>
      </c>
      <c r="U54" s="163">
        <f>T54+U15</f>
        <v>39868.100000000006</v>
      </c>
      <c r="V54" s="163">
        <f t="shared" si="18"/>
        <v>40029.600000000006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</row>
    <row r="55" spans="2:39" x14ac:dyDescent="0.3">
      <c r="B55" s="753"/>
      <c r="C55" s="18" t="s">
        <v>20</v>
      </c>
      <c r="D55" s="163">
        <f>D16+Agosto23!AF52</f>
        <v>97420.9</v>
      </c>
      <c r="E55" s="164">
        <f t="shared" si="17"/>
        <v>97867.099999999991</v>
      </c>
      <c r="F55" s="164">
        <f t="shared" si="17"/>
        <v>98373.499999999985</v>
      </c>
      <c r="G55" s="165">
        <v>98510</v>
      </c>
      <c r="H55" s="166">
        <v>98809</v>
      </c>
      <c r="I55" s="163">
        <f t="shared" si="18"/>
        <v>99329.5</v>
      </c>
      <c r="J55" s="163">
        <f t="shared" si="18"/>
        <v>99890.7</v>
      </c>
      <c r="K55" s="163">
        <f t="shared" si="18"/>
        <v>100259.5</v>
      </c>
      <c r="L55" s="163">
        <f t="shared" si="18"/>
        <v>100532.3</v>
      </c>
      <c r="M55" s="163">
        <f t="shared" si="18"/>
        <v>100796.7</v>
      </c>
      <c r="N55" s="163">
        <f t="shared" si="18"/>
        <v>100939.8</v>
      </c>
      <c r="O55" s="163">
        <f t="shared" si="18"/>
        <v>100940.2</v>
      </c>
      <c r="P55" s="163">
        <f t="shared" si="18"/>
        <v>101316.7</v>
      </c>
      <c r="Q55" s="163">
        <f t="shared" si="18"/>
        <v>101768.8</v>
      </c>
      <c r="R55" s="163">
        <f t="shared" si="18"/>
        <v>102327.90000000001</v>
      </c>
      <c r="S55" s="163">
        <f t="shared" si="18"/>
        <v>102778.90000000001</v>
      </c>
      <c r="T55" s="163">
        <f>S55+T14</f>
        <v>103196.20000000001</v>
      </c>
      <c r="U55" s="163">
        <f t="shared" si="18"/>
        <v>103687.30000000002</v>
      </c>
      <c r="V55" s="163">
        <f t="shared" si="18"/>
        <v>104212.80000000002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</row>
    <row r="56" spans="2:39" x14ac:dyDescent="0.3">
      <c r="B56" s="754" t="s">
        <v>21</v>
      </c>
      <c r="C56" s="18" t="s">
        <v>22</v>
      </c>
      <c r="D56" s="163">
        <f>D17+Agosto23!AF53</f>
        <v>66228.600000000006</v>
      </c>
      <c r="E56" s="164">
        <f t="shared" si="17"/>
        <v>66657.200000000012</v>
      </c>
      <c r="F56" s="164">
        <f t="shared" si="17"/>
        <v>67177.500000000015</v>
      </c>
      <c r="G56" s="165">
        <v>67299</v>
      </c>
      <c r="H56" s="166">
        <v>67726</v>
      </c>
      <c r="I56" s="163">
        <f t="shared" si="18"/>
        <v>68282.3</v>
      </c>
      <c r="J56" s="163">
        <f t="shared" si="18"/>
        <v>68845.8</v>
      </c>
      <c r="K56" s="163">
        <f t="shared" si="18"/>
        <v>69302</v>
      </c>
      <c r="L56" s="163">
        <f t="shared" si="18"/>
        <v>69503.7</v>
      </c>
      <c r="M56" s="163">
        <f t="shared" si="18"/>
        <v>69813.3</v>
      </c>
      <c r="N56" s="163">
        <f t="shared" si="18"/>
        <v>70020.5</v>
      </c>
      <c r="O56" s="163">
        <f t="shared" si="18"/>
        <v>70515.5</v>
      </c>
      <c r="P56" s="163">
        <f t="shared" si="18"/>
        <v>70960</v>
      </c>
      <c r="Q56" s="163">
        <f t="shared" si="18"/>
        <v>71437.3</v>
      </c>
      <c r="R56" s="163">
        <f t="shared" si="18"/>
        <v>71987.400000000009</v>
      </c>
      <c r="S56" s="163">
        <f t="shared" si="18"/>
        <v>72474.8</v>
      </c>
      <c r="T56" s="163">
        <f t="shared" si="18"/>
        <v>72948.3</v>
      </c>
      <c r="U56" s="163">
        <f t="shared" si="18"/>
        <v>73442.100000000006</v>
      </c>
      <c r="V56" s="163">
        <f t="shared" si="18"/>
        <v>73884.400000000009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</row>
    <row r="57" spans="2:39" x14ac:dyDescent="0.3">
      <c r="B57" s="754"/>
      <c r="C57" s="18" t="s">
        <v>23</v>
      </c>
      <c r="D57" s="163">
        <f>D18+Agosto23!AF54</f>
        <v>74808</v>
      </c>
      <c r="E57" s="164">
        <f t="shared" si="17"/>
        <v>75242.2</v>
      </c>
      <c r="F57" s="164">
        <f t="shared" si="17"/>
        <v>75412.7</v>
      </c>
      <c r="G57" s="165">
        <v>75901</v>
      </c>
      <c r="H57" s="166">
        <v>76333</v>
      </c>
      <c r="I57" s="163">
        <f t="shared" si="18"/>
        <v>76907.5</v>
      </c>
      <c r="J57" s="163">
        <f t="shared" si="18"/>
        <v>77486</v>
      </c>
      <c r="K57" s="163">
        <f t="shared" si="18"/>
        <v>77943</v>
      </c>
      <c r="L57" s="163">
        <f t="shared" si="18"/>
        <v>78147.899999999994</v>
      </c>
      <c r="M57" s="163">
        <f>L57+M21</f>
        <v>78398.2</v>
      </c>
      <c r="N57" s="163">
        <f t="shared" si="18"/>
        <v>78610</v>
      </c>
      <c r="O57" s="163">
        <f t="shared" si="18"/>
        <v>79106.899999999994</v>
      </c>
      <c r="P57" s="163">
        <f t="shared" si="18"/>
        <v>79550.5</v>
      </c>
      <c r="Q57" s="163">
        <f t="shared" si="18"/>
        <v>80049.899999999994</v>
      </c>
      <c r="R57" s="163">
        <f t="shared" si="18"/>
        <v>80626.399999999994</v>
      </c>
      <c r="S57" s="163">
        <f t="shared" si="18"/>
        <v>81130.7</v>
      </c>
      <c r="T57" s="163">
        <f t="shared" si="18"/>
        <v>81626.099999999991</v>
      </c>
      <c r="U57" s="163">
        <f t="shared" si="18"/>
        <v>82125.599999999991</v>
      </c>
      <c r="V57" s="163">
        <f t="shared" si="18"/>
        <v>82557.599999999991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</row>
    <row r="58" spans="2:39" x14ac:dyDescent="0.3">
      <c r="B58" s="754"/>
      <c r="C58" s="18" t="s">
        <v>24</v>
      </c>
      <c r="D58" s="163">
        <f>D19+Agosto23!AF55</f>
        <v>136439.90000000002</v>
      </c>
      <c r="E58" s="164">
        <f t="shared" si="17"/>
        <v>136776.20000000001</v>
      </c>
      <c r="F58" s="164">
        <f t="shared" si="17"/>
        <v>137185.40000000002</v>
      </c>
      <c r="G58" s="165">
        <v>137294</v>
      </c>
      <c r="H58" s="166">
        <v>137664</v>
      </c>
      <c r="I58" s="163">
        <f t="shared" si="18"/>
        <v>138152.1</v>
      </c>
      <c r="J58" s="163">
        <f t="shared" si="18"/>
        <v>138629.80000000002</v>
      </c>
      <c r="K58" s="163">
        <f t="shared" si="18"/>
        <v>139013.1</v>
      </c>
      <c r="L58" s="163">
        <f>K58+L21</f>
        <v>139195.4</v>
      </c>
      <c r="M58" s="163">
        <f t="shared" si="18"/>
        <v>139450.9</v>
      </c>
      <c r="N58" s="163">
        <f t="shared" si="18"/>
        <v>139624.79999999999</v>
      </c>
      <c r="O58" s="163">
        <f t="shared" si="18"/>
        <v>140032.19999999998</v>
      </c>
      <c r="P58" s="163">
        <f t="shared" si="18"/>
        <v>140417.69999999998</v>
      </c>
      <c r="Q58" s="163">
        <f t="shared" si="18"/>
        <v>140787.99999999997</v>
      </c>
      <c r="R58" s="163">
        <f t="shared" si="18"/>
        <v>141251.59999999998</v>
      </c>
      <c r="S58" s="163">
        <f t="shared" si="18"/>
        <v>141662.89999999997</v>
      </c>
      <c r="T58" s="163">
        <f t="shared" si="18"/>
        <v>142080.29999999996</v>
      </c>
      <c r="U58" s="163">
        <f t="shared" si="18"/>
        <v>142485.89999999997</v>
      </c>
      <c r="V58" s="163">
        <f t="shared" si="18"/>
        <v>142894.09999999998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</row>
    <row r="59" spans="2:39" x14ac:dyDescent="0.3">
      <c r="B59" s="754"/>
      <c r="C59" s="18" t="s">
        <v>25</v>
      </c>
      <c r="D59" s="163">
        <f>D20+Agosto23!AF56</f>
        <v>174882.3</v>
      </c>
      <c r="E59" s="164">
        <f t="shared" si="17"/>
        <v>175309.59999999998</v>
      </c>
      <c r="F59" s="164">
        <f t="shared" si="17"/>
        <v>175803.8</v>
      </c>
      <c r="G59" s="165">
        <v>176032</v>
      </c>
      <c r="H59" s="166">
        <v>176536</v>
      </c>
      <c r="I59" s="163">
        <f t="shared" si="18"/>
        <v>177118</v>
      </c>
      <c r="J59" s="163">
        <f t="shared" si="18"/>
        <v>177705.60000000001</v>
      </c>
      <c r="K59" s="163">
        <f t="shared" si="18"/>
        <v>178204.7</v>
      </c>
      <c r="L59" s="163">
        <f t="shared" si="18"/>
        <v>178437.90000000002</v>
      </c>
      <c r="M59" s="163">
        <f t="shared" si="18"/>
        <v>178762.90000000002</v>
      </c>
      <c r="N59" s="163">
        <f>M59+N21</f>
        <v>178938.80000000002</v>
      </c>
      <c r="O59" s="163" t="e">
        <f>N59+#REF!</f>
        <v>#REF!</v>
      </c>
      <c r="P59" s="163" t="e">
        <f t="shared" si="18"/>
        <v>#REF!</v>
      </c>
      <c r="Q59" s="163" t="e">
        <f t="shared" si="18"/>
        <v>#REF!</v>
      </c>
      <c r="R59" s="163" t="e">
        <f t="shared" si="18"/>
        <v>#REF!</v>
      </c>
      <c r="S59" s="163" t="e">
        <f>R59+S21</f>
        <v>#REF!</v>
      </c>
      <c r="T59" s="163" t="e">
        <f t="shared" si="18"/>
        <v>#REF!</v>
      </c>
      <c r="U59" s="163" t="e">
        <f t="shared" si="18"/>
        <v>#REF!</v>
      </c>
      <c r="V59" s="163" t="e">
        <f t="shared" si="18"/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</row>
    <row r="60" spans="2:39" x14ac:dyDescent="0.3">
      <c r="B60" s="754"/>
      <c r="C60" s="18" t="s">
        <v>26</v>
      </c>
      <c r="D60" s="163">
        <f>D21+Agosto23!AF57</f>
        <v>82616.800000000003</v>
      </c>
      <c r="E60" s="164">
        <f t="shared" ref="E60:F66" si="19">D60+E21</f>
        <v>82957.3</v>
      </c>
      <c r="F60" s="164">
        <f t="shared" si="19"/>
        <v>83377.100000000006</v>
      </c>
      <c r="G60" s="165">
        <v>83628</v>
      </c>
      <c r="H60" s="166">
        <v>84081</v>
      </c>
      <c r="I60" s="163">
        <f t="shared" ref="I60:L66" si="20">H60+I21</f>
        <v>84571.5</v>
      </c>
      <c r="J60" s="163">
        <f t="shared" si="20"/>
        <v>85058</v>
      </c>
      <c r="K60" s="163">
        <f t="shared" si="20"/>
        <v>85469.6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21">N60+O21</f>
        <v>#REF!</v>
      </c>
      <c r="P60" s="163" t="e">
        <f t="shared" si="21"/>
        <v>#REF!</v>
      </c>
      <c r="Q60" s="163" t="e">
        <f t="shared" si="21"/>
        <v>#REF!</v>
      </c>
      <c r="R60" s="163" t="e">
        <f t="shared" si="21"/>
        <v>#REF!</v>
      </c>
      <c r="S60" s="163" t="e">
        <f>R60+#REF!</f>
        <v>#REF!</v>
      </c>
      <c r="T60" s="163" t="e">
        <f t="shared" ref="T60:V66" si="22">S60+T21</f>
        <v>#REF!</v>
      </c>
      <c r="U60" s="163" t="e">
        <f t="shared" si="22"/>
        <v>#REF!</v>
      </c>
      <c r="V60" s="163" t="e">
        <f t="shared" si="22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</row>
    <row r="61" spans="2:39" x14ac:dyDescent="0.3">
      <c r="B61" s="754"/>
      <c r="C61" s="18" t="s">
        <v>27</v>
      </c>
      <c r="D61" s="163">
        <f>D22+Agosto23!AF58</f>
        <v>61561.9</v>
      </c>
      <c r="E61" s="164">
        <f t="shared" si="19"/>
        <v>61988.4</v>
      </c>
      <c r="F61" s="164">
        <f t="shared" si="19"/>
        <v>62476.130000000005</v>
      </c>
      <c r="G61" s="165">
        <v>63058</v>
      </c>
      <c r="H61" s="166">
        <v>63281</v>
      </c>
      <c r="I61" s="163">
        <f t="shared" si="20"/>
        <v>63769</v>
      </c>
      <c r="J61" s="163">
        <f t="shared" si="20"/>
        <v>64129.69</v>
      </c>
      <c r="K61" s="163">
        <f t="shared" si="20"/>
        <v>64479.69</v>
      </c>
      <c r="L61" s="163">
        <f t="shared" si="20"/>
        <v>64679.69</v>
      </c>
      <c r="M61" s="163">
        <f t="shared" si="21"/>
        <v>64899.69</v>
      </c>
      <c r="N61" s="163">
        <f t="shared" si="21"/>
        <v>65000.69</v>
      </c>
      <c r="O61" s="163">
        <f t="shared" si="21"/>
        <v>65510.69</v>
      </c>
      <c r="P61" s="163">
        <f t="shared" si="21"/>
        <v>65790.69</v>
      </c>
      <c r="Q61" s="163">
        <f t="shared" si="21"/>
        <v>66130.69</v>
      </c>
      <c r="R61" s="163">
        <f t="shared" si="21"/>
        <v>66740.19</v>
      </c>
      <c r="S61" s="163">
        <f t="shared" si="21"/>
        <v>67311.19</v>
      </c>
      <c r="T61" s="163">
        <f t="shared" si="22"/>
        <v>67825.290000000008</v>
      </c>
      <c r="U61" s="163">
        <f t="shared" si="22"/>
        <v>68471.890000000014</v>
      </c>
      <c r="V61" s="163">
        <f t="shared" si="22"/>
        <v>69062.290000000008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</row>
    <row r="62" spans="2:39" x14ac:dyDescent="0.3">
      <c r="B62" s="754"/>
      <c r="C62" s="18" t="s">
        <v>28</v>
      </c>
      <c r="D62" s="163">
        <f>D23+Agosto23!AF59</f>
        <v>87799.07</v>
      </c>
      <c r="E62" s="164">
        <f t="shared" si="19"/>
        <v>88288.27</v>
      </c>
      <c r="F62" s="164">
        <f t="shared" si="19"/>
        <v>88838.27</v>
      </c>
      <c r="G62" s="165">
        <v>87693.64</v>
      </c>
      <c r="H62" s="166">
        <v>87903.16</v>
      </c>
      <c r="I62" s="163">
        <f t="shared" si="20"/>
        <v>88471.96</v>
      </c>
      <c r="J62" s="163">
        <f t="shared" si="20"/>
        <v>89047.86</v>
      </c>
      <c r="K62" s="163">
        <f>J62+K23</f>
        <v>89441.76</v>
      </c>
      <c r="L62" s="163">
        <f t="shared" si="20"/>
        <v>89701.06</v>
      </c>
      <c r="M62" s="163">
        <f t="shared" si="21"/>
        <v>89982.76</v>
      </c>
      <c r="N62" s="163">
        <f t="shared" si="21"/>
        <v>90119.06</v>
      </c>
      <c r="O62" s="163">
        <f>N62+O20</f>
        <v>90639.76</v>
      </c>
      <c r="P62" s="163">
        <f t="shared" si="21"/>
        <v>91029.759999999995</v>
      </c>
      <c r="Q62" s="163">
        <f t="shared" si="21"/>
        <v>91482.26</v>
      </c>
      <c r="R62" s="163">
        <f t="shared" si="21"/>
        <v>92036.86</v>
      </c>
      <c r="S62" s="163">
        <f t="shared" si="21"/>
        <v>92541.36</v>
      </c>
      <c r="T62" s="163">
        <f t="shared" si="22"/>
        <v>92975.16</v>
      </c>
      <c r="U62" s="163">
        <f t="shared" si="22"/>
        <v>93557.96</v>
      </c>
      <c r="V62" s="163">
        <f t="shared" si="22"/>
        <v>94091.66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</row>
    <row r="63" spans="2:39" x14ac:dyDescent="0.3">
      <c r="B63" s="754"/>
      <c r="C63" s="18" t="s">
        <v>29</v>
      </c>
      <c r="D63" s="163">
        <f>D24+Agosto23!AF60</f>
        <v>129998.9</v>
      </c>
      <c r="E63" s="164">
        <f t="shared" si="19"/>
        <v>131378.9</v>
      </c>
      <c r="F63" s="164">
        <f t="shared" si="19"/>
        <v>132948.9</v>
      </c>
      <c r="G63" s="165">
        <v>130195</v>
      </c>
      <c r="H63" s="166">
        <v>130451</v>
      </c>
      <c r="I63" s="163">
        <f t="shared" si="20"/>
        <v>131761</v>
      </c>
      <c r="J63" s="163">
        <f t="shared" si="20"/>
        <v>132911</v>
      </c>
      <c r="K63" s="163">
        <f>J63+K24</f>
        <v>134171</v>
      </c>
      <c r="L63" s="163">
        <f t="shared" si="20"/>
        <v>135171</v>
      </c>
      <c r="M63" s="163">
        <f t="shared" si="21"/>
        <v>136265.5</v>
      </c>
      <c r="N63" s="163">
        <f t="shared" si="21"/>
        <v>136792.5</v>
      </c>
      <c r="O63" s="163">
        <f t="shared" si="21"/>
        <v>138707</v>
      </c>
      <c r="P63" s="163">
        <f t="shared" si="21"/>
        <v>140217</v>
      </c>
      <c r="Q63" s="163">
        <f t="shared" si="21"/>
        <v>141927</v>
      </c>
      <c r="R63" s="163">
        <f t="shared" si="21"/>
        <v>143877</v>
      </c>
      <c r="S63" s="163">
        <f t="shared" si="21"/>
        <v>145737</v>
      </c>
      <c r="T63" s="163">
        <f t="shared" si="22"/>
        <v>147373.70000000001</v>
      </c>
      <c r="U63" s="163">
        <f t="shared" si="22"/>
        <v>149393.70000000001</v>
      </c>
      <c r="V63" s="163">
        <f t="shared" si="22"/>
        <v>151384.20000000001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</row>
    <row r="64" spans="2:39" x14ac:dyDescent="0.3">
      <c r="B64" s="754"/>
      <c r="C64" s="18" t="s">
        <v>30</v>
      </c>
      <c r="D64" s="163">
        <f>D25+Agosto23!AF61</f>
        <v>14550.4</v>
      </c>
      <c r="E64" s="164">
        <f t="shared" si="19"/>
        <v>15057.699999999999</v>
      </c>
      <c r="F64" s="164">
        <f t="shared" si="19"/>
        <v>15629.599999999999</v>
      </c>
      <c r="G64" s="165">
        <v>18667</v>
      </c>
      <c r="H64" s="166">
        <v>19364</v>
      </c>
      <c r="I64" s="163">
        <f t="shared" si="20"/>
        <v>19899.2</v>
      </c>
      <c r="J64" s="163">
        <f t="shared" si="20"/>
        <v>20446.8</v>
      </c>
      <c r="K64" s="163">
        <f t="shared" si="20"/>
        <v>20770.5</v>
      </c>
      <c r="L64" s="163">
        <f t="shared" si="20"/>
        <v>21092.799999999999</v>
      </c>
      <c r="M64" s="163">
        <f t="shared" si="21"/>
        <v>21305.8</v>
      </c>
      <c r="N64" s="163">
        <f t="shared" si="21"/>
        <v>21520.799999999999</v>
      </c>
      <c r="O64" s="163">
        <f t="shared" si="21"/>
        <v>21805</v>
      </c>
      <c r="P64" s="163">
        <f t="shared" si="21"/>
        <v>22136.9</v>
      </c>
      <c r="Q64" s="163">
        <f t="shared" si="21"/>
        <v>22709.800000000003</v>
      </c>
      <c r="R64" s="163">
        <f t="shared" si="21"/>
        <v>23272.200000000004</v>
      </c>
      <c r="S64" s="163">
        <f t="shared" si="21"/>
        <v>23867.800000000003</v>
      </c>
      <c r="T64" s="163">
        <f t="shared" si="22"/>
        <v>24439.9</v>
      </c>
      <c r="U64" s="163">
        <f t="shared" si="22"/>
        <v>24903.600000000002</v>
      </c>
      <c r="V64" s="163">
        <f t="shared" si="22"/>
        <v>25464.7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</row>
    <row r="65" spans="2:39" x14ac:dyDescent="0.3">
      <c r="B65" s="754"/>
      <c r="C65" s="18" t="s">
        <v>111</v>
      </c>
      <c r="D65" s="163">
        <f>D26+Agosto23!AF62</f>
        <v>45285.5</v>
      </c>
      <c r="E65" s="164">
        <f t="shared" si="19"/>
        <v>45772.3</v>
      </c>
      <c r="F65" s="164">
        <f t="shared" si="19"/>
        <v>46299.600000000006</v>
      </c>
      <c r="G65" s="165">
        <v>46772</v>
      </c>
      <c r="H65" s="166">
        <v>47086</v>
      </c>
      <c r="I65" s="163">
        <f t="shared" si="20"/>
        <v>47652.6</v>
      </c>
      <c r="J65" s="163">
        <f t="shared" si="20"/>
        <v>48214.2</v>
      </c>
      <c r="K65" s="163">
        <f t="shared" si="20"/>
        <v>48522.6</v>
      </c>
      <c r="L65" s="163">
        <f t="shared" si="20"/>
        <v>48885.9</v>
      </c>
      <c r="M65" s="163">
        <f t="shared" si="21"/>
        <v>49185.5</v>
      </c>
      <c r="N65" s="163">
        <f t="shared" si="21"/>
        <v>49359.6</v>
      </c>
      <c r="O65" s="163">
        <f t="shared" si="21"/>
        <v>49831</v>
      </c>
      <c r="P65" s="163">
        <f t="shared" si="21"/>
        <v>50203.3</v>
      </c>
      <c r="Q65" s="163">
        <f t="shared" si="21"/>
        <v>50725.4</v>
      </c>
      <c r="R65" s="163">
        <f t="shared" si="21"/>
        <v>51288.6</v>
      </c>
      <c r="S65" s="163">
        <f t="shared" si="21"/>
        <v>51667.199999999997</v>
      </c>
      <c r="T65" s="163">
        <f t="shared" si="22"/>
        <v>52165.899999999994</v>
      </c>
      <c r="U65" s="163">
        <f t="shared" si="22"/>
        <v>52672.499999999993</v>
      </c>
      <c r="V65" s="163">
        <f t="shared" si="22"/>
        <v>53139.399999999994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</row>
    <row r="66" spans="2:39" ht="15" thickBot="1" x14ac:dyDescent="0.35">
      <c r="B66" s="754"/>
      <c r="C66" s="18" t="s">
        <v>32</v>
      </c>
      <c r="D66" s="163">
        <f>D27+Agosto23!AF63</f>
        <v>9681.1</v>
      </c>
      <c r="E66" s="164">
        <f t="shared" si="19"/>
        <v>9996.9</v>
      </c>
      <c r="F66" s="164">
        <f t="shared" si="19"/>
        <v>10566.9</v>
      </c>
      <c r="G66" s="165">
        <v>10779</v>
      </c>
      <c r="H66" s="166">
        <v>10940</v>
      </c>
      <c r="I66" s="163">
        <f t="shared" si="20"/>
        <v>11494.2</v>
      </c>
      <c r="J66" s="163">
        <f t="shared" si="20"/>
        <v>12080.300000000001</v>
      </c>
      <c r="K66" s="163">
        <f t="shared" si="20"/>
        <v>12339.7</v>
      </c>
      <c r="L66" s="163">
        <f t="shared" si="20"/>
        <v>12506.400000000001</v>
      </c>
      <c r="M66" s="163">
        <f t="shared" si="21"/>
        <v>12798.400000000001</v>
      </c>
      <c r="N66" s="163">
        <f t="shared" si="21"/>
        <v>13009.900000000001</v>
      </c>
      <c r="O66" s="163">
        <f t="shared" si="21"/>
        <v>13370.2</v>
      </c>
      <c r="P66" s="163">
        <f t="shared" si="21"/>
        <v>13762</v>
      </c>
      <c r="Q66" s="163">
        <f t="shared" si="21"/>
        <v>14330.2</v>
      </c>
      <c r="R66" s="163">
        <f t="shared" si="21"/>
        <v>14928.5</v>
      </c>
      <c r="S66" s="163">
        <f t="shared" si="21"/>
        <v>15513.8</v>
      </c>
      <c r="T66" s="163">
        <f t="shared" si="22"/>
        <v>16084.099999999999</v>
      </c>
      <c r="U66" s="163">
        <f t="shared" si="22"/>
        <v>16606.899999999998</v>
      </c>
      <c r="V66" s="163">
        <f t="shared" si="22"/>
        <v>17026.499999999996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</row>
    <row r="67" spans="2:39" x14ac:dyDescent="0.3">
      <c r="B67" s="754"/>
      <c r="C67" s="18" t="s">
        <v>112</v>
      </c>
      <c r="D67" s="163">
        <f>D29+Agosto23!AF64</f>
        <v>19124.3</v>
      </c>
      <c r="E67" s="164">
        <f>D67+E29</f>
        <v>19424.899999999998</v>
      </c>
      <c r="F67" s="164">
        <f>E67+F29</f>
        <v>19976.099999999999</v>
      </c>
      <c r="G67" s="165">
        <v>20520.400000000001</v>
      </c>
      <c r="H67" s="166">
        <v>20739</v>
      </c>
      <c r="I67" s="163">
        <f t="shared" ref="I67:V67" si="23">H67+I29</f>
        <v>21234</v>
      </c>
      <c r="J67" s="163">
        <f t="shared" si="23"/>
        <v>21822.5</v>
      </c>
      <c r="K67" s="163">
        <f t="shared" si="23"/>
        <v>22087.200000000001</v>
      </c>
      <c r="L67" s="163">
        <f t="shared" si="23"/>
        <v>22254.5</v>
      </c>
      <c r="M67" s="163">
        <f t="shared" si="23"/>
        <v>22545.200000000001</v>
      </c>
      <c r="N67" s="163">
        <f t="shared" si="23"/>
        <v>22759</v>
      </c>
      <c r="O67" s="163">
        <f t="shared" si="23"/>
        <v>23117.4</v>
      </c>
      <c r="P67" s="163">
        <f t="shared" si="23"/>
        <v>23482.600000000002</v>
      </c>
      <c r="Q67" s="163">
        <f t="shared" si="23"/>
        <v>24053.000000000004</v>
      </c>
      <c r="R67" s="163">
        <f t="shared" si="23"/>
        <v>24654.300000000003</v>
      </c>
      <c r="S67" s="163">
        <f t="shared" si="23"/>
        <v>25243.500000000004</v>
      </c>
      <c r="T67" s="163">
        <f t="shared" si="23"/>
        <v>25573.200000000004</v>
      </c>
      <c r="U67" s="163">
        <f t="shared" si="23"/>
        <v>25844.500000000004</v>
      </c>
      <c r="V67" s="163">
        <f t="shared" si="23"/>
        <v>26257.200000000004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9" x14ac:dyDescent="0.3">
      <c r="B68" s="756" t="s">
        <v>196</v>
      </c>
      <c r="C68" s="756"/>
      <c r="D68" s="756"/>
      <c r="E68" s="756"/>
    </row>
    <row r="69" spans="2:39" x14ac:dyDescent="0.3">
      <c r="B69" s="757" t="s">
        <v>132</v>
      </c>
      <c r="C69" s="757"/>
      <c r="D69" s="757"/>
      <c r="E69" s="757"/>
    </row>
  </sheetData>
  <mergeCells count="14">
    <mergeCell ref="B68:E68"/>
    <mergeCell ref="B69:E69"/>
    <mergeCell ref="AE34:AG34"/>
    <mergeCell ref="AE35:AG35"/>
    <mergeCell ref="AE36:AG36"/>
    <mergeCell ref="B44:B51"/>
    <mergeCell ref="B52:B55"/>
    <mergeCell ref="B56:B67"/>
    <mergeCell ref="B32:C32"/>
    <mergeCell ref="B4:C4"/>
    <mergeCell ref="B5:B12"/>
    <mergeCell ref="B13:B16"/>
    <mergeCell ref="B17:B29"/>
    <mergeCell ref="B30:B31"/>
  </mergeCells>
  <conditionalFormatting sqref="AL5:BO31">
    <cfRule type="cellIs" dxfId="150" priority="2" operator="equal">
      <formula>"VAZIO"</formula>
    </cfRule>
  </conditionalFormatting>
  <conditionalFormatting sqref="AL5:BP31">
    <cfRule type="expression" dxfId="149" priority="6">
      <formula>AL5&gt;$BQ5</formula>
    </cfRule>
    <cfRule type="expression" dxfId="148" priority="7">
      <formula>AL5&lt;($BQ5-0.01)</formula>
    </cfRule>
  </conditionalFormatting>
  <conditionalFormatting sqref="AM8:BO8 BJ9 AM16:BO16 AM24:BO25">
    <cfRule type="cellIs" dxfId="147" priority="3" operator="equal">
      <formula>"""VAZIO"""</formula>
    </cfRule>
  </conditionalFormatting>
  <conditionalFormatting sqref="AP5:BO31">
    <cfRule type="expression" dxfId="146" priority="1">
      <formula>AP5=0</formula>
    </cfRule>
  </conditionalFormatting>
  <conditionalFormatting sqref="BT5:BT31">
    <cfRule type="cellIs" dxfId="145" priority="4" operator="greaterThan">
      <formula>0</formula>
    </cfRule>
    <cfRule type="cellIs" dxfId="144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87F8D-B9BA-4273-A0CC-7711BFCA2733}">
  <dimension ref="B3:BX69"/>
  <sheetViews>
    <sheetView zoomScaleNormal="100" workbookViewId="0">
      <pane xSplit="3" ySplit="4" topLeftCell="D28" activePane="bottomRight" state="frozen"/>
      <selection pane="topRight" activeCell="D1" sqref="D1"/>
      <selection pane="bottomLeft" activeCell="A5" sqref="A5"/>
      <selection pane="bottomRight" activeCell="C5" sqref="C5:C30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23" width="16.44140625" customWidth="1"/>
    <col min="24" max="24" width="17.109375" customWidth="1"/>
    <col min="25" max="25" width="17.5546875" customWidth="1"/>
    <col min="26" max="26" width="16.44140625" customWidth="1"/>
    <col min="27" max="27" width="18.109375" customWidth="1"/>
    <col min="28" max="28" width="17.33203125" customWidth="1"/>
    <col min="29" max="29" width="18.88671875" customWidth="1"/>
    <col min="30" max="31" width="18.33203125" customWidth="1"/>
    <col min="32" max="32" width="17.6640625" customWidth="1"/>
    <col min="33" max="34" width="17.8867187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hidden="1" customWidth="1"/>
    <col min="70" max="71" width="9.109375" hidden="1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323</v>
      </c>
      <c r="E4" s="344" t="s">
        <v>324</v>
      </c>
      <c r="F4" s="344" t="s">
        <v>325</v>
      </c>
      <c r="G4" s="344" t="s">
        <v>326</v>
      </c>
      <c r="H4" s="344" t="s">
        <v>327</v>
      </c>
      <c r="I4" s="344" t="s">
        <v>328</v>
      </c>
      <c r="J4" s="344" t="s">
        <v>329</v>
      </c>
      <c r="K4" s="344" t="s">
        <v>330</v>
      </c>
      <c r="L4" s="344" t="s">
        <v>331</v>
      </c>
      <c r="M4" s="344" t="s">
        <v>332</v>
      </c>
      <c r="N4" s="344" t="s">
        <v>333</v>
      </c>
      <c r="O4" s="344" t="s">
        <v>334</v>
      </c>
      <c r="P4" s="344" t="s">
        <v>335</v>
      </c>
      <c r="Q4" s="344" t="s">
        <v>336</v>
      </c>
      <c r="R4" s="344" t="s">
        <v>337</v>
      </c>
      <c r="S4" s="344" t="s">
        <v>338</v>
      </c>
      <c r="T4" s="344" t="s">
        <v>339</v>
      </c>
      <c r="U4" s="344" t="s">
        <v>340</v>
      </c>
      <c r="V4" s="344" t="s">
        <v>341</v>
      </c>
      <c r="W4" s="344" t="s">
        <v>342</v>
      </c>
      <c r="X4" s="344" t="s">
        <v>343</v>
      </c>
      <c r="Y4" s="344" t="s">
        <v>344</v>
      </c>
      <c r="Z4" s="344" t="s">
        <v>345</v>
      </c>
      <c r="AA4" s="344" t="s">
        <v>346</v>
      </c>
      <c r="AB4" s="344" t="s">
        <v>347</v>
      </c>
      <c r="AC4" s="344" t="s">
        <v>348</v>
      </c>
      <c r="AD4" s="344" t="s">
        <v>349</v>
      </c>
      <c r="AE4" s="344" t="s">
        <v>350</v>
      </c>
      <c r="AF4" s="344" t="s">
        <v>351</v>
      </c>
      <c r="AG4" s="345" t="s">
        <v>352</v>
      </c>
      <c r="AH4" s="345" t="s">
        <v>353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16.899999999999999</v>
      </c>
      <c r="E5" s="103">
        <v>29.5</v>
      </c>
      <c r="F5" s="103">
        <v>23</v>
      </c>
      <c r="G5" s="103">
        <v>20.3</v>
      </c>
      <c r="H5" s="103">
        <v>59.1</v>
      </c>
      <c r="I5" s="331">
        <v>60.2</v>
      </c>
      <c r="J5" s="103">
        <v>47.6</v>
      </c>
      <c r="K5" s="103">
        <v>56.3</v>
      </c>
      <c r="L5" s="103">
        <v>52.5</v>
      </c>
      <c r="M5" s="103">
        <v>55.8</v>
      </c>
      <c r="N5" s="283">
        <v>49.8</v>
      </c>
      <c r="O5" s="103">
        <v>41.6</v>
      </c>
      <c r="P5" s="103">
        <v>30.7</v>
      </c>
      <c r="Q5" s="331">
        <v>26.6</v>
      </c>
      <c r="R5" s="103">
        <v>35.1</v>
      </c>
      <c r="S5" s="103">
        <v>61.2</v>
      </c>
      <c r="T5" s="103">
        <v>52.1</v>
      </c>
      <c r="U5" s="103">
        <v>59</v>
      </c>
      <c r="V5" s="103">
        <v>29.5</v>
      </c>
      <c r="W5" s="331">
        <v>43.3</v>
      </c>
      <c r="X5" s="103">
        <v>43.3</v>
      </c>
      <c r="Y5" s="103">
        <v>59.1</v>
      </c>
      <c r="Z5" s="385">
        <v>27.7</v>
      </c>
      <c r="AA5" s="332">
        <v>25.2</v>
      </c>
      <c r="AB5" s="333">
        <v>48.1</v>
      </c>
      <c r="AC5" s="104">
        <v>60.7</v>
      </c>
      <c r="AD5" s="104">
        <v>40.4</v>
      </c>
      <c r="AE5" s="104">
        <v>41.6</v>
      </c>
      <c r="AF5" s="104">
        <v>58.3</v>
      </c>
      <c r="AG5" s="104">
        <v>45.3</v>
      </c>
      <c r="AH5" s="334">
        <v>39.4</v>
      </c>
      <c r="AI5" s="335">
        <f>SUM(D5:AH5)</f>
        <v>1339.2000000000003</v>
      </c>
      <c r="AJ5" s="160">
        <v>12</v>
      </c>
      <c r="AK5" s="336">
        <f t="shared" ref="AK5:AK11" si="0">F5/(AJ5*432)</f>
        <v>4.4367283950617281E-3</v>
      </c>
      <c r="AL5" s="337">
        <f t="shared" ref="AL5:BA20" si="1">IF(OR(D5="",D5="Sem monitoramento"),"VAZIO",IFERROR(D5/($AJ5*24),"-"))</f>
        <v>5.8680555555555548E-2</v>
      </c>
      <c r="AM5" s="338">
        <f t="shared" si="1"/>
        <v>0.10243055555555555</v>
      </c>
      <c r="AN5" s="338">
        <f t="shared" si="1"/>
        <v>7.9861111111111105E-2</v>
      </c>
      <c r="AO5" s="338">
        <f t="shared" si="1"/>
        <v>7.048611111111111E-2</v>
      </c>
      <c r="AP5" s="338">
        <f t="shared" si="1"/>
        <v>0.20520833333333333</v>
      </c>
      <c r="AQ5" s="338">
        <f t="shared" si="1"/>
        <v>0.20902777777777778</v>
      </c>
      <c r="AR5" s="338">
        <f t="shared" si="1"/>
        <v>0.16527777777777777</v>
      </c>
      <c r="AS5" s="338">
        <f t="shared" si="1"/>
        <v>0.19548611111111111</v>
      </c>
      <c r="AT5" s="338">
        <f t="shared" si="1"/>
        <v>0.18229166666666666</v>
      </c>
      <c r="AU5" s="338">
        <f t="shared" si="1"/>
        <v>0.19374999999999998</v>
      </c>
      <c r="AV5" s="338">
        <f t="shared" si="1"/>
        <v>0.17291666666666666</v>
      </c>
      <c r="AW5" s="338">
        <f t="shared" si="1"/>
        <v>0.14444444444444446</v>
      </c>
      <c r="AX5" s="338">
        <f t="shared" si="1"/>
        <v>0.10659722222222222</v>
      </c>
      <c r="AY5" s="338">
        <f t="shared" si="1"/>
        <v>9.2361111111111116E-2</v>
      </c>
      <c r="AZ5" s="338">
        <f t="shared" si="1"/>
        <v>0.12187500000000001</v>
      </c>
      <c r="BA5" s="338">
        <f t="shared" si="1"/>
        <v>0.21250000000000002</v>
      </c>
      <c r="BB5" s="338">
        <f t="shared" ref="BB5:BO20" si="2">IF(OR(T5="",T5="Sem monitoramento"),"VAZIO",IFERROR(T5/($AJ5*24),"-"))</f>
        <v>0.18090277777777777</v>
      </c>
      <c r="BC5" s="338">
        <f t="shared" si="2"/>
        <v>0.2048611111111111</v>
      </c>
      <c r="BD5" s="338">
        <f t="shared" si="2"/>
        <v>0.10243055555555555</v>
      </c>
      <c r="BE5" s="338">
        <f t="shared" si="2"/>
        <v>0.15034722222222222</v>
      </c>
      <c r="BF5" s="338">
        <f t="shared" si="2"/>
        <v>0.15034722222222222</v>
      </c>
      <c r="BG5" s="338">
        <f t="shared" si="2"/>
        <v>0.20520833333333333</v>
      </c>
      <c r="BH5" s="338">
        <f t="shared" si="2"/>
        <v>9.6180555555555547E-2</v>
      </c>
      <c r="BI5" s="338">
        <f t="shared" si="2"/>
        <v>8.7499999999999994E-2</v>
      </c>
      <c r="BJ5" s="338">
        <f t="shared" si="2"/>
        <v>0.16701388888888891</v>
      </c>
      <c r="BK5" s="338" t="e">
        <f>IF(OR(#REF!="",#REF!="Sem monitoramento"),"VAZIO",IFERROR(#REF!/($AJ5*24),"-"))</f>
        <v>#REF!</v>
      </c>
      <c r="BL5" s="338">
        <f t="shared" si="2"/>
        <v>0.14027777777777778</v>
      </c>
      <c r="BM5" s="338">
        <f t="shared" si="2"/>
        <v>0.14444444444444446</v>
      </c>
      <c r="BN5" s="338">
        <f t="shared" si="2"/>
        <v>0.20243055555555556</v>
      </c>
      <c r="BO5" s="338">
        <f t="shared" si="2"/>
        <v>0.15729166666666666</v>
      </c>
      <c r="BP5" s="339">
        <f t="shared" ref="BP5:BP31" si="3">AI5/(AJ5*(COUNTA(D5:AG5)*24))</f>
        <v>0.15500000000000003</v>
      </c>
      <c r="BQ5" s="180">
        <f>'FCs estimados em PVsyst'!Y3</f>
        <v>0.1804398148148148</v>
      </c>
      <c r="BR5" s="340">
        <f t="shared" ref="BR5:BR11" si="4">AJ5*BQ5</f>
        <v>2.1652777777777779</v>
      </c>
      <c r="BS5" s="341">
        <f t="shared" ref="BS5:BS11" si="5">AN5-BQ5</f>
        <v>-0.1005787037037037</v>
      </c>
      <c r="BT5" s="342">
        <f t="shared" ref="BT5:BT29" si="6">BP5-BQ5</f>
        <v>-2.5439814814814776E-2</v>
      </c>
      <c r="BU5" s="15" t="s">
        <v>7</v>
      </c>
      <c r="BV5" s="75" t="s">
        <v>107</v>
      </c>
      <c r="BW5" s="7">
        <f>COUNTIF(BT5:BT29,"&gt;0")</f>
        <v>10</v>
      </c>
      <c r="BX5" s="2"/>
    </row>
    <row r="6" spans="2:76" x14ac:dyDescent="0.3">
      <c r="B6" s="771"/>
      <c r="C6" s="325" t="s">
        <v>8</v>
      </c>
      <c r="D6" s="62">
        <f>17.7+78.6</f>
        <v>96.3</v>
      </c>
      <c r="E6" s="63">
        <f>28.4+124</f>
        <v>152.4</v>
      </c>
      <c r="F6" s="63">
        <f>25.2+111.1</f>
        <v>136.29999999999998</v>
      </c>
      <c r="G6" s="63">
        <f>21.4+94.7</f>
        <v>116.1</v>
      </c>
      <c r="H6" s="63">
        <f>238.2+57.8</f>
        <v>296</v>
      </c>
      <c r="I6" s="283">
        <f>54.5+237.7</f>
        <v>292.2</v>
      </c>
      <c r="J6" s="63">
        <f>48.2+211.1</f>
        <v>259.3</v>
      </c>
      <c r="K6" s="63">
        <f>58.1+204.3</f>
        <v>262.40000000000003</v>
      </c>
      <c r="L6" s="63">
        <v>0</v>
      </c>
      <c r="M6" s="63">
        <v>24.2</v>
      </c>
      <c r="N6" s="283">
        <v>57.9</v>
      </c>
      <c r="O6" s="63">
        <v>5.6</v>
      </c>
      <c r="P6" s="63">
        <f>33.5+12.2</f>
        <v>45.7</v>
      </c>
      <c r="Q6" s="283">
        <f>27.9+117.93</f>
        <v>145.83000000000001</v>
      </c>
      <c r="R6" s="63">
        <f>38.4+167.5</f>
        <v>205.9</v>
      </c>
      <c r="S6" s="63">
        <f>63.6+277.49</f>
        <v>341.09000000000003</v>
      </c>
      <c r="T6" s="63">
        <f>61.7+267.79</f>
        <v>329.49</v>
      </c>
      <c r="U6" s="63">
        <f>67.7+286.1</f>
        <v>353.8</v>
      </c>
      <c r="V6" s="63">
        <f>34.4+140</f>
        <v>174.4</v>
      </c>
      <c r="W6" s="283">
        <f>47.5+200.4</f>
        <v>247.9</v>
      </c>
      <c r="X6" s="63">
        <f>44.8+184.29</f>
        <v>229.08999999999997</v>
      </c>
      <c r="Y6" s="63">
        <f>270.9+64.4</f>
        <v>335.29999999999995</v>
      </c>
      <c r="Z6" s="207">
        <f>32.2+132</f>
        <v>164.2</v>
      </c>
      <c r="AA6" s="18">
        <f>18.1+109.15</f>
        <v>127.25</v>
      </c>
      <c r="AB6" s="20">
        <f>35+186</f>
        <v>221</v>
      </c>
      <c r="AC6" s="31">
        <f>61.5+255.1</f>
        <v>316.60000000000002</v>
      </c>
      <c r="AD6" s="15">
        <f>179.2+43.9</f>
        <v>223.1</v>
      </c>
      <c r="AE6" s="15">
        <f>45.5+185.5</f>
        <v>231</v>
      </c>
      <c r="AF6" s="15">
        <f>64.1+265.8</f>
        <v>329.9</v>
      </c>
      <c r="AG6" s="15">
        <f>49.5+202.4</f>
        <v>251.9</v>
      </c>
      <c r="AH6" s="64">
        <f>186.45+45.2</f>
        <v>231.64999999999998</v>
      </c>
      <c r="AI6" s="290">
        <f>SUM(D6:AH6)</f>
        <v>6203.8</v>
      </c>
      <c r="AJ6" s="118">
        <v>67</v>
      </c>
      <c r="AK6" s="121">
        <f t="shared" si="0"/>
        <v>4.7090934217799887E-3</v>
      </c>
      <c r="AL6" s="67">
        <f t="shared" si="1"/>
        <v>5.9888059701492538E-2</v>
      </c>
      <c r="AM6" s="68">
        <f t="shared" si="1"/>
        <v>9.4776119402985082E-2</v>
      </c>
      <c r="AN6" s="68">
        <f t="shared" si="1"/>
        <v>8.4763681592039786E-2</v>
      </c>
      <c r="AO6" s="68">
        <f t="shared" si="1"/>
        <v>7.2201492537313436E-2</v>
      </c>
      <c r="AP6" s="68">
        <f t="shared" si="1"/>
        <v>0.18407960199004975</v>
      </c>
      <c r="AQ6" s="68">
        <f t="shared" si="1"/>
        <v>0.18171641791044776</v>
      </c>
      <c r="AR6" s="68">
        <f t="shared" si="1"/>
        <v>0.16125621890547265</v>
      </c>
      <c r="AS6" s="68">
        <f t="shared" si="1"/>
        <v>0.16318407960199008</v>
      </c>
      <c r="AT6" s="68">
        <f t="shared" si="1"/>
        <v>0</v>
      </c>
      <c r="AU6" s="68">
        <f t="shared" si="1"/>
        <v>1.5049751243781094E-2</v>
      </c>
      <c r="AV6" s="68">
        <f t="shared" si="1"/>
        <v>3.6007462686567161E-2</v>
      </c>
      <c r="AW6" s="68">
        <f t="shared" si="1"/>
        <v>3.4825870646766166E-3</v>
      </c>
      <c r="AX6" s="68">
        <f t="shared" si="1"/>
        <v>2.8420398009950252E-2</v>
      </c>
      <c r="AY6" s="68">
        <f t="shared" si="1"/>
        <v>9.0690298507462699E-2</v>
      </c>
      <c r="AZ6" s="68">
        <f t="shared" si="1"/>
        <v>0.12804726368159206</v>
      </c>
      <c r="BA6" s="68">
        <f t="shared" si="1"/>
        <v>0.21212064676616918</v>
      </c>
      <c r="BB6" s="68">
        <f t="shared" si="2"/>
        <v>0.20490671641791044</v>
      </c>
      <c r="BC6" s="68">
        <f t="shared" si="2"/>
        <v>0.22002487562189055</v>
      </c>
      <c r="BD6" s="68">
        <f t="shared" si="2"/>
        <v>0.10845771144278607</v>
      </c>
      <c r="BE6" s="68">
        <f t="shared" si="2"/>
        <v>0.15416666666666667</v>
      </c>
      <c r="BF6" s="68">
        <f t="shared" si="2"/>
        <v>0.1424689054726368</v>
      </c>
      <c r="BG6" s="68">
        <f t="shared" si="2"/>
        <v>0.2085199004975124</v>
      </c>
      <c r="BH6" s="68">
        <f t="shared" si="2"/>
        <v>0.10211442786069651</v>
      </c>
      <c r="BI6" s="68">
        <f t="shared" si="2"/>
        <v>7.9135572139303487E-2</v>
      </c>
      <c r="BJ6" s="68">
        <f t="shared" si="2"/>
        <v>0.13743781094527363</v>
      </c>
      <c r="BK6" s="68">
        <f>IF(OR(AC5="",AC5="Sem monitoramento"),"VAZIO",IFERROR(AC5/($AJ6*24),"-"))</f>
        <v>3.7748756218905472E-2</v>
      </c>
      <c r="BL6" s="68">
        <f t="shared" si="2"/>
        <v>0.13874378109452737</v>
      </c>
      <c r="BM6" s="68">
        <f t="shared" si="2"/>
        <v>0.14365671641791045</v>
      </c>
      <c r="BN6" s="68">
        <f t="shared" si="2"/>
        <v>0.20516169154228855</v>
      </c>
      <c r="BO6" s="68">
        <f t="shared" si="2"/>
        <v>0.15665422885572139</v>
      </c>
      <c r="BP6" s="70">
        <f t="shared" si="3"/>
        <v>0.12860281923714759</v>
      </c>
      <c r="BQ6" s="180">
        <f>'FCs estimados em PVsyst'!Y4</f>
        <v>0.1868988391376451</v>
      </c>
      <c r="BR6" s="72">
        <f t="shared" si="4"/>
        <v>12.522222222222222</v>
      </c>
      <c r="BS6" s="73">
        <f t="shared" si="5"/>
        <v>-0.10213515754560532</v>
      </c>
      <c r="BT6" s="74">
        <f t="shared" si="6"/>
        <v>-5.8296019900497514E-2</v>
      </c>
      <c r="BU6" s="15" t="s">
        <v>8</v>
      </c>
      <c r="BV6" s="77" t="s">
        <v>108</v>
      </c>
      <c r="BW6" s="78">
        <f>(COUNTA(BU5:BU29)-BW5-BW7)</f>
        <v>3</v>
      </c>
      <c r="BX6" s="2"/>
    </row>
    <row r="7" spans="2:76" x14ac:dyDescent="0.3">
      <c r="B7" s="771"/>
      <c r="C7" s="326" t="s">
        <v>9</v>
      </c>
      <c r="D7" s="62">
        <v>68.900000000000006</v>
      </c>
      <c r="E7" s="63">
        <v>123.8</v>
      </c>
      <c r="F7" s="63">
        <v>97.7</v>
      </c>
      <c r="G7" s="63">
        <v>86.6</v>
      </c>
      <c r="H7" s="63">
        <v>233</v>
      </c>
      <c r="I7" s="283">
        <v>242.3</v>
      </c>
      <c r="J7" s="63">
        <v>201.8</v>
      </c>
      <c r="K7" s="63">
        <v>225.4</v>
      </c>
      <c r="L7" s="283">
        <v>221.1</v>
      </c>
      <c r="M7" s="283">
        <v>229.6</v>
      </c>
      <c r="N7" s="283">
        <v>183.2</v>
      </c>
      <c r="O7" s="360">
        <v>160.4</v>
      </c>
      <c r="P7" s="283">
        <v>125.2</v>
      </c>
      <c r="Q7" s="283">
        <v>109.8</v>
      </c>
      <c r="R7" s="283">
        <v>148.69999999999999</v>
      </c>
      <c r="S7" s="283">
        <v>253.8</v>
      </c>
      <c r="T7" s="283">
        <v>199.2</v>
      </c>
      <c r="U7" s="63">
        <v>225.4</v>
      </c>
      <c r="V7" s="283">
        <v>126.3</v>
      </c>
      <c r="W7" s="283">
        <v>161.1</v>
      </c>
      <c r="X7" s="283">
        <v>183.3</v>
      </c>
      <c r="Y7" s="283">
        <v>252.2</v>
      </c>
      <c r="Z7" s="207">
        <v>123.6</v>
      </c>
      <c r="AA7" s="18">
        <v>113.2</v>
      </c>
      <c r="AB7" s="323">
        <v>207</v>
      </c>
      <c r="AC7" s="15">
        <v>254</v>
      </c>
      <c r="AD7" s="15">
        <v>174.8</v>
      </c>
      <c r="AE7" s="15">
        <v>181.9</v>
      </c>
      <c r="AF7" s="15">
        <v>243.6</v>
      </c>
      <c r="AG7" s="15">
        <v>198.5</v>
      </c>
      <c r="AH7" s="64">
        <v>169.4</v>
      </c>
      <c r="AI7" s="290">
        <f t="shared" ref="AI7:AI31" si="7">SUM(D7:AH7)</f>
        <v>5524.7999999999993</v>
      </c>
      <c r="AJ7" s="118">
        <v>49</v>
      </c>
      <c r="AK7" s="121">
        <f t="shared" si="0"/>
        <v>4.6154572940287231E-3</v>
      </c>
      <c r="AL7" s="67">
        <f t="shared" si="1"/>
        <v>5.8588435374149664E-2</v>
      </c>
      <c r="AM7" s="68">
        <f t="shared" si="1"/>
        <v>0.10527210884353741</v>
      </c>
      <c r="AN7" s="68">
        <f t="shared" si="1"/>
        <v>8.3078231292517013E-2</v>
      </c>
      <c r="AO7" s="68">
        <f t="shared" si="1"/>
        <v>7.3639455782312915E-2</v>
      </c>
      <c r="AP7" s="68">
        <f t="shared" si="1"/>
        <v>0.19812925170068027</v>
      </c>
      <c r="AQ7" s="68">
        <f t="shared" si="1"/>
        <v>0.2060374149659864</v>
      </c>
      <c r="AR7" s="68">
        <f t="shared" si="1"/>
        <v>0.17159863945578233</v>
      </c>
      <c r="AS7" s="68">
        <f t="shared" si="1"/>
        <v>0.19166666666666668</v>
      </c>
      <c r="AT7" s="68">
        <f t="shared" si="1"/>
        <v>0.18801020408163266</v>
      </c>
      <c r="AU7" s="68">
        <f t="shared" si="1"/>
        <v>0.19523809523809524</v>
      </c>
      <c r="AV7" s="68">
        <f t="shared" si="1"/>
        <v>0.15578231292517006</v>
      </c>
      <c r="AW7" s="68">
        <f t="shared" si="1"/>
        <v>0.13639455782312926</v>
      </c>
      <c r="AX7" s="68">
        <f t="shared" si="1"/>
        <v>0.10646258503401361</v>
      </c>
      <c r="AY7" s="68">
        <f t="shared" si="1"/>
        <v>9.3367346938775506E-2</v>
      </c>
      <c r="AZ7" s="68">
        <f t="shared" si="1"/>
        <v>0.12644557823129252</v>
      </c>
      <c r="BA7" s="68">
        <f t="shared" si="1"/>
        <v>0.21581632653061225</v>
      </c>
      <c r="BB7" s="68">
        <f t="shared" si="2"/>
        <v>0.16938775510204079</v>
      </c>
      <c r="BC7" s="68" t="e">
        <f>IF(OR(#REF!="",#REF!="Sem monitoramento"),"VAZIO",IFERROR(#REF!/($AJ7*24),"-"))</f>
        <v>#REF!</v>
      </c>
      <c r="BD7" s="68">
        <f t="shared" si="2"/>
        <v>0.10739795918367347</v>
      </c>
      <c r="BE7" s="68">
        <f t="shared" si="2"/>
        <v>0.13698979591836735</v>
      </c>
      <c r="BF7" s="68">
        <f t="shared" si="2"/>
        <v>0.15586734693877552</v>
      </c>
      <c r="BG7" s="68">
        <f t="shared" si="2"/>
        <v>0.21445578231292517</v>
      </c>
      <c r="BH7" s="68">
        <f t="shared" si="2"/>
        <v>0.10510204081632653</v>
      </c>
      <c r="BI7" s="68">
        <f t="shared" si="2"/>
        <v>9.6258503401360551E-2</v>
      </c>
      <c r="BJ7" s="68">
        <f t="shared" si="2"/>
        <v>0.17602040816326531</v>
      </c>
      <c r="BK7" s="68" t="e">
        <f>IF(OR(#REF!="",#REF!="Sem monitoramento"),"VAZIO",IFERROR(#REF!/($AJ7*24),"-"))</f>
        <v>#REF!</v>
      </c>
      <c r="BL7" s="68">
        <f t="shared" si="2"/>
        <v>0.14863945578231294</v>
      </c>
      <c r="BM7" s="68">
        <f t="shared" si="2"/>
        <v>0.15467687074829933</v>
      </c>
      <c r="BN7" s="68">
        <f t="shared" si="2"/>
        <v>0.20714285714285713</v>
      </c>
      <c r="BO7" s="68" t="e">
        <f>IF(OR(#REF!="",#REF!="Sem monitoramento"),"VAZIO",IFERROR(#REF!/($AJ7*24),"-"))</f>
        <v>#REF!</v>
      </c>
      <c r="BP7" s="70">
        <f>AI7/(AJ7*(COUNTA(D7:AG7)*24))</f>
        <v>0.15659863945578228</v>
      </c>
      <c r="BQ7" s="180">
        <f>'FCs estimados em PVsyst'!Y5</f>
        <v>0.17987528344671203</v>
      </c>
      <c r="BR7" s="72">
        <f t="shared" si="4"/>
        <v>8.81388888888889</v>
      </c>
      <c r="BS7" s="73">
        <f t="shared" si="5"/>
        <v>-9.6797052154195012E-2</v>
      </c>
      <c r="BT7" s="74">
        <f t="shared" si="6"/>
        <v>-2.3276643990929741E-2</v>
      </c>
      <c r="BU7" s="15" t="s">
        <v>9</v>
      </c>
      <c r="BV7" s="79" t="s">
        <v>109</v>
      </c>
      <c r="BW7" s="80">
        <f>COUNTIF(BT5:BT29,"&lt;-0,01")</f>
        <v>11</v>
      </c>
      <c r="BX7" s="2"/>
    </row>
    <row r="8" spans="2:76" x14ac:dyDescent="0.3">
      <c r="B8" s="771"/>
      <c r="C8" s="326" t="s">
        <v>10</v>
      </c>
      <c r="D8" s="62">
        <v>48.4</v>
      </c>
      <c r="E8" s="63">
        <v>85.7</v>
      </c>
      <c r="F8" s="63">
        <v>67.900000000000006</v>
      </c>
      <c r="G8" s="63">
        <v>60.6</v>
      </c>
      <c r="H8" s="63">
        <v>155.30000000000001</v>
      </c>
      <c r="I8" s="283">
        <v>157.9</v>
      </c>
      <c r="J8" s="63">
        <v>132</v>
      </c>
      <c r="K8" s="63">
        <v>146.4</v>
      </c>
      <c r="L8" s="283">
        <v>150.19999999999999</v>
      </c>
      <c r="M8" s="283">
        <v>154.80000000000001</v>
      </c>
      <c r="N8" s="283">
        <v>120.1</v>
      </c>
      <c r="O8" s="63">
        <v>108.3</v>
      </c>
      <c r="P8" s="63">
        <v>84.8</v>
      </c>
      <c r="Q8" s="283">
        <v>75.8</v>
      </c>
      <c r="R8" s="63">
        <v>101.5</v>
      </c>
      <c r="S8" s="63">
        <v>168.5</v>
      </c>
      <c r="T8" s="63">
        <v>130.80000000000001</v>
      </c>
      <c r="U8" s="63">
        <v>150.69999999999999</v>
      </c>
      <c r="V8" s="63">
        <v>86.7</v>
      </c>
      <c r="W8" s="283">
        <v>108.3</v>
      </c>
      <c r="X8" s="63">
        <v>103.9</v>
      </c>
      <c r="Y8" s="283">
        <v>140</v>
      </c>
      <c r="Z8" s="207">
        <v>69.8</v>
      </c>
      <c r="AA8" s="18">
        <v>63.7</v>
      </c>
      <c r="AB8" s="20">
        <v>115.4</v>
      </c>
      <c r="AC8" s="15">
        <v>141.30000000000001</v>
      </c>
      <c r="AD8" s="15">
        <v>100.3</v>
      </c>
      <c r="AE8" s="15">
        <v>102.7</v>
      </c>
      <c r="AF8" s="15">
        <v>129.30000000000001</v>
      </c>
      <c r="AG8" s="15">
        <v>109.5</v>
      </c>
      <c r="AH8" s="64">
        <v>95.3</v>
      </c>
      <c r="AI8" s="290">
        <f t="shared" si="7"/>
        <v>3465.9000000000005</v>
      </c>
      <c r="AJ8" s="118">
        <v>33</v>
      </c>
      <c r="AK8" s="121">
        <f t="shared" si="0"/>
        <v>4.7629068462401803E-3</v>
      </c>
      <c r="AL8" s="67">
        <f t="shared" si="1"/>
        <v>6.1111111111111109E-2</v>
      </c>
      <c r="AM8" s="68">
        <f t="shared" si="1"/>
        <v>0.10820707070707071</v>
      </c>
      <c r="AN8" s="68">
        <f t="shared" si="1"/>
        <v>8.5732323232323243E-2</v>
      </c>
      <c r="AO8" s="68">
        <f t="shared" si="1"/>
        <v>7.6515151515151522E-2</v>
      </c>
      <c r="AP8" s="68">
        <f t="shared" si="1"/>
        <v>0.19608585858585861</v>
      </c>
      <c r="AQ8" s="68">
        <f t="shared" si="1"/>
        <v>0.19936868686868689</v>
      </c>
      <c r="AR8" s="68">
        <f t="shared" si="1"/>
        <v>0.16666666666666666</v>
      </c>
      <c r="AS8" s="68">
        <f t="shared" si="1"/>
        <v>0.18484848484848485</v>
      </c>
      <c r="AT8" s="68">
        <f t="shared" si="1"/>
        <v>0.18964646464646462</v>
      </c>
      <c r="AU8" s="68">
        <f t="shared" si="1"/>
        <v>0.19545454545454546</v>
      </c>
      <c r="AV8" s="68">
        <f t="shared" si="1"/>
        <v>0.15164141414141413</v>
      </c>
      <c r="AW8" s="68">
        <f t="shared" si="1"/>
        <v>0.13674242424242425</v>
      </c>
      <c r="AX8" s="68">
        <f t="shared" si="1"/>
        <v>0.10707070707070707</v>
      </c>
      <c r="AY8" s="68">
        <f t="shared" si="1"/>
        <v>9.5707070707070699E-2</v>
      </c>
      <c r="AZ8" s="68">
        <f t="shared" si="1"/>
        <v>0.12815656565656566</v>
      </c>
      <c r="BA8" s="68">
        <f t="shared" si="1"/>
        <v>0.21275252525252525</v>
      </c>
      <c r="BB8" s="68">
        <f t="shared" si="2"/>
        <v>0.16515151515151516</v>
      </c>
      <c r="BC8" s="68" t="e">
        <f>IF(OR(#REF!="",#REF!="Sem monitoramento"),"VAZIO",IFERROR(#REF!/($AJ8*24),"-"))</f>
        <v>#REF!</v>
      </c>
      <c r="BD8" s="68">
        <f t="shared" si="2"/>
        <v>0.10946969696969697</v>
      </c>
      <c r="BE8" s="68">
        <f t="shared" si="2"/>
        <v>0.13674242424242425</v>
      </c>
      <c r="BF8" s="68">
        <f t="shared" si="2"/>
        <v>0.13118686868686869</v>
      </c>
      <c r="BG8" s="68">
        <f t="shared" si="2"/>
        <v>0.17676767676767677</v>
      </c>
      <c r="BH8" s="68">
        <f t="shared" si="2"/>
        <v>8.813131313131313E-2</v>
      </c>
      <c r="BI8" s="68">
        <f t="shared" si="2"/>
        <v>8.0429292929292934E-2</v>
      </c>
      <c r="BJ8" s="68">
        <f t="shared" si="2"/>
        <v>0.1457070707070707</v>
      </c>
      <c r="BK8" s="68" t="e">
        <f>IF(OR(#REF!="",#REF!="Sem monitoramento"),"VAZIO",IFERROR(#REF!/($AJ8*24),"-"))</f>
        <v>#REF!</v>
      </c>
      <c r="BL8" s="68">
        <f t="shared" si="2"/>
        <v>0.12664141414141414</v>
      </c>
      <c r="BM8" s="68">
        <f t="shared" si="2"/>
        <v>0.12967171717171719</v>
      </c>
      <c r="BN8" s="68">
        <f t="shared" si="2"/>
        <v>0.16325757575757577</v>
      </c>
      <c r="BO8" s="68" t="e">
        <f>IF(OR(#REF!="",#REF!="Sem monitoramento"),"VAZIO",IFERROR(#REF!/($AJ8*24),"-"))</f>
        <v>#REF!</v>
      </c>
      <c r="BP8" s="70">
        <f>AI8/(AJ8*(COUNTA(D8:AG8)*24))</f>
        <v>0.14587121212121215</v>
      </c>
      <c r="BQ8" s="180">
        <f>'FCs estimados em PVsyst'!Y6</f>
        <v>0.18501683501683502</v>
      </c>
      <c r="BR8" s="72">
        <f t="shared" si="4"/>
        <v>6.1055555555555561</v>
      </c>
      <c r="BS8" s="73">
        <f t="shared" si="5"/>
        <v>-9.9284511784511781E-2</v>
      </c>
      <c r="BT8" s="74">
        <f t="shared" si="6"/>
        <v>-3.9145622895622872E-2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223">
        <v>15.8</v>
      </c>
      <c r="E9" s="63">
        <v>27.3</v>
      </c>
      <c r="F9" s="63">
        <v>21.7</v>
      </c>
      <c r="G9" s="82">
        <v>20.399999999999999</v>
      </c>
      <c r="H9" s="82">
        <v>52.3</v>
      </c>
      <c r="I9" s="308">
        <v>47.8</v>
      </c>
      <c r="J9" s="63">
        <v>43.4</v>
      </c>
      <c r="K9" s="283">
        <v>50.1</v>
      </c>
      <c r="L9" s="63">
        <v>47.2</v>
      </c>
      <c r="M9" s="63">
        <v>50.5</v>
      </c>
      <c r="N9" s="63">
        <v>47.3</v>
      </c>
      <c r="O9" s="63">
        <v>41.3</v>
      </c>
      <c r="P9" s="63">
        <v>32.299999999999997</v>
      </c>
      <c r="Q9" s="283">
        <v>26.6</v>
      </c>
      <c r="R9" s="308">
        <v>38</v>
      </c>
      <c r="S9" s="63">
        <v>57</v>
      </c>
      <c r="T9" s="63">
        <v>50.5</v>
      </c>
      <c r="U9" s="63">
        <v>54.8</v>
      </c>
      <c r="V9" s="63">
        <v>28</v>
      </c>
      <c r="W9" s="283">
        <v>43.8</v>
      </c>
      <c r="X9" s="63">
        <v>36.799999999999997</v>
      </c>
      <c r="Y9" s="63">
        <v>46.5</v>
      </c>
      <c r="Z9" s="384">
        <v>27</v>
      </c>
      <c r="AA9" s="18">
        <v>26</v>
      </c>
      <c r="AB9" s="323">
        <v>41.6</v>
      </c>
      <c r="AC9" s="15">
        <v>50.2</v>
      </c>
      <c r="AD9" s="15">
        <v>38.1</v>
      </c>
      <c r="AE9" s="15">
        <v>37.1</v>
      </c>
      <c r="AF9" s="15">
        <v>52.6</v>
      </c>
      <c r="AG9" s="15">
        <v>41.4</v>
      </c>
      <c r="AH9" s="64">
        <v>37.799999999999997</v>
      </c>
      <c r="AI9" s="290">
        <f t="shared" si="7"/>
        <v>1231.1999999999996</v>
      </c>
      <c r="AJ9" s="118">
        <v>12</v>
      </c>
      <c r="AK9" s="121">
        <f t="shared" si="0"/>
        <v>4.1859567901234565E-3</v>
      </c>
      <c r="AL9" s="67">
        <f t="shared" si="1"/>
        <v>5.486111111111111E-2</v>
      </c>
      <c r="AM9" s="68">
        <f t="shared" si="1"/>
        <v>9.4791666666666663E-2</v>
      </c>
      <c r="AN9" s="68">
        <f t="shared" si="1"/>
        <v>7.5347222222222218E-2</v>
      </c>
      <c r="AO9" s="68">
        <f t="shared" si="1"/>
        <v>7.0833333333333331E-2</v>
      </c>
      <c r="AP9" s="68">
        <f t="shared" si="1"/>
        <v>0.18159722222222222</v>
      </c>
      <c r="AQ9" s="68">
        <f t="shared" si="1"/>
        <v>0.16597222222222222</v>
      </c>
      <c r="AR9" s="68">
        <f t="shared" si="1"/>
        <v>0.15069444444444444</v>
      </c>
      <c r="AS9" s="68">
        <f t="shared" si="1"/>
        <v>0.17395833333333333</v>
      </c>
      <c r="AT9" s="68">
        <f t="shared" si="1"/>
        <v>0.16388888888888889</v>
      </c>
      <c r="AU9" s="68">
        <f t="shared" si="1"/>
        <v>0.17534722222222221</v>
      </c>
      <c r="AV9" s="68">
        <f t="shared" si="1"/>
        <v>0.16423611111111111</v>
      </c>
      <c r="AW9" s="68">
        <f t="shared" si="1"/>
        <v>0.14340277777777777</v>
      </c>
      <c r="AX9" s="68">
        <f t="shared" si="1"/>
        <v>0.11215277777777777</v>
      </c>
      <c r="AY9" s="68">
        <f t="shared" si="1"/>
        <v>9.2361111111111116E-2</v>
      </c>
      <c r="AZ9" s="68">
        <f t="shared" si="1"/>
        <v>0.13194444444444445</v>
      </c>
      <c r="BA9" s="68">
        <f t="shared" si="1"/>
        <v>0.19791666666666666</v>
      </c>
      <c r="BB9" s="68">
        <f t="shared" si="2"/>
        <v>0.17534722222222221</v>
      </c>
      <c r="BC9" s="68">
        <f>IF(OR(U7="",U7="Sem monitoramento"),"VAZIO",IFERROR(U7/($AJ9*24),"-"))</f>
        <v>0.78263888888888888</v>
      </c>
      <c r="BD9" s="68">
        <f t="shared" si="2"/>
        <v>9.7222222222222224E-2</v>
      </c>
      <c r="BE9" s="68">
        <f t="shared" si="2"/>
        <v>0.15208333333333332</v>
      </c>
      <c r="BF9" s="68">
        <f t="shared" si="2"/>
        <v>0.12777777777777777</v>
      </c>
      <c r="BG9" s="68">
        <f t="shared" si="2"/>
        <v>0.16145833333333334</v>
      </c>
      <c r="BH9" s="68">
        <f>IF(OR(Z10="",Z10="Sem monitoramento"),"VAZIO",IFERROR(Z10/($AJ9*24),"-"))</f>
        <v>0.17916666666666667</v>
      </c>
      <c r="BI9" s="68">
        <f t="shared" si="2"/>
        <v>9.0277777777777776E-2</v>
      </c>
      <c r="BJ9" s="68">
        <f t="shared" si="2"/>
        <v>0.14444444444444446</v>
      </c>
      <c r="BK9" s="68">
        <f>IF(OR(AC7="",AC7="Sem monitoramento"),"VAZIO",IFERROR(AC7/($AJ9*24),"-"))</f>
        <v>0.88194444444444442</v>
      </c>
      <c r="BL9" s="68">
        <f t="shared" si="2"/>
        <v>0.13229166666666667</v>
      </c>
      <c r="BM9" s="68">
        <f t="shared" si="2"/>
        <v>0.12881944444444446</v>
      </c>
      <c r="BN9" s="68">
        <f t="shared" si="2"/>
        <v>0.18263888888888891</v>
      </c>
      <c r="BO9" s="68">
        <f>IF(OR(AG7="",AG7="Sem monitoramento"),"VAZIO",IFERROR(AG7/($AJ9*24),"-"))</f>
        <v>0.68923611111111116</v>
      </c>
      <c r="BP9" s="70">
        <f t="shared" si="3"/>
        <v>0.14249999999999996</v>
      </c>
      <c r="BQ9" s="180">
        <f>'FCs estimados em PVsyst'!Y7</f>
        <v>0.18333333333333332</v>
      </c>
      <c r="BR9" s="72">
        <f t="shared" si="4"/>
        <v>2.1999999999999997</v>
      </c>
      <c r="BS9" s="73">
        <f t="shared" si="5"/>
        <v>-0.1079861111111111</v>
      </c>
      <c r="BT9" s="74">
        <f t="shared" si="6"/>
        <v>-4.083333333333336E-2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29.9</v>
      </c>
      <c r="E10" s="63">
        <v>50.9</v>
      </c>
      <c r="F10" s="63">
        <v>40.799999999999997</v>
      </c>
      <c r="G10" s="82">
        <v>39.1</v>
      </c>
      <c r="H10" s="82">
        <v>99.3</v>
      </c>
      <c r="I10" s="63">
        <v>92</v>
      </c>
      <c r="J10" s="63">
        <v>82</v>
      </c>
      <c r="K10" s="283">
        <v>97.1</v>
      </c>
      <c r="L10" s="63">
        <v>91.3</v>
      </c>
      <c r="M10" s="63">
        <v>98.5</v>
      </c>
      <c r="N10" s="63">
        <v>92.2</v>
      </c>
      <c r="O10" s="63">
        <v>80</v>
      </c>
      <c r="P10" s="63">
        <v>60.8</v>
      </c>
      <c r="Q10" s="283">
        <v>50.7</v>
      </c>
      <c r="R10" s="308">
        <v>70.8</v>
      </c>
      <c r="S10" s="63">
        <v>106</v>
      </c>
      <c r="T10" s="63">
        <v>94.3</v>
      </c>
      <c r="U10" s="63">
        <v>101.7</v>
      </c>
      <c r="V10" s="63">
        <v>50.9</v>
      </c>
      <c r="W10" s="283">
        <v>79.599999999999994</v>
      </c>
      <c r="X10" s="63">
        <v>65.7</v>
      </c>
      <c r="Y10" s="63">
        <v>83.7</v>
      </c>
      <c r="Z10" s="207">
        <v>51.6</v>
      </c>
      <c r="AA10" s="18">
        <v>54.1</v>
      </c>
      <c r="AB10" s="323">
        <v>85.9</v>
      </c>
      <c r="AC10" s="15">
        <v>101.1</v>
      </c>
      <c r="AD10" s="15">
        <v>76.099999999999994</v>
      </c>
      <c r="AE10" s="15">
        <v>75.8</v>
      </c>
      <c r="AF10" s="15">
        <v>108.8</v>
      </c>
      <c r="AG10" s="15">
        <v>88</v>
      </c>
      <c r="AH10" s="64">
        <v>80.599999999999994</v>
      </c>
      <c r="AI10" s="290">
        <f t="shared" si="7"/>
        <v>2379.3000000000002</v>
      </c>
      <c r="AJ10" s="118">
        <v>25</v>
      </c>
      <c r="AK10" s="121">
        <f t="shared" si="0"/>
        <v>3.7777777777777775E-3</v>
      </c>
      <c r="AL10" s="67">
        <f t="shared" si="1"/>
        <v>4.9833333333333334E-2</v>
      </c>
      <c r="AM10" s="68">
        <f t="shared" si="1"/>
        <v>8.483333333333333E-2</v>
      </c>
      <c r="AN10" s="68">
        <f t="shared" si="1"/>
        <v>6.7999999999999991E-2</v>
      </c>
      <c r="AO10" s="68">
        <f t="shared" si="1"/>
        <v>6.5166666666666664E-2</v>
      </c>
      <c r="AP10" s="68">
        <f t="shared" si="1"/>
        <v>0.16550000000000001</v>
      </c>
      <c r="AQ10" s="68">
        <f t="shared" si="1"/>
        <v>0.15333333333333332</v>
      </c>
      <c r="AR10" s="68">
        <f t="shared" si="1"/>
        <v>0.13666666666666666</v>
      </c>
      <c r="AS10" s="68">
        <f t="shared" si="1"/>
        <v>0.16183333333333333</v>
      </c>
      <c r="AT10" s="68">
        <f t="shared" si="1"/>
        <v>0.15216666666666667</v>
      </c>
      <c r="AU10" s="68">
        <f t="shared" si="1"/>
        <v>0.16416666666666666</v>
      </c>
      <c r="AV10" s="68">
        <f t="shared" si="1"/>
        <v>0.15366666666666667</v>
      </c>
      <c r="AW10" s="68">
        <f t="shared" si="1"/>
        <v>0.13333333333333333</v>
      </c>
      <c r="AX10" s="68">
        <f t="shared" si="1"/>
        <v>0.10133333333333333</v>
      </c>
      <c r="AY10" s="68">
        <f t="shared" si="1"/>
        <v>8.4500000000000006E-2</v>
      </c>
      <c r="AZ10" s="68">
        <f t="shared" si="1"/>
        <v>0.11799999999999999</v>
      </c>
      <c r="BA10" s="68">
        <f t="shared" si="1"/>
        <v>0.17666666666666667</v>
      </c>
      <c r="BB10" s="68">
        <f t="shared" si="2"/>
        <v>0.15716666666666665</v>
      </c>
      <c r="BC10" s="68">
        <f>IF(OR(U8="",U8="Sem monitoramento"),"VAZIO",IFERROR(U8/($AJ10*24),"-"))</f>
        <v>0.25116666666666665</v>
      </c>
      <c r="BD10" s="68">
        <f t="shared" si="2"/>
        <v>8.483333333333333E-2</v>
      </c>
      <c r="BE10" s="68">
        <f t="shared" si="2"/>
        <v>0.13266666666666665</v>
      </c>
      <c r="BF10" s="68">
        <f t="shared" si="2"/>
        <v>0.1095</v>
      </c>
      <c r="BG10" s="68">
        <f t="shared" si="2"/>
        <v>0.13950000000000001</v>
      </c>
      <c r="BH10" s="68" t="e">
        <f>IF(OR(#REF!="",#REF!="Sem monitoramento"),"VAZIO",IFERROR(#REF!/($AJ10*24),"-"))</f>
        <v>#REF!</v>
      </c>
      <c r="BI10" s="68">
        <f t="shared" si="2"/>
        <v>9.0166666666666673E-2</v>
      </c>
      <c r="BJ10" s="68">
        <f t="shared" si="2"/>
        <v>0.14316666666666666</v>
      </c>
      <c r="BK10" s="68">
        <f>IF(OR(AC8="",AC8="Sem monitoramento"),"VAZIO",IFERROR(AC8/($AJ10*24),"-"))</f>
        <v>0.23550000000000001</v>
      </c>
      <c r="BL10" s="68">
        <f t="shared" si="2"/>
        <v>0.12683333333333333</v>
      </c>
      <c r="BM10" s="68">
        <f t="shared" si="2"/>
        <v>0.12633333333333333</v>
      </c>
      <c r="BN10" s="68">
        <f t="shared" si="2"/>
        <v>0.18133333333333332</v>
      </c>
      <c r="BO10" s="68">
        <f>IF(OR(AG8="",AG8="Sem monitoramento"),"VAZIO",IFERROR(AG8/($AJ10*24),"-"))</f>
        <v>0.1825</v>
      </c>
      <c r="BP10" s="70">
        <f t="shared" si="3"/>
        <v>0.13218333333333335</v>
      </c>
      <c r="BQ10" s="180">
        <f>'FCs estimados em PVsyst'!Y8</f>
        <v>0.185</v>
      </c>
      <c r="BR10" s="72">
        <f t="shared" si="4"/>
        <v>4.625</v>
      </c>
      <c r="BS10" s="73">
        <f t="shared" si="5"/>
        <v>-0.11700000000000001</v>
      </c>
      <c r="BT10" s="74">
        <f t="shared" si="6"/>
        <v>-5.2816666666666651E-2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168.2</v>
      </c>
      <c r="E11" s="63">
        <v>208.9</v>
      </c>
      <c r="F11" s="63">
        <v>205.7</v>
      </c>
      <c r="G11" s="63">
        <v>174.6</v>
      </c>
      <c r="H11" s="63">
        <v>385.1</v>
      </c>
      <c r="I11" s="283">
        <v>392</v>
      </c>
      <c r="J11" s="283">
        <v>335</v>
      </c>
      <c r="K11" s="283">
        <v>361.8</v>
      </c>
      <c r="L11" s="63">
        <v>419.9</v>
      </c>
      <c r="M11" s="63">
        <v>356.9</v>
      </c>
      <c r="N11" s="63">
        <v>278.39999999999998</v>
      </c>
      <c r="O11" s="63">
        <v>306.89999999999998</v>
      </c>
      <c r="P11" s="63">
        <v>303.39999999999998</v>
      </c>
      <c r="Q11" s="283">
        <v>199.1</v>
      </c>
      <c r="R11" s="63">
        <v>258.39999999999998</v>
      </c>
      <c r="S11" s="63">
        <v>424.9</v>
      </c>
      <c r="T11" s="63">
        <v>366.9</v>
      </c>
      <c r="U11" s="63">
        <v>376.7</v>
      </c>
      <c r="V11" s="283">
        <v>234.9</v>
      </c>
      <c r="W11" s="283">
        <v>345.6</v>
      </c>
      <c r="X11" s="63">
        <v>272.5</v>
      </c>
      <c r="Y11" s="63">
        <v>413.1</v>
      </c>
      <c r="Z11" s="207">
        <v>211.7</v>
      </c>
      <c r="AA11" s="18">
        <v>211.2</v>
      </c>
      <c r="AB11" s="323">
        <v>293.60000000000002</v>
      </c>
      <c r="AC11" s="221">
        <v>361.1</v>
      </c>
      <c r="AD11" s="15">
        <v>301</v>
      </c>
      <c r="AE11" s="221">
        <v>273.7</v>
      </c>
      <c r="AF11" s="15">
        <v>386</v>
      </c>
      <c r="AG11" s="15">
        <v>341.2</v>
      </c>
      <c r="AH11" s="64">
        <v>258.39999999999998</v>
      </c>
      <c r="AI11" s="290">
        <f t="shared" si="7"/>
        <v>9426.8000000000011</v>
      </c>
      <c r="AJ11" s="118">
        <v>78</v>
      </c>
      <c r="AK11" s="121">
        <f t="shared" si="0"/>
        <v>6.1045821462488124E-3</v>
      </c>
      <c r="AL11" s="67">
        <f t="shared" si="1"/>
        <v>8.985042735042735E-2</v>
      </c>
      <c r="AM11" s="68">
        <f t="shared" si="1"/>
        <v>0.11159188034188035</v>
      </c>
      <c r="AN11" s="68">
        <f t="shared" si="1"/>
        <v>0.10988247863247863</v>
      </c>
      <c r="AO11" s="68">
        <f t="shared" si="1"/>
        <v>9.3269230769230771E-2</v>
      </c>
      <c r="AP11" s="68">
        <f t="shared" si="1"/>
        <v>0.20571581196581198</v>
      </c>
      <c r="AQ11" s="68">
        <f t="shared" si="1"/>
        <v>0.20940170940170941</v>
      </c>
      <c r="AR11" s="68">
        <f t="shared" si="1"/>
        <v>0.17895299145299146</v>
      </c>
      <c r="AS11" s="68">
        <f t="shared" si="1"/>
        <v>0.19326923076923078</v>
      </c>
      <c r="AT11" s="68">
        <f t="shared" si="1"/>
        <v>0.22430555555555554</v>
      </c>
      <c r="AU11" s="68">
        <f t="shared" si="1"/>
        <v>0.19065170940170939</v>
      </c>
      <c r="AV11" s="68">
        <f t="shared" si="1"/>
        <v>0.14871794871794872</v>
      </c>
      <c r="AW11" s="68">
        <f t="shared" si="1"/>
        <v>0.16394230769230769</v>
      </c>
      <c r="AX11" s="68">
        <f t="shared" si="1"/>
        <v>0.16207264957264955</v>
      </c>
      <c r="AY11" s="68">
        <f t="shared" si="1"/>
        <v>0.1063568376068376</v>
      </c>
      <c r="AZ11" s="68">
        <f t="shared" si="1"/>
        <v>0.13803418803418802</v>
      </c>
      <c r="BA11" s="68">
        <f t="shared" si="1"/>
        <v>0.22697649572649573</v>
      </c>
      <c r="BB11" s="68">
        <f t="shared" si="2"/>
        <v>0.19599358974358974</v>
      </c>
      <c r="BC11" s="68">
        <f t="shared" si="2"/>
        <v>0.20122863247863249</v>
      </c>
      <c r="BD11" s="68">
        <f t="shared" si="2"/>
        <v>0.12548076923076923</v>
      </c>
      <c r="BE11" s="68">
        <f t="shared" si="2"/>
        <v>0.18461538461538463</v>
      </c>
      <c r="BF11" s="68">
        <f t="shared" si="2"/>
        <v>0.14556623931623933</v>
      </c>
      <c r="BG11" s="68">
        <f t="shared" si="2"/>
        <v>0.22067307692307694</v>
      </c>
      <c r="BH11" s="68">
        <f t="shared" si="2"/>
        <v>0.11308760683760684</v>
      </c>
      <c r="BI11" s="68">
        <f t="shared" si="2"/>
        <v>0.11282051282051281</v>
      </c>
      <c r="BJ11" s="68">
        <f>IF(OR(AB9="",AB9="Sem monitoramento"),"VAZIO",IFERROR(AB9/($AJ11*24),"-"))</f>
        <v>2.2222222222222223E-2</v>
      </c>
      <c r="BK11" s="68">
        <f t="shared" ref="BK11:BO31" si="8">IF(OR(AC11="",AC11="Sem monitoramento"),"VAZIO",IFERROR(AC11/($AJ11*24),"-"))</f>
        <v>0.19289529914529915</v>
      </c>
      <c r="BL11" s="68">
        <f t="shared" si="2"/>
        <v>0.1607905982905983</v>
      </c>
      <c r="BM11" s="68">
        <f t="shared" si="2"/>
        <v>0.14620726495726494</v>
      </c>
      <c r="BN11" s="68">
        <f t="shared" si="2"/>
        <v>0.20619658119658119</v>
      </c>
      <c r="BO11" s="68">
        <f t="shared" si="2"/>
        <v>0.18226495726495726</v>
      </c>
      <c r="BP11" s="70">
        <f t="shared" si="3"/>
        <v>0.16785612535612537</v>
      </c>
      <c r="BQ11" s="198">
        <f>BQ19</f>
        <v>0.168125</v>
      </c>
      <c r="BR11" s="72">
        <f t="shared" si="4"/>
        <v>13.11375</v>
      </c>
      <c r="BS11" s="73">
        <f t="shared" si="5"/>
        <v>-5.8242521367521366E-2</v>
      </c>
      <c r="BT11" s="74">
        <f t="shared" si="6"/>
        <v>-2.6887464387462257E-4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291">
        <v>87.5</v>
      </c>
      <c r="E12" s="308">
        <v>147.4</v>
      </c>
      <c r="F12" s="82">
        <v>116.5</v>
      </c>
      <c r="G12" s="82">
        <v>111.6</v>
      </c>
      <c r="H12" s="82">
        <v>288.7</v>
      </c>
      <c r="I12" s="308">
        <v>270.10000000000002</v>
      </c>
      <c r="J12" s="82">
        <v>248.8</v>
      </c>
      <c r="K12" s="308">
        <v>310.8</v>
      </c>
      <c r="L12" s="82">
        <v>275.8</v>
      </c>
      <c r="M12" s="82">
        <v>317.39999999999998</v>
      </c>
      <c r="N12" s="82">
        <v>267.10000000000002</v>
      </c>
      <c r="O12" s="82">
        <v>250.5</v>
      </c>
      <c r="P12" s="82">
        <v>167.3</v>
      </c>
      <c r="Q12" s="308">
        <v>149.19999999999999</v>
      </c>
      <c r="R12" s="308">
        <v>200.3</v>
      </c>
      <c r="S12" s="82">
        <v>368.9</v>
      </c>
      <c r="T12" s="82">
        <v>305.60000000000002</v>
      </c>
      <c r="U12" s="82">
        <v>336.2</v>
      </c>
      <c r="V12" s="82">
        <v>164.8</v>
      </c>
      <c r="W12" s="308">
        <v>263.7</v>
      </c>
      <c r="X12" s="82">
        <v>202.6</v>
      </c>
      <c r="Y12" s="82">
        <v>280</v>
      </c>
      <c r="Z12" s="210">
        <v>148.19999999999999</v>
      </c>
      <c r="AA12" s="17">
        <v>144.69999999999999</v>
      </c>
      <c r="AB12" s="324">
        <v>226.1</v>
      </c>
      <c r="AC12" s="16">
        <v>243.2</v>
      </c>
      <c r="AD12" s="16">
        <v>197.2</v>
      </c>
      <c r="AE12" s="16">
        <v>208.9</v>
      </c>
      <c r="AF12" s="16">
        <v>278.8</v>
      </c>
      <c r="AG12" s="16">
        <v>236.2</v>
      </c>
      <c r="AH12" s="86">
        <v>208.4</v>
      </c>
      <c r="AI12" s="290">
        <f t="shared" si="7"/>
        <v>7022.4999999999991</v>
      </c>
      <c r="AJ12" s="123">
        <v>61</v>
      </c>
      <c r="AK12" s="121" t="s">
        <v>31</v>
      </c>
      <c r="AL12" s="67">
        <f t="shared" si="1"/>
        <v>5.9767759562841527E-2</v>
      </c>
      <c r="AM12" s="68">
        <f t="shared" si="1"/>
        <v>0.10068306010928962</v>
      </c>
      <c r="AN12" s="68">
        <f t="shared" si="1"/>
        <v>7.9576502732240442E-2</v>
      </c>
      <c r="AO12" s="68">
        <f t="shared" si="1"/>
        <v>7.6229508196721307E-2</v>
      </c>
      <c r="AP12" s="68">
        <f t="shared" si="1"/>
        <v>0.19719945355191257</v>
      </c>
      <c r="AQ12" s="68">
        <f t="shared" si="1"/>
        <v>0.1844945355191257</v>
      </c>
      <c r="AR12" s="68">
        <f t="shared" si="1"/>
        <v>0.16994535519125684</v>
      </c>
      <c r="AS12" s="68">
        <f t="shared" si="1"/>
        <v>0.21229508196721311</v>
      </c>
      <c r="AT12" s="68">
        <f t="shared" si="1"/>
        <v>0.1883879781420765</v>
      </c>
      <c r="AU12" s="68">
        <f t="shared" si="1"/>
        <v>0.21680327868852459</v>
      </c>
      <c r="AV12" s="68">
        <f t="shared" si="1"/>
        <v>0.18244535519125685</v>
      </c>
      <c r="AW12" s="68">
        <f t="shared" si="1"/>
        <v>0.17110655737704919</v>
      </c>
      <c r="AX12" s="68">
        <f t="shared" si="1"/>
        <v>0.11427595628415302</v>
      </c>
      <c r="AY12" s="68">
        <f t="shared" si="1"/>
        <v>0.10191256830601092</v>
      </c>
      <c r="AZ12" s="68">
        <f t="shared" si="1"/>
        <v>0.13681693989071039</v>
      </c>
      <c r="BA12" s="68">
        <f t="shared" si="1"/>
        <v>0.25198087431693988</v>
      </c>
      <c r="BB12" s="68">
        <f t="shared" si="2"/>
        <v>0.20874316939890711</v>
      </c>
      <c r="BC12" s="68">
        <f t="shared" si="2"/>
        <v>0.22964480874316939</v>
      </c>
      <c r="BD12" s="68">
        <f t="shared" si="2"/>
        <v>0.11256830601092897</v>
      </c>
      <c r="BE12" s="68">
        <f t="shared" si="2"/>
        <v>0.18012295081967211</v>
      </c>
      <c r="BF12" s="68">
        <f t="shared" si="2"/>
        <v>0.13838797814207651</v>
      </c>
      <c r="BG12" s="68">
        <f t="shared" si="2"/>
        <v>0.19125683060109289</v>
      </c>
      <c r="BH12" s="68">
        <f t="shared" si="2"/>
        <v>0.1012295081967213</v>
      </c>
      <c r="BI12" s="68">
        <f t="shared" si="2"/>
        <v>9.8838797814207638E-2</v>
      </c>
      <c r="BJ12" s="68">
        <f t="shared" si="2"/>
        <v>0.1544398907103825</v>
      </c>
      <c r="BK12" s="68">
        <f t="shared" si="8"/>
        <v>0.16612021857923495</v>
      </c>
      <c r="BL12" s="68">
        <f t="shared" si="2"/>
        <v>0.13469945355191257</v>
      </c>
      <c r="BM12" s="68">
        <f t="shared" si="2"/>
        <v>0.1426912568306011</v>
      </c>
      <c r="BN12" s="68">
        <f t="shared" si="2"/>
        <v>0.19043715846994536</v>
      </c>
      <c r="BO12" s="68">
        <f t="shared" si="2"/>
        <v>0.16133879781420765</v>
      </c>
      <c r="BP12" s="70">
        <f t="shared" si="3"/>
        <v>0.15989298724954459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6"/>
        <v>-2.4760928961748668E-2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62">
        <v>146.6</v>
      </c>
      <c r="E13" s="63">
        <v>245.8</v>
      </c>
      <c r="F13" s="63">
        <v>194.3</v>
      </c>
      <c r="G13" s="63">
        <v>182.1</v>
      </c>
      <c r="H13" s="63">
        <v>443.8</v>
      </c>
      <c r="I13" s="283">
        <v>430.9</v>
      </c>
      <c r="J13" s="63">
        <v>378.9</v>
      </c>
      <c r="K13" s="283">
        <v>462.5</v>
      </c>
      <c r="L13" s="63">
        <v>434.8</v>
      </c>
      <c r="M13" s="63">
        <v>525.20000000000005</v>
      </c>
      <c r="N13" s="63">
        <v>446.2</v>
      </c>
      <c r="O13" s="63">
        <v>432.9</v>
      </c>
      <c r="P13" s="63">
        <v>277.8</v>
      </c>
      <c r="Q13" s="283">
        <v>251.8</v>
      </c>
      <c r="R13" s="308">
        <v>329.7</v>
      </c>
      <c r="S13" s="63">
        <v>582</v>
      </c>
      <c r="T13" s="63">
        <v>517.6</v>
      </c>
      <c r="U13" s="63">
        <v>544.29999999999995</v>
      </c>
      <c r="V13" s="63">
        <v>267.2</v>
      </c>
      <c r="W13" s="283">
        <v>445.4</v>
      </c>
      <c r="X13" s="63">
        <v>321.5</v>
      </c>
      <c r="Y13" s="63">
        <v>445</v>
      </c>
      <c r="Z13" s="207">
        <v>247.4</v>
      </c>
      <c r="AA13" s="18">
        <v>241.1</v>
      </c>
      <c r="AB13" s="323">
        <v>354.6</v>
      </c>
      <c r="AC13" s="15">
        <v>425.1</v>
      </c>
      <c r="AD13" s="15">
        <v>314.7</v>
      </c>
      <c r="AE13" s="15">
        <v>322.39999999999998</v>
      </c>
      <c r="AF13" s="15">
        <v>444.6</v>
      </c>
      <c r="AG13" s="15">
        <v>384.8</v>
      </c>
      <c r="AH13" s="64">
        <v>351.4</v>
      </c>
      <c r="AI13" s="290">
        <f t="shared" si="7"/>
        <v>11392.4</v>
      </c>
      <c r="AJ13" s="118">
        <v>100</v>
      </c>
      <c r="AK13" s="121">
        <f t="shared" ref="AK13:AK25" si="9">F13/(AJ13*432)</f>
        <v>4.4976851851851853E-3</v>
      </c>
      <c r="AL13" s="67">
        <f t="shared" si="1"/>
        <v>6.108333333333333E-2</v>
      </c>
      <c r="AM13" s="68">
        <f t="shared" si="1"/>
        <v>0.10241666666666667</v>
      </c>
      <c r="AN13" s="68">
        <f t="shared" si="1"/>
        <v>8.095833333333334E-2</v>
      </c>
      <c r="AO13" s="68">
        <f t="shared" si="1"/>
        <v>7.5874999999999998E-2</v>
      </c>
      <c r="AP13" s="68">
        <f t="shared" si="1"/>
        <v>0.18491666666666667</v>
      </c>
      <c r="AQ13" s="68">
        <f t="shared" si="1"/>
        <v>0.17954166666666665</v>
      </c>
      <c r="AR13" s="68">
        <f t="shared" si="1"/>
        <v>0.15787499999999999</v>
      </c>
      <c r="AS13" s="68">
        <f t="shared" si="1"/>
        <v>0.19270833333333334</v>
      </c>
      <c r="AT13" s="68">
        <f t="shared" si="1"/>
        <v>0.18116666666666667</v>
      </c>
      <c r="AU13" s="68">
        <f t="shared" si="1"/>
        <v>0.21883333333333335</v>
      </c>
      <c r="AV13" s="68">
        <f t="shared" si="1"/>
        <v>0.18591666666666667</v>
      </c>
      <c r="AW13" s="68">
        <f t="shared" si="1"/>
        <v>0.18037499999999998</v>
      </c>
      <c r="AX13" s="68">
        <f t="shared" si="1"/>
        <v>0.11575000000000001</v>
      </c>
      <c r="AY13" s="68">
        <f t="shared" si="1"/>
        <v>0.10491666666666667</v>
      </c>
      <c r="AZ13" s="68">
        <f t="shared" si="1"/>
        <v>0.137375</v>
      </c>
      <c r="BA13" s="68">
        <f t="shared" si="1"/>
        <v>0.24249999999999999</v>
      </c>
      <c r="BB13" s="68">
        <f t="shared" si="2"/>
        <v>0.21566666666666667</v>
      </c>
      <c r="BC13" s="68">
        <f t="shared" si="2"/>
        <v>0.22679166666666664</v>
      </c>
      <c r="BD13" s="68">
        <f t="shared" si="2"/>
        <v>0.11133333333333333</v>
      </c>
      <c r="BE13" s="68">
        <f t="shared" si="2"/>
        <v>0.18558333333333332</v>
      </c>
      <c r="BF13" s="68">
        <f t="shared" si="2"/>
        <v>0.13395833333333335</v>
      </c>
      <c r="BG13" s="68">
        <f t="shared" si="2"/>
        <v>0.18541666666666667</v>
      </c>
      <c r="BH13" s="68">
        <f t="shared" si="2"/>
        <v>0.10308333333333333</v>
      </c>
      <c r="BI13" s="68">
        <f t="shared" si="2"/>
        <v>0.10045833333333333</v>
      </c>
      <c r="BJ13" s="68">
        <f t="shared" si="2"/>
        <v>0.14775000000000002</v>
      </c>
      <c r="BK13" s="68">
        <f t="shared" si="8"/>
        <v>0.177125</v>
      </c>
      <c r="BL13" s="68">
        <f t="shared" si="2"/>
        <v>0.13112499999999999</v>
      </c>
      <c r="BM13" s="68">
        <f t="shared" si="2"/>
        <v>0.13433333333333333</v>
      </c>
      <c r="BN13" s="68">
        <f t="shared" si="2"/>
        <v>0.18525</v>
      </c>
      <c r="BO13" s="68">
        <f t="shared" si="2"/>
        <v>0.16033333333333333</v>
      </c>
      <c r="BP13" s="70">
        <f t="shared" si="3"/>
        <v>0.15822777777777777</v>
      </c>
      <c r="BQ13" s="198">
        <f>BQ19</f>
        <v>0.168125</v>
      </c>
      <c r="BR13" s="72">
        <f t="shared" ref="BR13:BR29" si="10">AJ13*BQ13</f>
        <v>16.8125</v>
      </c>
      <c r="BS13" s="73">
        <f t="shared" ref="BS13:BS29" si="11">AN13-BQ13</f>
        <v>-8.7166666666666656E-2</v>
      </c>
      <c r="BT13" s="74">
        <f t="shared" si="6"/>
        <v>-9.8972222222222239E-3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221.7</v>
      </c>
      <c r="E14" s="63">
        <v>279.89999999999998</v>
      </c>
      <c r="F14" s="63">
        <v>274.3</v>
      </c>
      <c r="G14" s="63">
        <v>228.3</v>
      </c>
      <c r="H14" s="63">
        <v>530.9</v>
      </c>
      <c r="I14" s="283">
        <v>518.4</v>
      </c>
      <c r="J14" s="283">
        <v>449.9</v>
      </c>
      <c r="K14" s="283">
        <v>494.6</v>
      </c>
      <c r="L14" s="63">
        <v>556.5</v>
      </c>
      <c r="M14" s="63">
        <v>491.2</v>
      </c>
      <c r="N14" s="63">
        <v>391.8</v>
      </c>
      <c r="O14" s="63">
        <v>416.2</v>
      </c>
      <c r="P14" s="63">
        <v>393.7</v>
      </c>
      <c r="Q14" s="283">
        <v>236.8</v>
      </c>
      <c r="R14" s="63">
        <v>360.5</v>
      </c>
      <c r="S14" s="63">
        <v>581.1</v>
      </c>
      <c r="T14" s="63">
        <v>544.1</v>
      </c>
      <c r="U14" s="63">
        <v>514</v>
      </c>
      <c r="V14" s="283">
        <v>306.89999999999998</v>
      </c>
      <c r="W14" s="283">
        <v>467.8</v>
      </c>
      <c r="X14" s="63">
        <v>386.9</v>
      </c>
      <c r="Y14" s="63">
        <v>523.29999999999995</v>
      </c>
      <c r="Z14" s="207">
        <v>284</v>
      </c>
      <c r="AA14" s="18">
        <v>280.2</v>
      </c>
      <c r="AB14" s="323">
        <v>389.3</v>
      </c>
      <c r="AC14" s="221">
        <v>478.3</v>
      </c>
      <c r="AD14" s="15">
        <v>396.2</v>
      </c>
      <c r="AE14" s="15">
        <v>359.8</v>
      </c>
      <c r="AF14" s="15">
        <v>541.20000000000005</v>
      </c>
      <c r="AG14" s="15">
        <v>462.8</v>
      </c>
      <c r="AH14" s="64">
        <v>346.6</v>
      </c>
      <c r="AI14" s="290">
        <f t="shared" si="7"/>
        <v>12707.199999999999</v>
      </c>
      <c r="AJ14" s="118">
        <v>100</v>
      </c>
      <c r="AK14" s="121">
        <f t="shared" si="9"/>
        <v>6.3495370370370372E-3</v>
      </c>
      <c r="AL14" s="67">
        <f t="shared" si="1"/>
        <v>9.2374999999999999E-2</v>
      </c>
      <c r="AM14" s="68">
        <f t="shared" si="1"/>
        <v>0.11662499999999999</v>
      </c>
      <c r="AN14" s="68">
        <f t="shared" si="1"/>
        <v>0.11429166666666667</v>
      </c>
      <c r="AO14" s="68">
        <f t="shared" si="1"/>
        <v>9.5125000000000001E-2</v>
      </c>
      <c r="AP14" s="68">
        <f t="shared" si="1"/>
        <v>0.22120833333333331</v>
      </c>
      <c r="AQ14" s="68">
        <f t="shared" si="1"/>
        <v>0.216</v>
      </c>
      <c r="AR14" s="68">
        <f t="shared" si="1"/>
        <v>0.18745833333333331</v>
      </c>
      <c r="AS14" s="68">
        <f t="shared" si="1"/>
        <v>0.20608333333333334</v>
      </c>
      <c r="AT14" s="68">
        <f t="shared" si="1"/>
        <v>0.231875</v>
      </c>
      <c r="AU14" s="68">
        <f t="shared" si="1"/>
        <v>0.20466666666666666</v>
      </c>
      <c r="AV14" s="68">
        <f t="shared" si="1"/>
        <v>0.16325000000000001</v>
      </c>
      <c r="AW14" s="68">
        <f>IF(OR(O14="",O14="Sem monitoramento"),"VAZIO",IFERROR(O14/($AJ14*24),"-"))</f>
        <v>0.17341666666666666</v>
      </c>
      <c r="AX14" s="68">
        <f t="shared" si="1"/>
        <v>0.16404166666666667</v>
      </c>
      <c r="AY14" s="68">
        <f t="shared" si="1"/>
        <v>9.8666666666666666E-2</v>
      </c>
      <c r="AZ14" s="68">
        <f t="shared" si="1"/>
        <v>0.15020833333333333</v>
      </c>
      <c r="BA14" s="68">
        <f t="shared" si="1"/>
        <v>0.24212500000000001</v>
      </c>
      <c r="BB14" s="68" t="e">
        <f>IF(OR(#REF!="",#REF!="Sem monitoramento"),"VAZIO",IFERROR(#REF!/($AJ14*24),"-"))</f>
        <v>#REF!</v>
      </c>
      <c r="BC14" s="68">
        <f>IF(OR(U14="",U14="Sem monitoramento"),"VAZIO",IFERROR(U14/($AJ14*24),"-"))</f>
        <v>0.21416666666666667</v>
      </c>
      <c r="BD14" s="68">
        <f t="shared" si="2"/>
        <v>0.12787499999999999</v>
      </c>
      <c r="BE14" s="68">
        <f t="shared" si="2"/>
        <v>0.19491666666666668</v>
      </c>
      <c r="BF14" s="68">
        <f t="shared" si="2"/>
        <v>0.16120833333333331</v>
      </c>
      <c r="BG14" s="68">
        <f t="shared" si="2"/>
        <v>0.21804166666666666</v>
      </c>
      <c r="BH14" s="68">
        <f t="shared" si="2"/>
        <v>0.11833333333333333</v>
      </c>
      <c r="BI14" s="68">
        <f t="shared" si="2"/>
        <v>0.11674999999999999</v>
      </c>
      <c r="BJ14" s="68">
        <f t="shared" si="2"/>
        <v>0.16220833333333334</v>
      </c>
      <c r="BK14" s="68">
        <f t="shared" si="8"/>
        <v>0.19929166666666667</v>
      </c>
      <c r="BL14" s="68">
        <f t="shared" si="2"/>
        <v>0.16508333333333333</v>
      </c>
      <c r="BM14" s="68">
        <f t="shared" si="2"/>
        <v>0.14991666666666667</v>
      </c>
      <c r="BN14" s="68">
        <f t="shared" si="2"/>
        <v>0.22550000000000001</v>
      </c>
      <c r="BO14" s="68">
        <f t="shared" si="2"/>
        <v>0.19283333333333333</v>
      </c>
      <c r="BP14" s="70">
        <f t="shared" si="3"/>
        <v>0.17648888888888886</v>
      </c>
      <c r="BQ14" s="198">
        <f>$BQ$19</f>
        <v>0.168125</v>
      </c>
      <c r="BR14" s="72">
        <f t="shared" si="10"/>
        <v>16.8125</v>
      </c>
      <c r="BS14" s="73">
        <f t="shared" si="11"/>
        <v>-5.383333333333333E-2</v>
      </c>
      <c r="BT14" s="74">
        <f t="shared" si="6"/>
        <v>8.3638888888888652E-3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59.5</v>
      </c>
      <c r="E15" s="63">
        <v>75.5</v>
      </c>
      <c r="F15" s="63">
        <v>73.599999999999994</v>
      </c>
      <c r="G15" s="63">
        <v>61.5</v>
      </c>
      <c r="H15" s="63">
        <v>153.1</v>
      </c>
      <c r="I15" s="283">
        <v>148.6</v>
      </c>
      <c r="J15" s="283">
        <v>126.8</v>
      </c>
      <c r="K15" s="283">
        <v>142.6</v>
      </c>
      <c r="L15" s="63">
        <v>153.30000000000001</v>
      </c>
      <c r="M15" s="63">
        <v>131.69999999999999</v>
      </c>
      <c r="N15" s="63">
        <v>112</v>
      </c>
      <c r="O15" s="63">
        <v>114.7</v>
      </c>
      <c r="P15" s="63">
        <v>115.8</v>
      </c>
      <c r="Q15" s="283">
        <v>71.8</v>
      </c>
      <c r="R15" s="63">
        <v>101.4</v>
      </c>
      <c r="S15" s="63">
        <v>163.9</v>
      </c>
      <c r="T15" s="63">
        <v>148.19999999999999</v>
      </c>
      <c r="U15" s="63">
        <v>141.9</v>
      </c>
      <c r="V15" s="283">
        <v>86.1</v>
      </c>
      <c r="W15" s="283">
        <v>130.69999999999999</v>
      </c>
      <c r="X15" s="63">
        <v>110.3</v>
      </c>
      <c r="Y15" s="63">
        <v>157.5</v>
      </c>
      <c r="Z15" s="207">
        <v>76.099999999999994</v>
      </c>
      <c r="AA15" s="18">
        <v>75.900000000000006</v>
      </c>
      <c r="AB15" s="323">
        <v>111.9</v>
      </c>
      <c r="AC15" s="221">
        <v>143.4</v>
      </c>
      <c r="AD15" s="221">
        <v>114.6</v>
      </c>
      <c r="AE15" s="15">
        <v>100</v>
      </c>
      <c r="AF15" s="15">
        <v>156.30000000000001</v>
      </c>
      <c r="AG15" s="15">
        <v>129.9</v>
      </c>
      <c r="AH15" s="64">
        <v>94.5</v>
      </c>
      <c r="AI15" s="290">
        <f t="shared" si="7"/>
        <v>3583.1000000000004</v>
      </c>
      <c r="AJ15" s="118">
        <v>29</v>
      </c>
      <c r="AK15" s="121">
        <f t="shared" si="9"/>
        <v>5.8748403575989774E-3</v>
      </c>
      <c r="AL15" s="67">
        <f t="shared" si="1"/>
        <v>8.5488505747126436E-2</v>
      </c>
      <c r="AM15" s="68">
        <f t="shared" si="1"/>
        <v>0.10847701149425287</v>
      </c>
      <c r="AN15" s="68">
        <f t="shared" si="1"/>
        <v>0.10574712643678161</v>
      </c>
      <c r="AO15" s="68">
        <f t="shared" si="1"/>
        <v>8.8362068965517238E-2</v>
      </c>
      <c r="AP15" s="68">
        <f t="shared" si="1"/>
        <v>0.21997126436781608</v>
      </c>
      <c r="AQ15" s="68">
        <f t="shared" si="1"/>
        <v>0.21350574712643677</v>
      </c>
      <c r="AR15" s="68">
        <f t="shared" si="1"/>
        <v>0.18218390804597701</v>
      </c>
      <c r="AS15" s="68">
        <f t="shared" si="1"/>
        <v>0.20488505747126437</v>
      </c>
      <c r="AT15" s="68">
        <f t="shared" si="1"/>
        <v>0.22025862068965518</v>
      </c>
      <c r="AU15" s="68">
        <f t="shared" si="1"/>
        <v>0.18922413793103446</v>
      </c>
      <c r="AV15" s="68">
        <f t="shared" si="1"/>
        <v>0.16091954022988506</v>
      </c>
      <c r="AW15" s="68">
        <f>IF(OR(O15="",O15="Sem monitoramento"),"VAZIO",IFERROR(O15/($AJ15*24),"-"))</f>
        <v>0.16479885057471264</v>
      </c>
      <c r="AX15" s="68">
        <f t="shared" si="1"/>
        <v>0.16637931034482759</v>
      </c>
      <c r="AY15" s="68">
        <f t="shared" si="1"/>
        <v>0.10316091954022988</v>
      </c>
      <c r="AZ15" s="68">
        <f t="shared" si="1"/>
        <v>0.14568965517241381</v>
      </c>
      <c r="BA15" s="68">
        <f t="shared" si="1"/>
        <v>0.23548850574712646</v>
      </c>
      <c r="BB15" s="68">
        <f>IF(OR(T15="",T15="Sem monitoramento"),"VAZIO",IFERROR(T15/($AJ15*24),"-"))</f>
        <v>0.2129310344827586</v>
      </c>
      <c r="BC15" s="68">
        <f>IF(OR(U15="",U15="Sem monitoramento"),"VAZIO",IFERROR(U15/($AJ15*24),"-"))</f>
        <v>0.20387931034482759</v>
      </c>
      <c r="BD15" s="68">
        <f t="shared" si="2"/>
        <v>0.12370689655172414</v>
      </c>
      <c r="BE15" s="68">
        <f t="shared" si="2"/>
        <v>0.18778735632183907</v>
      </c>
      <c r="BF15" s="68">
        <f t="shared" si="2"/>
        <v>0.15847701149425286</v>
      </c>
      <c r="BG15" s="68">
        <f t="shared" si="2"/>
        <v>0.22629310344827586</v>
      </c>
      <c r="BH15" s="68">
        <f t="shared" si="2"/>
        <v>0.1093390804597701</v>
      </c>
      <c r="BI15" s="68">
        <f t="shared" si="2"/>
        <v>0.10905172413793104</v>
      </c>
      <c r="BJ15" s="68">
        <f t="shared" si="2"/>
        <v>0.16077586206896552</v>
      </c>
      <c r="BK15" s="68">
        <f t="shared" si="8"/>
        <v>0.20603448275862069</v>
      </c>
      <c r="BL15" s="68">
        <f t="shared" si="2"/>
        <v>0.1646551724137931</v>
      </c>
      <c r="BM15" s="68">
        <f t="shared" si="2"/>
        <v>0.14367816091954022</v>
      </c>
      <c r="BN15" s="68">
        <f t="shared" si="2"/>
        <v>0.2245689655172414</v>
      </c>
      <c r="BO15" s="68">
        <f t="shared" si="2"/>
        <v>0.18663793103448276</v>
      </c>
      <c r="BP15" s="70">
        <f t="shared" si="3"/>
        <v>0.17160440613026823</v>
      </c>
      <c r="BQ15" s="180">
        <f>'FCs estimados em PVsyst'!Y13</f>
        <v>0.1850095785440613</v>
      </c>
      <c r="BR15" s="72">
        <f t="shared" si="10"/>
        <v>5.365277777777778</v>
      </c>
      <c r="BS15" s="73">
        <f t="shared" si="11"/>
        <v>-7.9262452107279696E-2</v>
      </c>
      <c r="BT15" s="74">
        <f t="shared" si="6"/>
        <v>-1.3405172413793076E-2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146.1</v>
      </c>
      <c r="E16" s="63">
        <v>289</v>
      </c>
      <c r="F16" s="63">
        <v>231</v>
      </c>
      <c r="G16" s="63">
        <v>215.4</v>
      </c>
      <c r="H16" s="63">
        <v>451.9</v>
      </c>
      <c r="I16" s="63">
        <v>464.3</v>
      </c>
      <c r="J16" s="63">
        <v>475.3</v>
      </c>
      <c r="K16" s="63">
        <v>449.9</v>
      </c>
      <c r="L16" s="63">
        <v>482.8</v>
      </c>
      <c r="M16" s="63">
        <v>515.1</v>
      </c>
      <c r="N16" s="63">
        <v>323.3</v>
      </c>
      <c r="O16" s="63">
        <v>313.39999999999998</v>
      </c>
      <c r="P16" s="283">
        <v>340.3</v>
      </c>
      <c r="Q16" s="283">
        <v>213.7</v>
      </c>
      <c r="R16" s="63">
        <v>334.9</v>
      </c>
      <c r="S16" s="63">
        <v>553.9</v>
      </c>
      <c r="T16" s="382">
        <v>477</v>
      </c>
      <c r="U16" s="63">
        <v>416.2</v>
      </c>
      <c r="V16" s="63">
        <v>264.8</v>
      </c>
      <c r="W16" s="283">
        <v>429.3</v>
      </c>
      <c r="X16" s="63">
        <v>340.4</v>
      </c>
      <c r="Y16" s="63">
        <v>485.8</v>
      </c>
      <c r="Z16" s="207">
        <v>246.1</v>
      </c>
      <c r="AA16" s="18">
        <v>253.8</v>
      </c>
      <c r="AB16" s="323">
        <v>442</v>
      </c>
      <c r="AC16" s="15">
        <v>427.9</v>
      </c>
      <c r="AD16" s="15">
        <v>374</v>
      </c>
      <c r="AE16" s="15">
        <v>350.4</v>
      </c>
      <c r="AF16" s="15">
        <v>515.70000000000005</v>
      </c>
      <c r="AG16" s="15">
        <v>463.1</v>
      </c>
      <c r="AH16" s="371">
        <v>256.60000000000002</v>
      </c>
      <c r="AI16" s="290">
        <f t="shared" si="7"/>
        <v>11543.4</v>
      </c>
      <c r="AJ16" s="118">
        <v>100</v>
      </c>
      <c r="AK16" s="121">
        <f t="shared" si="9"/>
        <v>5.347222222222222E-3</v>
      </c>
      <c r="AL16" s="67">
        <f t="shared" si="1"/>
        <v>6.0874999999999999E-2</v>
      </c>
      <c r="AM16" s="68">
        <f t="shared" si="1"/>
        <v>0.12041666666666667</v>
      </c>
      <c r="AN16" s="68">
        <f t="shared" si="1"/>
        <v>9.6250000000000002E-2</v>
      </c>
      <c r="AO16" s="68">
        <f t="shared" si="1"/>
        <v>8.9749999999999996E-2</v>
      </c>
      <c r="AP16" s="68">
        <f t="shared" si="1"/>
        <v>0.18829166666666666</v>
      </c>
      <c r="AQ16" s="68">
        <f t="shared" si="1"/>
        <v>0.19345833333333334</v>
      </c>
      <c r="AR16" s="68">
        <f t="shared" si="1"/>
        <v>0.19804166666666667</v>
      </c>
      <c r="AS16" s="68">
        <f t="shared" si="1"/>
        <v>0.18745833333333331</v>
      </c>
      <c r="AT16" s="68">
        <f t="shared" si="1"/>
        <v>0.20116666666666666</v>
      </c>
      <c r="AU16" s="68">
        <f t="shared" si="1"/>
        <v>0.21462500000000001</v>
      </c>
      <c r="AV16" s="68">
        <f t="shared" si="1"/>
        <v>0.13470833333333335</v>
      </c>
      <c r="AW16" s="68">
        <f t="shared" si="1"/>
        <v>0.13058333333333333</v>
      </c>
      <c r="AX16" s="68">
        <f t="shared" si="1"/>
        <v>0.14179166666666668</v>
      </c>
      <c r="AY16" s="68">
        <f t="shared" si="1"/>
        <v>8.9041666666666658E-2</v>
      </c>
      <c r="AZ16" s="68">
        <f t="shared" si="1"/>
        <v>0.13954166666666665</v>
      </c>
      <c r="BA16" s="68">
        <f t="shared" si="1"/>
        <v>0.23079166666666664</v>
      </c>
      <c r="BB16" s="68">
        <f>IF(OR(T14="",T14="Sem monitoramento"),"VAZIO",IFERROR(T14/($AJ16*24),"-"))</f>
        <v>0.22670833333333335</v>
      </c>
      <c r="BC16" s="68">
        <f t="shared" si="2"/>
        <v>0.17341666666666666</v>
      </c>
      <c r="BD16" s="68">
        <f t="shared" si="2"/>
        <v>0.11033333333333334</v>
      </c>
      <c r="BE16" s="68">
        <f t="shared" si="2"/>
        <v>0.17887500000000001</v>
      </c>
      <c r="BF16" s="68">
        <f t="shared" si="2"/>
        <v>0.14183333333333331</v>
      </c>
      <c r="BG16" s="68">
        <f t="shared" si="2"/>
        <v>0.20241666666666666</v>
      </c>
      <c r="BH16" s="68">
        <f t="shared" si="2"/>
        <v>0.10254166666666667</v>
      </c>
      <c r="BI16" s="68">
        <f t="shared" si="2"/>
        <v>0.10575000000000001</v>
      </c>
      <c r="BJ16" s="68">
        <f t="shared" si="2"/>
        <v>0.18416666666666667</v>
      </c>
      <c r="BK16" s="68">
        <f t="shared" si="8"/>
        <v>0.17829166666666665</v>
      </c>
      <c r="BL16" s="68">
        <f t="shared" si="2"/>
        <v>0.15583333333333332</v>
      </c>
      <c r="BM16" s="68">
        <f t="shared" si="2"/>
        <v>0.14599999999999999</v>
      </c>
      <c r="BN16" s="68">
        <f t="shared" si="2"/>
        <v>0.21487500000000001</v>
      </c>
      <c r="BO16" s="68">
        <f t="shared" si="2"/>
        <v>0.19295833333333334</v>
      </c>
      <c r="BP16" s="70">
        <f t="shared" si="3"/>
        <v>0.160325</v>
      </c>
      <c r="BQ16" s="180">
        <f>'FCs estimados em PVsyst'!Y14</f>
        <v>0.16425000000000001</v>
      </c>
      <c r="BR16" s="72">
        <f t="shared" si="10"/>
        <v>16.425000000000001</v>
      </c>
      <c r="BS16" s="73">
        <f t="shared" si="11"/>
        <v>-6.8000000000000005E-2</v>
      </c>
      <c r="BT16" s="74">
        <f t="shared" si="6"/>
        <v>-3.9250000000000118E-3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166.5</v>
      </c>
      <c r="E17" s="63">
        <v>325</v>
      </c>
      <c r="F17" s="82">
        <v>184.6</v>
      </c>
      <c r="G17" s="283">
        <v>154.4</v>
      </c>
      <c r="H17" s="63">
        <v>522.9</v>
      </c>
      <c r="I17" s="82">
        <v>534</v>
      </c>
      <c r="J17" s="82">
        <v>465.8</v>
      </c>
      <c r="K17" s="63">
        <v>538.9</v>
      </c>
      <c r="L17" s="63">
        <v>444.4</v>
      </c>
      <c r="M17" s="63">
        <v>518.20000000000005</v>
      </c>
      <c r="N17" s="63">
        <v>434.9</v>
      </c>
      <c r="O17" s="63">
        <v>464.7</v>
      </c>
      <c r="P17" s="283">
        <v>382.4</v>
      </c>
      <c r="Q17" s="283">
        <v>244.6</v>
      </c>
      <c r="R17" s="63">
        <v>384.7</v>
      </c>
      <c r="S17" s="63">
        <v>535.9</v>
      </c>
      <c r="T17" s="63">
        <v>472.5</v>
      </c>
      <c r="U17" s="63">
        <v>500.9</v>
      </c>
      <c r="V17" s="63">
        <v>285.5</v>
      </c>
      <c r="W17" s="283">
        <v>477.4</v>
      </c>
      <c r="X17" s="63">
        <v>370.8</v>
      </c>
      <c r="Y17" s="63">
        <v>391.9</v>
      </c>
      <c r="Z17" s="207">
        <v>251.8</v>
      </c>
      <c r="AA17" s="18">
        <v>274.39999999999998</v>
      </c>
      <c r="AB17" s="20">
        <v>518.70000000000005</v>
      </c>
      <c r="AC17" s="15">
        <v>573</v>
      </c>
      <c r="AD17" s="283">
        <v>325</v>
      </c>
      <c r="AE17" s="15">
        <v>294.3</v>
      </c>
      <c r="AF17" s="15">
        <v>533.6</v>
      </c>
      <c r="AG17" s="15">
        <v>312.10000000000002</v>
      </c>
      <c r="AH17" s="64">
        <v>307.8</v>
      </c>
      <c r="AI17" s="290">
        <f t="shared" si="7"/>
        <v>12191.599999999997</v>
      </c>
      <c r="AJ17" s="118">
        <v>100</v>
      </c>
      <c r="AK17" s="122">
        <f t="shared" si="9"/>
        <v>4.2731481481481483E-3</v>
      </c>
      <c r="AL17" s="67">
        <f t="shared" si="1"/>
        <v>6.9375000000000006E-2</v>
      </c>
      <c r="AM17" s="68">
        <f t="shared" si="1"/>
        <v>0.13541666666666666</v>
      </c>
      <c r="AN17" s="68">
        <f t="shared" si="1"/>
        <v>7.6916666666666661E-2</v>
      </c>
      <c r="AO17" s="68">
        <f t="shared" si="1"/>
        <v>6.433333333333334E-2</v>
      </c>
      <c r="AP17" s="68">
        <f t="shared" si="1"/>
        <v>0.21787499999999999</v>
      </c>
      <c r="AQ17" s="68">
        <f t="shared" si="1"/>
        <v>0.2225</v>
      </c>
      <c r="AR17" s="68">
        <f t="shared" si="1"/>
        <v>0.19408333333333333</v>
      </c>
      <c r="AS17" s="68">
        <f t="shared" si="1"/>
        <v>0.22454166666666667</v>
      </c>
      <c r="AT17" s="68">
        <f t="shared" si="1"/>
        <v>0.18516666666666665</v>
      </c>
      <c r="AU17" s="68">
        <f t="shared" si="1"/>
        <v>0.21591666666666667</v>
      </c>
      <c r="AV17" s="68">
        <f t="shared" si="1"/>
        <v>0.18120833333333333</v>
      </c>
      <c r="AW17" s="68">
        <f t="shared" si="1"/>
        <v>0.19362499999999999</v>
      </c>
      <c r="AX17" s="68">
        <f t="shared" si="1"/>
        <v>0.15933333333333333</v>
      </c>
      <c r="AY17" s="68">
        <f t="shared" si="1"/>
        <v>0.10191666666666667</v>
      </c>
      <c r="AZ17" s="68">
        <f t="shared" si="1"/>
        <v>0.16029166666666667</v>
      </c>
      <c r="BA17" s="68">
        <f t="shared" si="1"/>
        <v>0.22329166666666667</v>
      </c>
      <c r="BB17" s="68">
        <f t="shared" ref="BB17:BJ31" si="12">IF(OR(T17="",T17="Sem monitoramento"),"VAZIO",IFERROR(T17/($AJ17*24),"-"))</f>
        <v>0.19687499999999999</v>
      </c>
      <c r="BC17" s="68">
        <f t="shared" si="2"/>
        <v>0.20870833333333333</v>
      </c>
      <c r="BD17" s="68">
        <f t="shared" si="2"/>
        <v>0.11895833333333333</v>
      </c>
      <c r="BE17" s="68">
        <f t="shared" si="2"/>
        <v>0.19891666666666666</v>
      </c>
      <c r="BF17" s="68">
        <f t="shared" si="2"/>
        <v>0.1545</v>
      </c>
      <c r="BG17" s="68" t="e">
        <f>IF(OR(#REF!="",#REF!="Sem monitoramento"),"VAZIO",IFERROR(#REF!/($AJ17*24),"-"))</f>
        <v>#REF!</v>
      </c>
      <c r="BH17" s="68">
        <f t="shared" si="2"/>
        <v>0.10491666666666667</v>
      </c>
      <c r="BI17" s="68">
        <f t="shared" si="2"/>
        <v>0.11433333333333333</v>
      </c>
      <c r="BJ17" s="68">
        <f t="shared" si="2"/>
        <v>0.21612500000000001</v>
      </c>
      <c r="BK17" s="68">
        <f t="shared" si="8"/>
        <v>0.23874999999999999</v>
      </c>
      <c r="BL17" s="68">
        <f t="shared" si="2"/>
        <v>0.13541666666666666</v>
      </c>
      <c r="BM17" s="68">
        <f t="shared" si="2"/>
        <v>0.122625</v>
      </c>
      <c r="BN17" s="68">
        <f t="shared" si="2"/>
        <v>0.22233333333333336</v>
      </c>
      <c r="BO17" s="68">
        <f t="shared" si="2"/>
        <v>0.13004166666666667</v>
      </c>
      <c r="BP17" s="70">
        <f t="shared" si="3"/>
        <v>0.16932777777777774</v>
      </c>
      <c r="BQ17" s="198">
        <f>$BQ$19</f>
        <v>0.168125</v>
      </c>
      <c r="BR17" s="90">
        <f t="shared" si="10"/>
        <v>16.8125</v>
      </c>
      <c r="BS17" s="73">
        <f t="shared" si="11"/>
        <v>-9.1208333333333336E-2</v>
      </c>
      <c r="BT17" s="74">
        <f t="shared" si="6"/>
        <v>1.2027777777777471E-3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174.7</v>
      </c>
      <c r="E18" s="63">
        <v>351.6</v>
      </c>
      <c r="F18" s="308">
        <v>194.8</v>
      </c>
      <c r="G18" s="283">
        <v>165.8</v>
      </c>
      <c r="H18" s="63">
        <v>547</v>
      </c>
      <c r="I18" s="63">
        <v>554.6</v>
      </c>
      <c r="J18" s="63">
        <v>506.7</v>
      </c>
      <c r="K18" s="63">
        <v>567.70000000000005</v>
      </c>
      <c r="L18" s="63">
        <v>474.7</v>
      </c>
      <c r="M18" s="316">
        <v>534.6</v>
      </c>
      <c r="N18" s="63">
        <v>443.5</v>
      </c>
      <c r="O18" s="63">
        <v>485.4</v>
      </c>
      <c r="P18" s="63">
        <v>405.8</v>
      </c>
      <c r="Q18" s="283">
        <v>267.2</v>
      </c>
      <c r="R18" s="63">
        <v>424.1</v>
      </c>
      <c r="S18" s="63">
        <v>570.6</v>
      </c>
      <c r="T18" s="63">
        <v>479.4</v>
      </c>
      <c r="U18" s="63">
        <v>521</v>
      </c>
      <c r="V18" s="63">
        <v>314.2</v>
      </c>
      <c r="W18" s="283">
        <v>498.3</v>
      </c>
      <c r="X18" s="63">
        <v>412.8</v>
      </c>
      <c r="Y18" s="63">
        <v>405.8</v>
      </c>
      <c r="Z18" s="207">
        <v>274.7</v>
      </c>
      <c r="AA18" s="18">
        <v>302</v>
      </c>
      <c r="AB18" s="20">
        <v>558.29999999999995</v>
      </c>
      <c r="AC18" s="15">
        <v>615.79999999999995</v>
      </c>
      <c r="AD18" s="283">
        <v>365.3</v>
      </c>
      <c r="AE18" s="15">
        <v>331.9</v>
      </c>
      <c r="AF18" s="15">
        <v>582.70000000000005</v>
      </c>
      <c r="AG18" s="15">
        <v>340.5</v>
      </c>
      <c r="AH18" s="64">
        <v>345.2</v>
      </c>
      <c r="AI18" s="290">
        <f t="shared" si="7"/>
        <v>13016.699999999997</v>
      </c>
      <c r="AJ18" s="118">
        <v>100</v>
      </c>
      <c r="AK18" s="122">
        <f t="shared" si="9"/>
        <v>4.5092592592592597E-3</v>
      </c>
      <c r="AL18" s="67">
        <f t="shared" si="1"/>
        <v>7.2791666666666657E-2</v>
      </c>
      <c r="AM18" s="68">
        <f t="shared" si="1"/>
        <v>0.14650000000000002</v>
      </c>
      <c r="AN18" s="68">
        <f t="shared" si="1"/>
        <v>8.1166666666666665E-2</v>
      </c>
      <c r="AO18" s="68">
        <f t="shared" si="1"/>
        <v>6.9083333333333344E-2</v>
      </c>
      <c r="AP18" s="68">
        <f t="shared" si="1"/>
        <v>0.22791666666666666</v>
      </c>
      <c r="AQ18" s="68">
        <f t="shared" si="1"/>
        <v>0.23108333333333334</v>
      </c>
      <c r="AR18" s="68">
        <f t="shared" si="1"/>
        <v>0.21112500000000001</v>
      </c>
      <c r="AS18" s="68">
        <f t="shared" si="1"/>
        <v>0.23654166666666668</v>
      </c>
      <c r="AT18" s="68">
        <f t="shared" si="1"/>
        <v>0.19779166666666667</v>
      </c>
      <c r="AU18" s="68">
        <f>IF(OR(M21="",M21="Sem monitoramento"),"VAZIO",IFERROR(M21/($AJ18*24),"-"))</f>
        <v>0.10195833333333333</v>
      </c>
      <c r="AV18" s="68">
        <f t="shared" si="1"/>
        <v>0.18479166666666666</v>
      </c>
      <c r="AW18" s="68">
        <f t="shared" si="1"/>
        <v>0.20224999999999999</v>
      </c>
      <c r="AX18" s="68">
        <f t="shared" si="1"/>
        <v>0.16908333333333334</v>
      </c>
      <c r="AY18" s="68">
        <f t="shared" si="1"/>
        <v>0.11133333333333333</v>
      </c>
      <c r="AZ18" s="68">
        <f t="shared" si="1"/>
        <v>0.17670833333333336</v>
      </c>
      <c r="BA18" s="68">
        <f t="shared" si="1"/>
        <v>0.23775000000000002</v>
      </c>
      <c r="BB18" s="68">
        <f t="shared" si="12"/>
        <v>0.19974999999999998</v>
      </c>
      <c r="BC18" s="68">
        <f t="shared" si="2"/>
        <v>0.21708333333333332</v>
      </c>
      <c r="BD18" s="68">
        <f t="shared" si="2"/>
        <v>0.13091666666666665</v>
      </c>
      <c r="BE18" s="68">
        <f t="shared" si="2"/>
        <v>0.207625</v>
      </c>
      <c r="BF18" s="68">
        <f t="shared" si="2"/>
        <v>0.17200000000000001</v>
      </c>
      <c r="BG18" s="68">
        <f t="shared" si="2"/>
        <v>0.16908333333333334</v>
      </c>
      <c r="BH18" s="68">
        <f>IF(OR(Z18="",Z18="Sem monitoramento"),"VAZIO",IFERROR(Z18/($AJ18*24),"-"))</f>
        <v>0.11445833333333333</v>
      </c>
      <c r="BI18" s="68">
        <f t="shared" si="2"/>
        <v>0.12583333333333332</v>
      </c>
      <c r="BJ18" s="68">
        <f t="shared" si="2"/>
        <v>0.23262499999999997</v>
      </c>
      <c r="BK18" s="68">
        <f t="shared" si="8"/>
        <v>0.25658333333333333</v>
      </c>
      <c r="BL18" s="68">
        <f t="shared" si="2"/>
        <v>0.15220833333333333</v>
      </c>
      <c r="BM18" s="68">
        <f t="shared" si="2"/>
        <v>0.13829166666666665</v>
      </c>
      <c r="BN18" s="68">
        <f t="shared" si="2"/>
        <v>0.24279166666666668</v>
      </c>
      <c r="BO18" s="68">
        <f t="shared" si="2"/>
        <v>0.141875</v>
      </c>
      <c r="BP18" s="70">
        <f t="shared" si="3"/>
        <v>0.18078749999999996</v>
      </c>
      <c r="BQ18" s="198">
        <f>$BQ$19</f>
        <v>0.168125</v>
      </c>
      <c r="BR18" s="90">
        <f t="shared" si="10"/>
        <v>16.8125</v>
      </c>
      <c r="BS18" s="73">
        <f t="shared" si="11"/>
        <v>-8.6958333333333332E-2</v>
      </c>
      <c r="BT18" s="74">
        <f t="shared" si="6"/>
        <v>1.2662499999999965E-2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140</v>
      </c>
      <c r="E19" s="63">
        <v>295.39999999999998</v>
      </c>
      <c r="F19" s="63">
        <v>147.6</v>
      </c>
      <c r="G19" s="63">
        <v>122.5</v>
      </c>
      <c r="H19" s="63">
        <v>438.7</v>
      </c>
      <c r="I19" s="63">
        <v>463.1</v>
      </c>
      <c r="J19" s="283">
        <v>383.9</v>
      </c>
      <c r="K19" s="63">
        <v>437.4</v>
      </c>
      <c r="L19" s="63">
        <v>371.7</v>
      </c>
      <c r="M19" s="63">
        <v>375.6</v>
      </c>
      <c r="N19" s="63">
        <v>397.3</v>
      </c>
      <c r="O19" s="63">
        <v>408.5</v>
      </c>
      <c r="P19" s="63">
        <v>345.6</v>
      </c>
      <c r="Q19" s="283">
        <v>208.2</v>
      </c>
      <c r="R19" s="63">
        <v>304.10000000000002</v>
      </c>
      <c r="S19" s="63">
        <v>344.4</v>
      </c>
      <c r="T19" s="63">
        <v>412.2</v>
      </c>
      <c r="U19" s="63">
        <v>427.5</v>
      </c>
      <c r="V19" s="283">
        <v>241.5</v>
      </c>
      <c r="W19" s="283">
        <v>422.5</v>
      </c>
      <c r="X19" s="316">
        <v>305.89999999999998</v>
      </c>
      <c r="Y19" s="316">
        <v>352</v>
      </c>
      <c r="Z19" s="207">
        <v>238.7</v>
      </c>
      <c r="AA19" s="18">
        <v>236.2</v>
      </c>
      <c r="AB19" s="20">
        <v>464.6</v>
      </c>
      <c r="AC19" s="15">
        <v>493.6</v>
      </c>
      <c r="AD19" s="283">
        <v>291.3</v>
      </c>
      <c r="AE19" s="221">
        <v>247.6</v>
      </c>
      <c r="AF19" s="15">
        <v>461.7</v>
      </c>
      <c r="AG19" s="15">
        <v>295.5</v>
      </c>
      <c r="AH19" s="64">
        <v>261.60000000000002</v>
      </c>
      <c r="AI19" s="290">
        <f t="shared" si="7"/>
        <v>10336.4</v>
      </c>
      <c r="AJ19" s="118">
        <v>80</v>
      </c>
      <c r="AK19" s="121">
        <f t="shared" si="9"/>
        <v>4.2708333333333331E-3</v>
      </c>
      <c r="AL19" s="67">
        <f t="shared" si="1"/>
        <v>7.2916666666666671E-2</v>
      </c>
      <c r="AM19" s="68">
        <f t="shared" si="1"/>
        <v>0.15385416666666665</v>
      </c>
      <c r="AN19" s="68">
        <f t="shared" si="1"/>
        <v>7.6874999999999999E-2</v>
      </c>
      <c r="AO19" s="68">
        <f t="shared" si="1"/>
        <v>6.3802083333333329E-2</v>
      </c>
      <c r="AP19" s="68">
        <f t="shared" si="1"/>
        <v>0.22848958333333333</v>
      </c>
      <c r="AQ19" s="68">
        <f>IF(OR(I19="",I19="Sem monitoramento"),"VAZIO",IFERROR(I19/($AJ19*24),"-"))</f>
        <v>0.24119791666666668</v>
      </c>
      <c r="AR19" s="68">
        <f t="shared" si="1"/>
        <v>0.19994791666666664</v>
      </c>
      <c r="AS19" s="68">
        <f t="shared" si="1"/>
        <v>0.2278125</v>
      </c>
      <c r="AT19" s="68">
        <f>IF(OR(L21="",L21="Sem monitoramento"),"VAZIO",IFERROR(L21/($AJ19*24),"-"))</f>
        <v>0.18677083333333336</v>
      </c>
      <c r="AU19" s="68">
        <f t="shared" si="1"/>
        <v>0.19562500000000002</v>
      </c>
      <c r="AV19" s="68">
        <f t="shared" si="1"/>
        <v>0.20692708333333334</v>
      </c>
      <c r="AW19" s="68">
        <f t="shared" si="1"/>
        <v>0.21276041666666667</v>
      </c>
      <c r="AX19" s="68">
        <f t="shared" si="1"/>
        <v>0.18000000000000002</v>
      </c>
      <c r="AY19" s="68">
        <f t="shared" si="1"/>
        <v>0.10843749999999999</v>
      </c>
      <c r="AZ19" s="68">
        <f t="shared" si="1"/>
        <v>0.15838541666666667</v>
      </c>
      <c r="BA19" s="68">
        <f t="shared" si="1"/>
        <v>0.17937499999999998</v>
      </c>
      <c r="BB19" s="68">
        <f t="shared" si="12"/>
        <v>0.2146875</v>
      </c>
      <c r="BC19" s="68">
        <f t="shared" si="2"/>
        <v>0.22265625</v>
      </c>
      <c r="BD19" s="68">
        <f t="shared" si="2"/>
        <v>0.12578125000000001</v>
      </c>
      <c r="BE19" s="68">
        <f t="shared" si="2"/>
        <v>0.22005208333333334</v>
      </c>
      <c r="BF19" s="68">
        <f>IF(OR(X21="",X21="Sem monitoramento"),"VAZIO",IFERROR(X21/($AJ19*24),"-"))</f>
        <v>8.3697916666666664E-2</v>
      </c>
      <c r="BG19" s="68">
        <f>IF(OR(Y17="",Y17="Sem monitoramento"),"VAZIO",IFERROR(Y17/($AJ19*24),"-"))</f>
        <v>0.20411458333333332</v>
      </c>
      <c r="BH19" s="68">
        <f>IF(OR(Z19="",Z19="Sem monitoramento"),"VAZIO",IFERROR(Z19/($AJ19*24),"-"))</f>
        <v>0.12432291666666666</v>
      </c>
      <c r="BI19" s="68">
        <f t="shared" si="2"/>
        <v>0.12302083333333333</v>
      </c>
      <c r="BJ19" s="68">
        <f t="shared" si="2"/>
        <v>0.24197916666666669</v>
      </c>
      <c r="BK19" s="68">
        <f t="shared" si="8"/>
        <v>0.25708333333333333</v>
      </c>
      <c r="BL19" s="68">
        <f t="shared" si="2"/>
        <v>0.15171875000000001</v>
      </c>
      <c r="BM19" s="68">
        <f t="shared" si="2"/>
        <v>0.12895833333333334</v>
      </c>
      <c r="BN19" s="68">
        <f t="shared" si="2"/>
        <v>0.24046874999999998</v>
      </c>
      <c r="BO19" s="68">
        <f t="shared" si="2"/>
        <v>0.15390624999999999</v>
      </c>
      <c r="BP19" s="70">
        <f t="shared" si="3"/>
        <v>0.1794513888888889</v>
      </c>
      <c r="BQ19" s="180">
        <f>'FCs estimados em PVsyst'!Y17</f>
        <v>0.168125</v>
      </c>
      <c r="BR19" s="72">
        <f t="shared" si="10"/>
        <v>13.45</v>
      </c>
      <c r="BS19" s="73">
        <f t="shared" si="11"/>
        <v>-9.1249999999999998E-2</v>
      </c>
      <c r="BT19" s="74">
        <f t="shared" si="6"/>
        <v>1.13263888888889E-2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62">
        <v>184.3</v>
      </c>
      <c r="E20" s="63">
        <v>376.8</v>
      </c>
      <c r="F20" s="63">
        <v>193.5</v>
      </c>
      <c r="G20" s="63">
        <v>157.4</v>
      </c>
      <c r="H20" s="63">
        <v>533</v>
      </c>
      <c r="I20" s="63">
        <v>582.70000000000005</v>
      </c>
      <c r="J20" s="283">
        <v>480.4</v>
      </c>
      <c r="K20" s="63">
        <v>528.1</v>
      </c>
      <c r="L20" s="63">
        <v>466.8</v>
      </c>
      <c r="M20" s="63">
        <v>325.3</v>
      </c>
      <c r="N20" s="316">
        <v>409.7</v>
      </c>
      <c r="O20" s="63">
        <v>539.20000000000005</v>
      </c>
      <c r="P20" s="63">
        <v>432.4</v>
      </c>
      <c r="Q20" s="283">
        <v>274.2</v>
      </c>
      <c r="R20" s="63">
        <v>376.4</v>
      </c>
      <c r="S20" s="63">
        <v>394</v>
      </c>
      <c r="T20" s="283">
        <v>535.4</v>
      </c>
      <c r="U20" s="63">
        <v>543.5</v>
      </c>
      <c r="V20" s="283">
        <v>311.89999999999998</v>
      </c>
      <c r="W20" s="283">
        <v>533.9</v>
      </c>
      <c r="X20" s="283">
        <v>385.2</v>
      </c>
      <c r="Y20" s="63">
        <v>457.7</v>
      </c>
      <c r="Z20" s="207">
        <v>316.8</v>
      </c>
      <c r="AA20" s="18">
        <v>313.5</v>
      </c>
      <c r="AB20" s="20">
        <v>583.4</v>
      </c>
      <c r="AC20" s="15">
        <v>611.70000000000005</v>
      </c>
      <c r="AD20" s="283">
        <v>379.2</v>
      </c>
      <c r="AE20" s="221">
        <v>316.89999999999998</v>
      </c>
      <c r="AF20" s="15">
        <v>572.79999999999995</v>
      </c>
      <c r="AG20" s="15">
        <v>374.4</v>
      </c>
      <c r="AH20" s="64">
        <v>340.3</v>
      </c>
      <c r="AI20" s="290">
        <f>SUM(D20:AH20)</f>
        <v>12830.799999999997</v>
      </c>
      <c r="AJ20" s="118">
        <v>100</v>
      </c>
      <c r="AK20" s="121">
        <f t="shared" si="9"/>
        <v>4.4791666666666669E-3</v>
      </c>
      <c r="AL20" s="67">
        <f t="shared" si="1"/>
        <v>7.6791666666666675E-2</v>
      </c>
      <c r="AM20" s="68">
        <f t="shared" si="1"/>
        <v>0.157</v>
      </c>
      <c r="AN20" s="68">
        <f t="shared" si="1"/>
        <v>8.0625000000000002E-2</v>
      </c>
      <c r="AO20" s="68">
        <f t="shared" si="1"/>
        <v>6.5583333333333341E-2</v>
      </c>
      <c r="AP20" s="68">
        <f t="shared" si="1"/>
        <v>0.22208333333333333</v>
      </c>
      <c r="AQ20" s="68">
        <f>IF(OR(I20="",I20="Sem monitoramento"),"VAZIO",IFERROR(I20/($AJ20*24),"-"))</f>
        <v>0.24279166666666668</v>
      </c>
      <c r="AR20" s="68">
        <f t="shared" si="1"/>
        <v>0.20016666666666666</v>
      </c>
      <c r="AS20" s="68">
        <f t="shared" si="1"/>
        <v>0.22004166666666666</v>
      </c>
      <c r="AT20" s="68">
        <f t="shared" si="1"/>
        <v>0.19450000000000001</v>
      </c>
      <c r="AU20" s="68">
        <f t="shared" si="1"/>
        <v>0.13554166666666667</v>
      </c>
      <c r="AV20" s="68">
        <f>IF(OR(N21="",N21="Sem monitoramento"),"VAZIO",IFERROR(N21/($AJ20*24),"-"))</f>
        <v>0.21195833333333333</v>
      </c>
      <c r="AW20" s="68" t="e">
        <f>IF(OR(#REF!="",#REF!="Sem monitoramento"),"VAZIO",IFERROR(#REF!/($AJ20*24),"-"))</f>
        <v>#REF!</v>
      </c>
      <c r="AX20" s="68">
        <f t="shared" si="1"/>
        <v>0.18016666666666667</v>
      </c>
      <c r="AY20" s="68">
        <f t="shared" si="1"/>
        <v>0.11424999999999999</v>
      </c>
      <c r="AZ20" s="68">
        <f t="shared" si="1"/>
        <v>0.15683333333333332</v>
      </c>
      <c r="BA20" s="68">
        <f>IF(OR(S21="",S21="Sem monitoramento"),"VAZIO",IFERROR(S21/($AJ20*24),"-"))</f>
        <v>0.13470833333333335</v>
      </c>
      <c r="BB20" s="68">
        <f t="shared" si="12"/>
        <v>0.22308333333333333</v>
      </c>
      <c r="BC20" s="68">
        <f t="shared" si="2"/>
        <v>0.22645833333333334</v>
      </c>
      <c r="BD20" s="68">
        <f t="shared" si="2"/>
        <v>0.12995833333333331</v>
      </c>
      <c r="BE20" s="68">
        <f t="shared" si="2"/>
        <v>0.22245833333333331</v>
      </c>
      <c r="BF20" s="68" t="e">
        <f>IF(OR(#REF!="",#REF!="Sem monitoramento"),"VAZIO",IFERROR(#REF!/($AJ20*24),"-"))</f>
        <v>#REF!</v>
      </c>
      <c r="BG20" s="68" t="e">
        <f>IF(OR(#REF!="",#REF!="Sem monitoramento"),"VAZIO",IFERROR(#REF!/($AJ20*24),"-"))</f>
        <v>#REF!</v>
      </c>
      <c r="BH20" s="68">
        <f t="shared" si="2"/>
        <v>0.13200000000000001</v>
      </c>
      <c r="BI20" s="68">
        <f t="shared" si="2"/>
        <v>0.13062499999999999</v>
      </c>
      <c r="BJ20" s="68">
        <f t="shared" si="2"/>
        <v>0.24308333333333332</v>
      </c>
      <c r="BK20" s="68">
        <f t="shared" si="8"/>
        <v>0.25487500000000002</v>
      </c>
      <c r="BL20" s="68">
        <f t="shared" si="2"/>
        <v>0.158</v>
      </c>
      <c r="BM20" s="68">
        <f t="shared" si="2"/>
        <v>0.13204166666666667</v>
      </c>
      <c r="BN20" s="68">
        <f t="shared" si="2"/>
        <v>0.23866666666666664</v>
      </c>
      <c r="BO20" s="68">
        <f t="shared" si="2"/>
        <v>0.156</v>
      </c>
      <c r="BP20" s="70">
        <f t="shared" si="3"/>
        <v>0.17820555555555553</v>
      </c>
      <c r="BQ20" s="198">
        <f t="shared" ref="BQ20:BQ29" si="13">$BQ$19</f>
        <v>0.168125</v>
      </c>
      <c r="BR20" s="72">
        <f t="shared" si="10"/>
        <v>16.8125</v>
      </c>
      <c r="BS20" s="73">
        <f t="shared" si="11"/>
        <v>-8.7499999999999994E-2</v>
      </c>
      <c r="BT20" s="74">
        <f t="shared" si="6"/>
        <v>1.0080555555555537E-2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62">
        <v>138.69999999999999</v>
      </c>
      <c r="E21" s="63">
        <v>281</v>
      </c>
      <c r="F21" s="63">
        <v>144.69999999999999</v>
      </c>
      <c r="G21" s="63">
        <v>166.8</v>
      </c>
      <c r="H21" s="63">
        <v>427.2</v>
      </c>
      <c r="I21" s="63">
        <v>464.6</v>
      </c>
      <c r="J21" s="283">
        <v>363</v>
      </c>
      <c r="K21" s="63">
        <v>419.4</v>
      </c>
      <c r="L21" s="283">
        <v>358.6</v>
      </c>
      <c r="M21" s="63">
        <v>244.7</v>
      </c>
      <c r="N21" s="63">
        <v>508.7</v>
      </c>
      <c r="O21" s="63">
        <v>421.6</v>
      </c>
      <c r="P21" s="63">
        <v>346.5</v>
      </c>
      <c r="Q21" s="283">
        <v>204.7</v>
      </c>
      <c r="R21" s="63">
        <v>288.3</v>
      </c>
      <c r="S21" s="63">
        <v>323.3</v>
      </c>
      <c r="T21" s="282">
        <v>333.1</v>
      </c>
      <c r="U21" s="282">
        <v>211.9</v>
      </c>
      <c r="V21" s="282">
        <v>125.3</v>
      </c>
      <c r="W21" s="282">
        <v>182.1</v>
      </c>
      <c r="X21" s="282">
        <v>160.69999999999999</v>
      </c>
      <c r="Y21" s="282">
        <v>226.1</v>
      </c>
      <c r="Z21" s="208">
        <v>139</v>
      </c>
      <c r="AA21" s="321">
        <v>142.1</v>
      </c>
      <c r="AB21" s="366">
        <v>228.7</v>
      </c>
      <c r="AC21" s="354">
        <v>218</v>
      </c>
      <c r="AD21" s="282">
        <v>108.4</v>
      </c>
      <c r="AE21" s="354">
        <v>135.30000000000001</v>
      </c>
      <c r="AF21" s="354">
        <v>191.1</v>
      </c>
      <c r="AG21" s="354">
        <v>130.69999999999999</v>
      </c>
      <c r="AH21" s="390">
        <v>129.30000000000001</v>
      </c>
      <c r="AI21" s="290">
        <f t="shared" si="7"/>
        <v>7763.6000000000013</v>
      </c>
      <c r="AJ21" s="118">
        <v>100</v>
      </c>
      <c r="AK21" s="121">
        <f t="shared" si="9"/>
        <v>3.3495370370370367E-3</v>
      </c>
      <c r="AL21" s="67">
        <f t="shared" ref="AL21:AT31" si="14">IF(OR(D21="",D21="Sem monitoramento"),"VAZIO",IFERROR(D21/($AJ21*24),"-"))</f>
        <v>5.7791666666666665E-2</v>
      </c>
      <c r="AM21" s="68">
        <f t="shared" si="14"/>
        <v>0.11708333333333333</v>
      </c>
      <c r="AN21" s="68">
        <f t="shared" si="14"/>
        <v>6.029166666666666E-2</v>
      </c>
      <c r="AO21" s="68">
        <f t="shared" si="14"/>
        <v>6.9500000000000006E-2</v>
      </c>
      <c r="AP21" s="68">
        <f t="shared" si="14"/>
        <v>0.17799999999999999</v>
      </c>
      <c r="AQ21" s="68">
        <f t="shared" si="14"/>
        <v>0.19358333333333333</v>
      </c>
      <c r="AR21" s="68">
        <f t="shared" si="14"/>
        <v>0.15125</v>
      </c>
      <c r="AS21" s="68">
        <f t="shared" si="14"/>
        <v>0.17474999999999999</v>
      </c>
      <c r="AT21" s="68" t="e">
        <f>IF(OR(#REF!="",#REF!="Sem monitoramento"),"VAZIO",IFERROR(#REF!/($AJ21*24),"-"))</f>
        <v>#REF!</v>
      </c>
      <c r="AU21" s="68" t="e">
        <f>IF(OR(#REF!="",#REF!="Sem monitoramento"),"VAZIO",IFERROR(#REF!/($AJ21*24),"-"))</f>
        <v>#REF!</v>
      </c>
      <c r="AV21" s="68" t="e">
        <f>IF(OR(#REF!="",#REF!="Sem monitoramento"),"VAZIO",IFERROR(#REF!/($AJ21*24),"-"))</f>
        <v>#REF!</v>
      </c>
      <c r="AW21" s="68">
        <f t="shared" ref="AU21:BA31" si="15">IF(OR(O21="",O21="Sem monitoramento"),"VAZIO",IFERROR(O21/($AJ21*24),"-"))</f>
        <v>0.17566666666666667</v>
      </c>
      <c r="AX21" s="68">
        <f t="shared" si="15"/>
        <v>0.144375</v>
      </c>
      <c r="AY21" s="68">
        <f t="shared" si="15"/>
        <v>8.5291666666666668E-2</v>
      </c>
      <c r="AZ21" s="68">
        <f t="shared" si="15"/>
        <v>0.12012500000000001</v>
      </c>
      <c r="BA21" s="68" t="e">
        <f>IF(OR(#REF!="",#REF!="Sem monitoramento"),"VAZIO",IFERROR(#REF!/($AJ21*24),"-"))</f>
        <v>#REF!</v>
      </c>
      <c r="BB21" s="68">
        <f t="shared" si="12"/>
        <v>0.13879166666666667</v>
      </c>
      <c r="BC21" s="68">
        <f t="shared" si="12"/>
        <v>8.8291666666666671E-2</v>
      </c>
      <c r="BD21" s="68">
        <f t="shared" si="12"/>
        <v>5.2208333333333329E-2</v>
      </c>
      <c r="BE21" s="68">
        <f t="shared" si="12"/>
        <v>7.5874999999999998E-2</v>
      </c>
      <c r="BF21" s="68" t="e">
        <f>IF(OR(#REF!="",#REF!="Sem monitoramento"),"VAZIO",IFERROR(#REF!/($AJ21*24),"-"))</f>
        <v>#REF!</v>
      </c>
      <c r="BG21" s="68">
        <f t="shared" si="12"/>
        <v>9.4208333333333324E-2</v>
      </c>
      <c r="BH21" s="68">
        <f t="shared" si="12"/>
        <v>5.7916666666666665E-2</v>
      </c>
      <c r="BI21" s="68">
        <f t="shared" si="12"/>
        <v>5.9208333333333328E-2</v>
      </c>
      <c r="BJ21" s="68">
        <f>IF(OR(AB20="",AB20="Sem monitoramento"),"VAZIO",IFERROR(AB20/($AJ21*24),"-"))</f>
        <v>0.24308333333333332</v>
      </c>
      <c r="BK21" s="68">
        <f t="shared" si="8"/>
        <v>9.0833333333333335E-2</v>
      </c>
      <c r="BL21" s="68">
        <f t="shared" si="8"/>
        <v>4.5166666666666667E-2</v>
      </c>
      <c r="BM21" s="68">
        <f t="shared" si="8"/>
        <v>5.6375000000000001E-2</v>
      </c>
      <c r="BN21" s="68">
        <f t="shared" si="8"/>
        <v>7.9625000000000001E-2</v>
      </c>
      <c r="BO21" s="68">
        <f t="shared" si="8"/>
        <v>5.4458333333333331E-2</v>
      </c>
      <c r="BP21" s="70">
        <f t="shared" si="3"/>
        <v>0.1078277777777778</v>
      </c>
      <c r="BQ21" s="198">
        <f t="shared" si="13"/>
        <v>0.168125</v>
      </c>
      <c r="BR21" s="72">
        <f t="shared" si="10"/>
        <v>16.8125</v>
      </c>
      <c r="BS21" s="73">
        <f t="shared" si="11"/>
        <v>-0.10783333333333334</v>
      </c>
      <c r="BT21" s="74">
        <f t="shared" si="6"/>
        <v>-6.0297222222222197E-2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62">
        <v>277.60000000000002</v>
      </c>
      <c r="E22" s="63">
        <v>334.9</v>
      </c>
      <c r="F22" s="63">
        <v>320.5</v>
      </c>
      <c r="G22" s="63">
        <v>286.7</v>
      </c>
      <c r="H22" s="63">
        <v>586.79999999999995</v>
      </c>
      <c r="I22" s="63">
        <v>620.79999999999995</v>
      </c>
      <c r="J22" s="63">
        <v>554</v>
      </c>
      <c r="K22" s="63">
        <v>569.6</v>
      </c>
      <c r="L22" s="63">
        <v>599</v>
      </c>
      <c r="M22" s="63">
        <v>569.79999999999995</v>
      </c>
      <c r="N22" s="63">
        <v>472.1</v>
      </c>
      <c r="O22" s="63">
        <v>471.8</v>
      </c>
      <c r="P22" s="63">
        <v>433</v>
      </c>
      <c r="Q22" s="283">
        <v>327</v>
      </c>
      <c r="R22" s="63">
        <v>436</v>
      </c>
      <c r="S22" s="63">
        <v>658.3</v>
      </c>
      <c r="T22" s="63">
        <v>597.5</v>
      </c>
      <c r="U22" s="63">
        <v>542.79999999999995</v>
      </c>
      <c r="V22" s="63">
        <v>381.7</v>
      </c>
      <c r="W22" s="283">
        <v>274.10000000000002</v>
      </c>
      <c r="X22" s="63">
        <v>194.7</v>
      </c>
      <c r="Y22" s="63">
        <v>621.6</v>
      </c>
      <c r="Z22" s="207">
        <v>329.1</v>
      </c>
      <c r="AA22" s="18">
        <v>420.8</v>
      </c>
      <c r="AB22" s="20">
        <v>594.79999999999995</v>
      </c>
      <c r="AC22" s="15">
        <v>649.6</v>
      </c>
      <c r="AD22" s="221">
        <v>455.8</v>
      </c>
      <c r="AE22" s="15">
        <v>440.7</v>
      </c>
      <c r="AF22" s="15">
        <v>617.4</v>
      </c>
      <c r="AG22" s="15">
        <v>587.79999999999995</v>
      </c>
      <c r="AH22" s="371">
        <v>368</v>
      </c>
      <c r="AI22" s="290">
        <f t="shared" si="7"/>
        <v>14594.300000000001</v>
      </c>
      <c r="AJ22" s="118">
        <v>100</v>
      </c>
      <c r="AK22" s="121">
        <f t="shared" si="9"/>
        <v>7.4189814814814813E-3</v>
      </c>
      <c r="AL22" s="67">
        <f t="shared" si="14"/>
        <v>0.11566666666666668</v>
      </c>
      <c r="AM22" s="68">
        <f t="shared" si="14"/>
        <v>0.13954166666666665</v>
      </c>
      <c r="AN22" s="68">
        <f t="shared" si="14"/>
        <v>0.13354166666666667</v>
      </c>
      <c r="AO22" s="68">
        <f t="shared" si="14"/>
        <v>0.11945833333333333</v>
      </c>
      <c r="AP22" s="68">
        <f t="shared" si="14"/>
        <v>0.24449999999999997</v>
      </c>
      <c r="AQ22" s="68">
        <f t="shared" si="14"/>
        <v>0.25866666666666666</v>
      </c>
      <c r="AR22" s="68">
        <f t="shared" si="14"/>
        <v>0.23083333333333333</v>
      </c>
      <c r="AS22" s="68">
        <f t="shared" si="14"/>
        <v>0.23733333333333334</v>
      </c>
      <c r="AT22" s="68">
        <f t="shared" si="14"/>
        <v>0.24958333333333332</v>
      </c>
      <c r="AU22" s="68">
        <f t="shared" si="15"/>
        <v>0.23741666666666664</v>
      </c>
      <c r="AV22" s="68">
        <f t="shared" si="15"/>
        <v>0.19670833333333335</v>
      </c>
      <c r="AW22" s="68">
        <f t="shared" si="15"/>
        <v>0.19658333333333333</v>
      </c>
      <c r="AX22" s="68">
        <f t="shared" si="15"/>
        <v>0.18041666666666667</v>
      </c>
      <c r="AY22" s="68">
        <f t="shared" si="15"/>
        <v>0.13625000000000001</v>
      </c>
      <c r="AZ22" s="68">
        <f t="shared" si="15"/>
        <v>0.18166666666666667</v>
      </c>
      <c r="BA22" s="68">
        <f t="shared" si="15"/>
        <v>0.27429166666666666</v>
      </c>
      <c r="BB22" s="68">
        <f t="shared" si="12"/>
        <v>0.24895833333333334</v>
      </c>
      <c r="BC22" s="68">
        <f t="shared" si="12"/>
        <v>0.22616666666666665</v>
      </c>
      <c r="BD22" s="68">
        <f t="shared" si="12"/>
        <v>0.15904166666666666</v>
      </c>
      <c r="BE22" s="68">
        <f t="shared" si="12"/>
        <v>0.11420833333333334</v>
      </c>
      <c r="BF22" s="68">
        <f t="shared" si="12"/>
        <v>8.1124999999999989E-2</v>
      </c>
      <c r="BG22" s="68">
        <f t="shared" si="12"/>
        <v>0.25900000000000001</v>
      </c>
      <c r="BH22" s="68">
        <f t="shared" si="12"/>
        <v>0.137125</v>
      </c>
      <c r="BI22" s="68">
        <f t="shared" si="12"/>
        <v>0.17533333333333334</v>
      </c>
      <c r="BJ22" s="68">
        <f>IF(OR(AB21="",AB21="Sem monitoramento"),"VAZIO",IFERROR(AB21/($AJ22*24),"-"))</f>
        <v>9.5291666666666663E-2</v>
      </c>
      <c r="BK22" s="68">
        <f t="shared" si="8"/>
        <v>0.27066666666666667</v>
      </c>
      <c r="BL22" s="68">
        <f t="shared" si="8"/>
        <v>0.18991666666666668</v>
      </c>
      <c r="BM22" s="68">
        <f t="shared" si="8"/>
        <v>0.18362499999999998</v>
      </c>
      <c r="BN22" s="68">
        <f t="shared" si="8"/>
        <v>0.25724999999999998</v>
      </c>
      <c r="BO22" s="68">
        <f t="shared" si="8"/>
        <v>0.24491666666666664</v>
      </c>
      <c r="BP22" s="70">
        <f t="shared" si="3"/>
        <v>0.20269861111111112</v>
      </c>
      <c r="BQ22" s="198">
        <f t="shared" si="13"/>
        <v>0.168125</v>
      </c>
      <c r="BR22" s="72">
        <f t="shared" si="10"/>
        <v>16.8125</v>
      </c>
      <c r="BS22" s="73">
        <f t="shared" si="11"/>
        <v>-3.4583333333333327E-2</v>
      </c>
      <c r="BT22" s="74">
        <f t="shared" si="6"/>
        <v>3.4573611111111124E-2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217.9</v>
      </c>
      <c r="E23" s="63">
        <v>262.3</v>
      </c>
      <c r="F23" s="283">
        <v>254.8</v>
      </c>
      <c r="G23" s="63">
        <v>224.8</v>
      </c>
      <c r="H23" s="63">
        <v>511.4</v>
      </c>
      <c r="I23" s="63">
        <v>535.5</v>
      </c>
      <c r="J23" s="63">
        <v>465</v>
      </c>
      <c r="K23" s="63">
        <v>506.6</v>
      </c>
      <c r="L23" s="63">
        <v>528.29999999999995</v>
      </c>
      <c r="M23" s="63">
        <v>481.9</v>
      </c>
      <c r="N23" s="63">
        <v>427.5</v>
      </c>
      <c r="O23" s="316">
        <v>415.4</v>
      </c>
      <c r="P23" s="63">
        <v>379.6</v>
      </c>
      <c r="Q23" s="283">
        <v>252.7</v>
      </c>
      <c r="R23" s="63">
        <v>360</v>
      </c>
      <c r="S23" s="63">
        <v>576.6</v>
      </c>
      <c r="T23" s="63">
        <v>532.20000000000005</v>
      </c>
      <c r="U23" s="63">
        <v>482.1</v>
      </c>
      <c r="V23" s="63">
        <v>307</v>
      </c>
      <c r="W23" s="283">
        <v>464.1</v>
      </c>
      <c r="X23" s="63">
        <v>423.9</v>
      </c>
      <c r="Y23" s="63">
        <v>530.5</v>
      </c>
      <c r="Z23" s="207">
        <v>260</v>
      </c>
      <c r="AA23" s="18">
        <v>330.4</v>
      </c>
      <c r="AB23" s="20">
        <v>503.4</v>
      </c>
      <c r="AC23" s="15">
        <v>563.1</v>
      </c>
      <c r="AD23" s="15">
        <v>375.7</v>
      </c>
      <c r="AE23" s="15">
        <v>346.3</v>
      </c>
      <c r="AF23" s="15">
        <v>544.5</v>
      </c>
      <c r="AG23" s="15">
        <v>492.8</v>
      </c>
      <c r="AH23" s="371">
        <v>301.89999999999998</v>
      </c>
      <c r="AI23" s="290">
        <f t="shared" si="7"/>
        <v>12858.199999999999</v>
      </c>
      <c r="AJ23" s="118">
        <v>100</v>
      </c>
      <c r="AK23" s="121">
        <f t="shared" si="9"/>
        <v>5.898148148148148E-3</v>
      </c>
      <c r="AL23" s="67">
        <f t="shared" si="14"/>
        <v>9.0791666666666673E-2</v>
      </c>
      <c r="AM23" s="68">
        <f t="shared" si="14"/>
        <v>0.10929166666666668</v>
      </c>
      <c r="AN23" s="68">
        <f t="shared" si="14"/>
        <v>0.10616666666666667</v>
      </c>
      <c r="AO23" s="68">
        <f t="shared" si="14"/>
        <v>9.3666666666666676E-2</v>
      </c>
      <c r="AP23" s="68">
        <f t="shared" si="14"/>
        <v>0.21308333333333332</v>
      </c>
      <c r="AQ23" s="68">
        <f t="shared" si="14"/>
        <v>0.22312499999999999</v>
      </c>
      <c r="AR23" s="68">
        <f t="shared" si="14"/>
        <v>0.19375000000000001</v>
      </c>
      <c r="AS23" s="68">
        <f>IF(OR(K23="",K23="Sem monitoramento"),"VAZIO",IFERROR(K23/($AJ23*24),"-"))</f>
        <v>0.21108333333333335</v>
      </c>
      <c r="AT23" s="68">
        <f t="shared" si="14"/>
        <v>0.22012499999999999</v>
      </c>
      <c r="AU23" s="68">
        <f t="shared" si="15"/>
        <v>0.20079166666666665</v>
      </c>
      <c r="AV23" s="68">
        <f t="shared" si="15"/>
        <v>0.17812500000000001</v>
      </c>
      <c r="AW23" s="68">
        <f>IF(OR(O20="",O20="Sem monitoramento"),"VAZIO",IFERROR(O20/($AJ23*24),"-"))</f>
        <v>0.22466666666666668</v>
      </c>
      <c r="AX23" s="68">
        <f t="shared" si="15"/>
        <v>0.15816666666666668</v>
      </c>
      <c r="AY23" s="68">
        <f t="shared" si="15"/>
        <v>0.10529166666666666</v>
      </c>
      <c r="AZ23" s="68">
        <f t="shared" si="15"/>
        <v>0.15</v>
      </c>
      <c r="BA23" s="68">
        <f t="shared" si="15"/>
        <v>0.24025000000000002</v>
      </c>
      <c r="BB23" s="68">
        <f t="shared" si="12"/>
        <v>0.22175000000000003</v>
      </c>
      <c r="BC23" s="68">
        <f t="shared" si="12"/>
        <v>0.200875</v>
      </c>
      <c r="BD23" s="68">
        <f t="shared" si="12"/>
        <v>0.12791666666666668</v>
      </c>
      <c r="BE23" s="68">
        <f t="shared" si="12"/>
        <v>0.19337500000000002</v>
      </c>
      <c r="BF23" s="68">
        <f t="shared" si="12"/>
        <v>0.176625</v>
      </c>
      <c r="BG23" s="68">
        <f t="shared" si="12"/>
        <v>0.22104166666666666</v>
      </c>
      <c r="BH23" s="68">
        <f t="shared" si="12"/>
        <v>0.10833333333333334</v>
      </c>
      <c r="BI23" s="68">
        <f t="shared" si="12"/>
        <v>0.13766666666666666</v>
      </c>
      <c r="BJ23" s="68">
        <f t="shared" si="12"/>
        <v>0.20974999999999999</v>
      </c>
      <c r="BK23" s="68">
        <f t="shared" si="8"/>
        <v>0.234625</v>
      </c>
      <c r="BL23" s="68">
        <f t="shared" si="8"/>
        <v>0.15654166666666666</v>
      </c>
      <c r="BM23" s="68">
        <f t="shared" si="8"/>
        <v>0.14429166666666668</v>
      </c>
      <c r="BN23" s="68">
        <f t="shared" si="8"/>
        <v>0.22687499999999999</v>
      </c>
      <c r="BO23" s="68">
        <f t="shared" si="8"/>
        <v>0.20533333333333334</v>
      </c>
      <c r="BP23" s="70">
        <f t="shared" si="3"/>
        <v>0.17858611111111108</v>
      </c>
      <c r="BQ23" s="198">
        <f t="shared" si="13"/>
        <v>0.168125</v>
      </c>
      <c r="BR23" s="72">
        <f t="shared" si="10"/>
        <v>16.8125</v>
      </c>
      <c r="BS23" s="73">
        <f t="shared" si="11"/>
        <v>-6.1958333333333324E-2</v>
      </c>
      <c r="BT23" s="74">
        <f t="shared" si="6"/>
        <v>1.0461111111111088E-2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845.4</v>
      </c>
      <c r="E24" s="63">
        <v>1010</v>
      </c>
      <c r="F24" s="63">
        <v>984.4</v>
      </c>
      <c r="G24" s="63">
        <v>872.1</v>
      </c>
      <c r="H24" s="63">
        <v>1970</v>
      </c>
      <c r="I24" s="63">
        <v>2000</v>
      </c>
      <c r="J24" s="63">
        <v>1730</v>
      </c>
      <c r="K24" s="63">
        <v>1807.1</v>
      </c>
      <c r="L24" s="63">
        <v>1945</v>
      </c>
      <c r="M24" s="63">
        <v>1750</v>
      </c>
      <c r="N24" s="63">
        <v>1490</v>
      </c>
      <c r="O24" s="63">
        <v>1495</v>
      </c>
      <c r="P24" s="63">
        <v>1400</v>
      </c>
      <c r="Q24" s="283">
        <v>983.8</v>
      </c>
      <c r="R24" s="63">
        <v>1400</v>
      </c>
      <c r="S24" s="63">
        <v>2046.6</v>
      </c>
      <c r="T24" s="63">
        <v>1816.6</v>
      </c>
      <c r="U24" s="63">
        <v>1680</v>
      </c>
      <c r="V24" s="63">
        <v>1185</v>
      </c>
      <c r="W24" s="283">
        <v>1706.1</v>
      </c>
      <c r="X24" s="63">
        <v>1647.4</v>
      </c>
      <c r="Y24" s="63">
        <v>2060</v>
      </c>
      <c r="Z24" s="207">
        <v>1010</v>
      </c>
      <c r="AA24" s="18">
        <v>1291.4000000000001</v>
      </c>
      <c r="AB24" s="366">
        <v>826.8</v>
      </c>
      <c r="AC24" s="354">
        <v>1.4</v>
      </c>
      <c r="AD24" s="15">
        <v>1430</v>
      </c>
      <c r="AE24" s="15">
        <v>1350</v>
      </c>
      <c r="AF24" s="15">
        <v>2060</v>
      </c>
      <c r="AG24" s="15">
        <v>1851.2</v>
      </c>
      <c r="AH24" s="371">
        <v>1156.5</v>
      </c>
      <c r="AI24" s="290">
        <f t="shared" si="7"/>
        <v>44801.8</v>
      </c>
      <c r="AJ24" s="118">
        <v>360</v>
      </c>
      <c r="AK24" s="121">
        <f t="shared" si="9"/>
        <v>6.3297325102880655E-3</v>
      </c>
      <c r="AL24" s="67">
        <f t="shared" si="14"/>
        <v>9.7847222222222224E-2</v>
      </c>
      <c r="AM24" s="68">
        <f t="shared" si="14"/>
        <v>0.11689814814814815</v>
      </c>
      <c r="AN24" s="68">
        <f t="shared" si="14"/>
        <v>0.11393518518518518</v>
      </c>
      <c r="AO24" s="68">
        <f t="shared" si="14"/>
        <v>0.1009375</v>
      </c>
      <c r="AP24" s="68">
        <f t="shared" si="14"/>
        <v>0.22800925925925927</v>
      </c>
      <c r="AQ24" s="68">
        <f t="shared" si="14"/>
        <v>0.23148148148148148</v>
      </c>
      <c r="AR24" s="68">
        <f t="shared" si="14"/>
        <v>0.20023148148148148</v>
      </c>
      <c r="AS24" s="68">
        <f>IF(OR(K24="",K24="Sem monitoramento"),"VAZIO",IFERROR(K24/($AJ24*24),"-"))</f>
        <v>0.20915509259259257</v>
      </c>
      <c r="AT24" s="68">
        <f t="shared" si="14"/>
        <v>0.22511574074074073</v>
      </c>
      <c r="AU24" s="68">
        <f t="shared" si="15"/>
        <v>0.20254629629629631</v>
      </c>
      <c r="AV24" s="68">
        <f t="shared" si="15"/>
        <v>0.17245370370370369</v>
      </c>
      <c r="AW24" s="68">
        <f t="shared" si="15"/>
        <v>0.17303240740740741</v>
      </c>
      <c r="AX24" s="68">
        <f t="shared" si="15"/>
        <v>0.16203703703703703</v>
      </c>
      <c r="AY24" s="68">
        <f t="shared" si="15"/>
        <v>0.11386574074074074</v>
      </c>
      <c r="AZ24" s="68">
        <f t="shared" si="15"/>
        <v>0.16203703703703703</v>
      </c>
      <c r="BA24" s="68">
        <f t="shared" si="15"/>
        <v>0.236875</v>
      </c>
      <c r="BB24" s="68">
        <f t="shared" si="12"/>
        <v>0.21025462962962962</v>
      </c>
      <c r="BC24" s="68">
        <f t="shared" si="12"/>
        <v>0.19444444444444445</v>
      </c>
      <c r="BD24" s="68">
        <f t="shared" si="12"/>
        <v>0.13715277777777779</v>
      </c>
      <c r="BE24" s="68">
        <f t="shared" si="12"/>
        <v>0.19746527777777775</v>
      </c>
      <c r="BF24" s="68">
        <f t="shared" si="12"/>
        <v>0.19067129629629631</v>
      </c>
      <c r="BG24" s="68">
        <f t="shared" si="12"/>
        <v>0.23842592592592593</v>
      </c>
      <c r="BH24" s="68">
        <f t="shared" si="12"/>
        <v>0.11689814814814815</v>
      </c>
      <c r="BI24" s="68">
        <f t="shared" si="12"/>
        <v>0.1494675925925926</v>
      </c>
      <c r="BJ24" s="68">
        <f t="shared" si="12"/>
        <v>9.5694444444444443E-2</v>
      </c>
      <c r="BK24" s="68">
        <f t="shared" si="8"/>
        <v>1.6203703703703703E-4</v>
      </c>
      <c r="BL24" s="68">
        <f t="shared" si="8"/>
        <v>0.16550925925925927</v>
      </c>
      <c r="BM24" s="68">
        <f t="shared" si="8"/>
        <v>0.15625</v>
      </c>
      <c r="BN24" s="68">
        <f t="shared" si="8"/>
        <v>0.23842592592592593</v>
      </c>
      <c r="BO24" s="68">
        <f t="shared" si="8"/>
        <v>0.21425925925925926</v>
      </c>
      <c r="BP24" s="70">
        <f t="shared" si="3"/>
        <v>0.17284645061728396</v>
      </c>
      <c r="BQ24" s="198">
        <f t="shared" si="13"/>
        <v>0.168125</v>
      </c>
      <c r="BR24" s="72">
        <f t="shared" si="10"/>
        <v>60.524999999999999</v>
      </c>
      <c r="BS24" s="73">
        <f t="shared" si="11"/>
        <v>-5.4189814814814816E-2</v>
      </c>
      <c r="BT24" s="74">
        <f t="shared" si="6"/>
        <v>4.7214506172839621E-3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188.8</v>
      </c>
      <c r="E25" s="63">
        <v>390.6</v>
      </c>
      <c r="F25" s="63">
        <v>388.8</v>
      </c>
      <c r="G25" s="63">
        <v>353.1</v>
      </c>
      <c r="H25" s="63">
        <v>583.20000000000005</v>
      </c>
      <c r="I25" s="63">
        <v>421.3</v>
      </c>
      <c r="J25" s="63">
        <v>591.1</v>
      </c>
      <c r="K25" s="63">
        <v>575.79999999999995</v>
      </c>
      <c r="L25" s="63">
        <v>555.70000000000005</v>
      </c>
      <c r="M25" s="63">
        <v>610.4</v>
      </c>
      <c r="N25" s="63">
        <v>561.79999999999995</v>
      </c>
      <c r="O25" s="63">
        <v>411.4</v>
      </c>
      <c r="P25" s="63">
        <v>310</v>
      </c>
      <c r="Q25" s="283">
        <v>467.7</v>
      </c>
      <c r="R25" s="63">
        <v>564.4</v>
      </c>
      <c r="S25" s="63">
        <v>636.6</v>
      </c>
      <c r="T25" s="63">
        <v>460.1</v>
      </c>
      <c r="U25" s="63">
        <v>489.1</v>
      </c>
      <c r="V25" s="283">
        <v>365.6</v>
      </c>
      <c r="W25" s="283">
        <v>455.7</v>
      </c>
      <c r="X25" s="63">
        <v>517.20000000000005</v>
      </c>
      <c r="Y25" s="63">
        <v>430.1</v>
      </c>
      <c r="Z25" s="383">
        <v>86.1</v>
      </c>
      <c r="AA25" s="18">
        <v>367</v>
      </c>
      <c r="AB25" s="20">
        <v>500.5</v>
      </c>
      <c r="AC25" s="15">
        <v>585.20000000000005</v>
      </c>
      <c r="AD25" s="15">
        <v>458.8</v>
      </c>
      <c r="AE25" s="15">
        <v>407.8</v>
      </c>
      <c r="AF25" s="15">
        <v>567.29999999999995</v>
      </c>
      <c r="AG25" s="15">
        <v>584.6</v>
      </c>
      <c r="AH25" s="371">
        <v>396.7</v>
      </c>
      <c r="AI25" s="290">
        <f t="shared" si="7"/>
        <v>14282.500000000002</v>
      </c>
      <c r="AJ25" s="118">
        <v>100</v>
      </c>
      <c r="AK25" s="121">
        <f t="shared" si="9"/>
        <v>9.0000000000000011E-3</v>
      </c>
      <c r="AL25" s="67">
        <f t="shared" si="14"/>
        <v>7.8666666666666676E-2</v>
      </c>
      <c r="AM25" s="68">
        <f t="shared" si="14"/>
        <v>0.16275000000000001</v>
      </c>
      <c r="AN25" s="68">
        <f t="shared" si="14"/>
        <v>0.16200000000000001</v>
      </c>
      <c r="AO25" s="68">
        <f t="shared" si="14"/>
        <v>0.14712500000000001</v>
      </c>
      <c r="AP25" s="68">
        <f t="shared" si="14"/>
        <v>0.24300000000000002</v>
      </c>
      <c r="AQ25" s="68">
        <f t="shared" si="14"/>
        <v>0.17554166666666668</v>
      </c>
      <c r="AR25" s="68">
        <f t="shared" si="14"/>
        <v>0.24629166666666669</v>
      </c>
      <c r="AS25" s="68">
        <f t="shared" si="14"/>
        <v>0.23991666666666664</v>
      </c>
      <c r="AT25" s="68">
        <f t="shared" si="14"/>
        <v>0.23154166666666667</v>
      </c>
      <c r="AU25" s="68">
        <f t="shared" si="15"/>
        <v>0.2543333333333333</v>
      </c>
      <c r="AV25" s="68">
        <f t="shared" si="15"/>
        <v>0.23408333333333331</v>
      </c>
      <c r="AW25" s="68">
        <f t="shared" si="15"/>
        <v>0.17141666666666666</v>
      </c>
      <c r="AX25" s="68">
        <f t="shared" si="15"/>
        <v>0.12916666666666668</v>
      </c>
      <c r="AY25" s="68">
        <f t="shared" si="15"/>
        <v>0.19487499999999999</v>
      </c>
      <c r="AZ25" s="68">
        <f t="shared" si="15"/>
        <v>0.23516666666666666</v>
      </c>
      <c r="BA25" s="68">
        <f t="shared" si="15"/>
        <v>0.26524999999999999</v>
      </c>
      <c r="BB25" s="68">
        <f t="shared" si="12"/>
        <v>0.19170833333333334</v>
      </c>
      <c r="BC25" s="68">
        <f t="shared" si="12"/>
        <v>0.20379166666666668</v>
      </c>
      <c r="BD25" s="68">
        <f t="shared" si="12"/>
        <v>0.15233333333333335</v>
      </c>
      <c r="BE25" s="68">
        <f t="shared" si="12"/>
        <v>0.18987499999999999</v>
      </c>
      <c r="BF25" s="68">
        <f t="shared" si="12"/>
        <v>0.21550000000000002</v>
      </c>
      <c r="BG25" s="68">
        <f t="shared" si="12"/>
        <v>0.17920833333333333</v>
      </c>
      <c r="BH25" s="68">
        <f t="shared" si="12"/>
        <v>3.5874999999999997E-2</v>
      </c>
      <c r="BI25" s="68">
        <f t="shared" si="12"/>
        <v>0.15291666666666667</v>
      </c>
      <c r="BJ25" s="68">
        <f t="shared" si="12"/>
        <v>0.20854166666666665</v>
      </c>
      <c r="BK25" s="68">
        <f t="shared" si="8"/>
        <v>0.24383333333333335</v>
      </c>
      <c r="BL25" s="68">
        <f t="shared" si="8"/>
        <v>0.19116666666666668</v>
      </c>
      <c r="BM25" s="68">
        <f t="shared" si="8"/>
        <v>0.16991666666666666</v>
      </c>
      <c r="BN25" s="68">
        <f t="shared" si="8"/>
        <v>0.23637499999999997</v>
      </c>
      <c r="BO25" s="68">
        <f t="shared" si="8"/>
        <v>0.24358333333333335</v>
      </c>
      <c r="BP25" s="70">
        <f t="shared" si="3"/>
        <v>0.19836805555555559</v>
      </c>
      <c r="BQ25" s="198">
        <f t="shared" si="13"/>
        <v>0.168125</v>
      </c>
      <c r="BR25" s="72">
        <f t="shared" si="10"/>
        <v>16.8125</v>
      </c>
      <c r="BS25" s="73">
        <f t="shared" si="11"/>
        <v>-6.1249999999999916E-3</v>
      </c>
      <c r="BT25" s="74">
        <f t="shared" si="6"/>
        <v>3.0243055555555592E-2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210.7</v>
      </c>
      <c r="E26" s="63">
        <v>365.8</v>
      </c>
      <c r="F26" s="63">
        <v>348.2</v>
      </c>
      <c r="G26" s="63">
        <v>285</v>
      </c>
      <c r="H26" s="63">
        <v>508.3</v>
      </c>
      <c r="I26" s="283">
        <v>450.3</v>
      </c>
      <c r="J26" s="63">
        <v>509.9</v>
      </c>
      <c r="K26" s="63">
        <v>523.29999999999995</v>
      </c>
      <c r="L26" s="63">
        <v>508.8</v>
      </c>
      <c r="M26" s="63">
        <v>533.70000000000005</v>
      </c>
      <c r="N26" s="63">
        <v>312.10000000000002</v>
      </c>
      <c r="O26" s="63">
        <v>327.10000000000002</v>
      </c>
      <c r="P26" s="63">
        <v>299.60000000000002</v>
      </c>
      <c r="Q26" s="283">
        <v>278.7</v>
      </c>
      <c r="R26" s="63">
        <v>359</v>
      </c>
      <c r="S26" s="63">
        <v>549.5</v>
      </c>
      <c r="T26" s="63">
        <v>473.4</v>
      </c>
      <c r="U26" s="63">
        <v>398.3</v>
      </c>
      <c r="V26" s="283">
        <v>350.1</v>
      </c>
      <c r="W26" s="283">
        <v>457.5</v>
      </c>
      <c r="X26" s="63">
        <v>454.5</v>
      </c>
      <c r="Y26" s="63">
        <v>539.6</v>
      </c>
      <c r="Z26" s="230">
        <v>229.9</v>
      </c>
      <c r="AA26" s="320">
        <v>301.39999999999998</v>
      </c>
      <c r="AB26" s="20">
        <v>470.8</v>
      </c>
      <c r="AC26" s="15">
        <v>467</v>
      </c>
      <c r="AD26" s="221">
        <v>447.6</v>
      </c>
      <c r="AE26" s="15">
        <v>438.5</v>
      </c>
      <c r="AF26" s="283">
        <v>551.70000000000005</v>
      </c>
      <c r="AG26" s="354">
        <v>217.8</v>
      </c>
      <c r="AH26" s="371">
        <v>217.4</v>
      </c>
      <c r="AI26" s="290">
        <f t="shared" si="7"/>
        <v>12385.5</v>
      </c>
      <c r="AJ26" s="118">
        <v>100</v>
      </c>
      <c r="AK26" s="121">
        <f>F26/(AJ26*432)</f>
        <v>8.0601851851851841E-3</v>
      </c>
      <c r="AL26" s="67">
        <f t="shared" si="14"/>
        <v>8.7791666666666657E-2</v>
      </c>
      <c r="AM26" s="68">
        <f t="shared" si="14"/>
        <v>0.15241666666666667</v>
      </c>
      <c r="AN26" s="68">
        <f t="shared" si="14"/>
        <v>0.14508333333333334</v>
      </c>
      <c r="AO26" s="68">
        <f t="shared" si="14"/>
        <v>0.11874999999999999</v>
      </c>
      <c r="AP26" s="68">
        <f t="shared" si="14"/>
        <v>0.21179166666666668</v>
      </c>
      <c r="AQ26" s="68">
        <f t="shared" si="14"/>
        <v>0.18762500000000001</v>
      </c>
      <c r="AR26" s="68">
        <f t="shared" si="14"/>
        <v>0.21245833333333333</v>
      </c>
      <c r="AS26" s="68">
        <f t="shared" si="14"/>
        <v>0.21804166666666666</v>
      </c>
      <c r="AT26" s="68">
        <f t="shared" si="14"/>
        <v>0.21199999999999999</v>
      </c>
      <c r="AU26" s="68">
        <f t="shared" si="15"/>
        <v>0.22237500000000002</v>
      </c>
      <c r="AV26" s="68">
        <f t="shared" si="15"/>
        <v>0.13004166666666667</v>
      </c>
      <c r="AW26" s="68">
        <f t="shared" si="15"/>
        <v>0.13629166666666667</v>
      </c>
      <c r="AX26" s="68">
        <f t="shared" si="15"/>
        <v>0.12483333333333334</v>
      </c>
      <c r="AY26" s="68">
        <f t="shared" si="15"/>
        <v>0.11612499999999999</v>
      </c>
      <c r="AZ26" s="68">
        <f t="shared" si="15"/>
        <v>0.14958333333333335</v>
      </c>
      <c r="BA26" s="68">
        <f t="shared" si="15"/>
        <v>0.22895833333333335</v>
      </c>
      <c r="BB26" s="68">
        <f t="shared" si="12"/>
        <v>0.19724999999999998</v>
      </c>
      <c r="BC26" s="68">
        <f t="shared" si="12"/>
        <v>0.16595833333333335</v>
      </c>
      <c r="BD26" s="68">
        <f t="shared" si="12"/>
        <v>0.145875</v>
      </c>
      <c r="BE26" s="68">
        <f t="shared" si="12"/>
        <v>0.19062499999999999</v>
      </c>
      <c r="BF26" s="68">
        <f t="shared" si="12"/>
        <v>0.18937499999999999</v>
      </c>
      <c r="BG26" s="68">
        <f t="shared" si="12"/>
        <v>0.22483333333333333</v>
      </c>
      <c r="BH26" s="68">
        <f t="shared" si="12"/>
        <v>9.5791666666666664E-2</v>
      </c>
      <c r="BI26" s="68">
        <f t="shared" si="12"/>
        <v>0.12558333333333332</v>
      </c>
      <c r="BJ26" s="68">
        <f t="shared" si="12"/>
        <v>0.19616666666666668</v>
      </c>
      <c r="BK26" s="68">
        <f t="shared" si="8"/>
        <v>0.19458333333333333</v>
      </c>
      <c r="BL26" s="68">
        <f t="shared" si="8"/>
        <v>0.1865</v>
      </c>
      <c r="BM26" s="68">
        <f t="shared" si="8"/>
        <v>0.18270833333333333</v>
      </c>
      <c r="BN26" s="68">
        <f t="shared" si="8"/>
        <v>0.22987500000000002</v>
      </c>
      <c r="BO26" s="68">
        <f t="shared" si="8"/>
        <v>9.0750000000000011E-2</v>
      </c>
      <c r="BP26" s="70">
        <f t="shared" si="3"/>
        <v>0.17202083333333335</v>
      </c>
      <c r="BQ26" s="198">
        <f t="shared" si="13"/>
        <v>0.168125</v>
      </c>
      <c r="BR26" s="72">
        <f t="shared" si="10"/>
        <v>16.8125</v>
      </c>
      <c r="BS26" s="73">
        <f t="shared" si="11"/>
        <v>-2.3041666666666655E-2</v>
      </c>
      <c r="BT26" s="74">
        <f t="shared" si="6"/>
        <v>3.8958333333333484E-3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133.30000000000001</v>
      </c>
      <c r="E27" s="63">
        <v>365.1</v>
      </c>
      <c r="F27" s="63">
        <v>328.2</v>
      </c>
      <c r="G27" s="308">
        <v>281.3</v>
      </c>
      <c r="H27" s="63">
        <v>384.1</v>
      </c>
      <c r="I27" s="283">
        <v>541</v>
      </c>
      <c r="J27" s="63">
        <v>498</v>
      </c>
      <c r="K27" s="283">
        <v>479.4</v>
      </c>
      <c r="L27" s="63">
        <v>518.9</v>
      </c>
      <c r="M27" s="63">
        <v>488.1</v>
      </c>
      <c r="N27" s="63">
        <v>356.4</v>
      </c>
      <c r="O27" s="63">
        <v>400.7</v>
      </c>
      <c r="P27" s="63">
        <v>230.6</v>
      </c>
      <c r="Q27" s="283">
        <v>355.8</v>
      </c>
      <c r="R27" s="63">
        <v>283.5</v>
      </c>
      <c r="S27" s="63">
        <v>541.70000000000005</v>
      </c>
      <c r="T27" s="283">
        <v>461.6</v>
      </c>
      <c r="U27" s="283">
        <v>393.8</v>
      </c>
      <c r="V27" s="283">
        <v>243.3</v>
      </c>
      <c r="W27" s="283">
        <v>329.4</v>
      </c>
      <c r="X27" s="283">
        <v>363.4</v>
      </c>
      <c r="Y27" s="63">
        <v>335.5</v>
      </c>
      <c r="Z27" s="383">
        <v>96.8</v>
      </c>
      <c r="AA27" s="320">
        <v>0</v>
      </c>
      <c r="AB27" s="323">
        <v>424</v>
      </c>
      <c r="AC27" s="283">
        <v>356.5</v>
      </c>
      <c r="AD27" s="221">
        <v>398.4</v>
      </c>
      <c r="AE27" s="354">
        <v>300</v>
      </c>
      <c r="AF27" s="15">
        <v>517.9</v>
      </c>
      <c r="AG27" s="15">
        <v>498</v>
      </c>
      <c r="AH27" s="64">
        <v>312.39999999999998</v>
      </c>
      <c r="AI27" s="290">
        <f t="shared" si="7"/>
        <v>11217.099999999999</v>
      </c>
      <c r="AJ27" s="118">
        <v>100</v>
      </c>
      <c r="AK27" s="121">
        <f>F27/(AJ27*432)</f>
        <v>7.5972222222222222E-3</v>
      </c>
      <c r="AL27" s="67">
        <f t="shared" si="14"/>
        <v>5.554166666666667E-2</v>
      </c>
      <c r="AM27" s="68">
        <f t="shared" si="14"/>
        <v>0.15212500000000001</v>
      </c>
      <c r="AN27" s="68">
        <f t="shared" si="14"/>
        <v>0.13674999999999998</v>
      </c>
      <c r="AO27" s="68">
        <f t="shared" si="14"/>
        <v>0.11720833333333334</v>
      </c>
      <c r="AP27" s="68">
        <f t="shared" si="14"/>
        <v>0.16004166666666667</v>
      </c>
      <c r="AQ27" s="68">
        <f t="shared" si="14"/>
        <v>0.22541666666666665</v>
      </c>
      <c r="AR27" s="68">
        <f t="shared" si="14"/>
        <v>0.20749999999999999</v>
      </c>
      <c r="AS27" s="68">
        <f t="shared" si="14"/>
        <v>0.19974999999999998</v>
      </c>
      <c r="AT27" s="68">
        <f t="shared" si="14"/>
        <v>0.21620833333333334</v>
      </c>
      <c r="AU27" s="68">
        <f t="shared" si="15"/>
        <v>0.203375</v>
      </c>
      <c r="AV27" s="68">
        <f t="shared" si="15"/>
        <v>0.14849999999999999</v>
      </c>
      <c r="AW27" s="68">
        <f t="shared" si="15"/>
        <v>0.16695833333333332</v>
      </c>
      <c r="AX27" s="68">
        <f t="shared" si="15"/>
        <v>9.6083333333333326E-2</v>
      </c>
      <c r="AY27" s="68">
        <f t="shared" si="15"/>
        <v>0.14824999999999999</v>
      </c>
      <c r="AZ27" s="68">
        <f t="shared" si="15"/>
        <v>0.11812499999999999</v>
      </c>
      <c r="BA27" s="68">
        <f t="shared" si="15"/>
        <v>0.22570833333333334</v>
      </c>
      <c r="BB27" s="68">
        <f t="shared" si="12"/>
        <v>0.19233333333333336</v>
      </c>
      <c r="BC27" s="68">
        <f t="shared" si="12"/>
        <v>0.16408333333333333</v>
      </c>
      <c r="BD27" s="68">
        <f t="shared" si="12"/>
        <v>0.10137500000000001</v>
      </c>
      <c r="BE27" s="68">
        <f t="shared" si="12"/>
        <v>0.13724999999999998</v>
      </c>
      <c r="BF27" s="68">
        <f t="shared" si="12"/>
        <v>0.15141666666666664</v>
      </c>
      <c r="BG27" s="68">
        <f t="shared" si="12"/>
        <v>0.13979166666666668</v>
      </c>
      <c r="BH27" s="68">
        <f t="shared" si="12"/>
        <v>4.0333333333333332E-2</v>
      </c>
      <c r="BI27" s="68">
        <f t="shared" si="12"/>
        <v>0</v>
      </c>
      <c r="BJ27" s="68">
        <f t="shared" si="12"/>
        <v>0.17666666666666667</v>
      </c>
      <c r="BK27" s="68">
        <f t="shared" si="8"/>
        <v>0.14854166666666666</v>
      </c>
      <c r="BL27" s="68">
        <f t="shared" si="8"/>
        <v>0.16599999999999998</v>
      </c>
      <c r="BM27" s="68">
        <f t="shared" si="8"/>
        <v>0.125</v>
      </c>
      <c r="BN27" s="68">
        <f t="shared" si="8"/>
        <v>0.21579166666666666</v>
      </c>
      <c r="BO27" s="68">
        <f t="shared" si="8"/>
        <v>0.20749999999999999</v>
      </c>
      <c r="BP27" s="70">
        <f t="shared" si="3"/>
        <v>0.15579305555555553</v>
      </c>
      <c r="BQ27" s="198">
        <f t="shared" si="13"/>
        <v>0.168125</v>
      </c>
      <c r="BR27" s="72">
        <f t="shared" si="10"/>
        <v>16.8125</v>
      </c>
      <c r="BS27" s="73">
        <f t="shared" si="11"/>
        <v>-3.1375000000000014E-2</v>
      </c>
      <c r="BT27" s="74">
        <f t="shared" si="6"/>
        <v>-1.2331944444444465E-2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136.6</v>
      </c>
      <c r="E28" s="63">
        <v>348.2</v>
      </c>
      <c r="F28" s="63">
        <v>331</v>
      </c>
      <c r="G28" s="308">
        <v>272.39999999999998</v>
      </c>
      <c r="H28" s="63">
        <v>368.4</v>
      </c>
      <c r="I28" s="283">
        <v>492.5</v>
      </c>
      <c r="J28" s="63">
        <v>461.1</v>
      </c>
      <c r="K28" s="283">
        <v>494.4</v>
      </c>
      <c r="L28" s="63">
        <v>500.4</v>
      </c>
      <c r="M28" s="63">
        <v>490</v>
      </c>
      <c r="N28" s="63">
        <v>394.5</v>
      </c>
      <c r="O28" s="63">
        <v>425.2</v>
      </c>
      <c r="P28" s="63">
        <v>240</v>
      </c>
      <c r="Q28" s="283">
        <v>304</v>
      </c>
      <c r="R28" s="63">
        <v>291.8</v>
      </c>
      <c r="S28" s="63">
        <v>533.5</v>
      </c>
      <c r="T28" s="283">
        <v>472.4</v>
      </c>
      <c r="U28" s="283">
        <v>407.8</v>
      </c>
      <c r="V28" s="283">
        <v>228.4</v>
      </c>
      <c r="W28" s="283">
        <v>375.1</v>
      </c>
      <c r="X28" s="283">
        <v>342.2</v>
      </c>
      <c r="Y28" s="63">
        <v>317.39999999999998</v>
      </c>
      <c r="Z28" s="383">
        <v>99.1</v>
      </c>
      <c r="AA28" s="320">
        <v>0</v>
      </c>
      <c r="AB28" s="387">
        <v>419</v>
      </c>
      <c r="AC28" s="355">
        <v>360</v>
      </c>
      <c r="AD28" s="388">
        <v>375</v>
      </c>
      <c r="AE28" s="354">
        <v>312.3</v>
      </c>
      <c r="AF28" s="15">
        <v>512.1</v>
      </c>
      <c r="AG28" s="15">
        <v>486.7</v>
      </c>
      <c r="AH28" s="371">
        <v>319.39999999999998</v>
      </c>
      <c r="AI28" s="290">
        <f t="shared" si="7"/>
        <v>11110.9</v>
      </c>
      <c r="AJ28" s="301">
        <v>100</v>
      </c>
      <c r="AK28" s="121">
        <f>F28/(AJ28*432)</f>
        <v>7.6620370370370366E-3</v>
      </c>
      <c r="AL28" s="302">
        <f t="shared" si="14"/>
        <v>5.6916666666666664E-2</v>
      </c>
      <c r="AM28" s="303">
        <f t="shared" si="14"/>
        <v>0.14508333333333334</v>
      </c>
      <c r="AN28" s="303">
        <f t="shared" si="14"/>
        <v>0.13791666666666666</v>
      </c>
      <c r="AO28" s="303">
        <f t="shared" si="14"/>
        <v>0.11349999999999999</v>
      </c>
      <c r="AP28" s="303">
        <f t="shared" si="14"/>
        <v>0.1535</v>
      </c>
      <c r="AQ28" s="303">
        <f t="shared" si="14"/>
        <v>0.20520833333333333</v>
      </c>
      <c r="AR28" s="303">
        <f t="shared" si="14"/>
        <v>0.19212500000000002</v>
      </c>
      <c r="AS28" s="303">
        <f t="shared" si="14"/>
        <v>0.20599999999999999</v>
      </c>
      <c r="AT28" s="303">
        <f t="shared" si="14"/>
        <v>0.20849999999999999</v>
      </c>
      <c r="AU28" s="303">
        <f t="shared" si="15"/>
        <v>0.20416666666666666</v>
      </c>
      <c r="AV28" s="303">
        <f t="shared" si="15"/>
        <v>0.16437499999999999</v>
      </c>
      <c r="AW28" s="303">
        <f t="shared" si="15"/>
        <v>0.17716666666666667</v>
      </c>
      <c r="AX28" s="303">
        <f t="shared" si="15"/>
        <v>0.1</v>
      </c>
      <c r="AY28" s="303">
        <f t="shared" si="15"/>
        <v>0.12666666666666668</v>
      </c>
      <c r="AZ28" s="303">
        <f t="shared" si="15"/>
        <v>0.12158333333333333</v>
      </c>
      <c r="BA28" s="303">
        <f t="shared" si="15"/>
        <v>0.22229166666666667</v>
      </c>
      <c r="BB28" s="303">
        <f t="shared" si="12"/>
        <v>0.19683333333333333</v>
      </c>
      <c r="BC28" s="303">
        <f t="shared" si="12"/>
        <v>0.16991666666666666</v>
      </c>
      <c r="BD28" s="303">
        <f t="shared" si="12"/>
        <v>9.5166666666666663E-2</v>
      </c>
      <c r="BE28" s="303">
        <f t="shared" si="12"/>
        <v>0.15629166666666669</v>
      </c>
      <c r="BF28" s="303">
        <f t="shared" si="12"/>
        <v>0.14258333333333334</v>
      </c>
      <c r="BG28" s="303">
        <f t="shared" si="12"/>
        <v>0.13224999999999998</v>
      </c>
      <c r="BH28" s="303">
        <f t="shared" si="12"/>
        <v>4.1291666666666664E-2</v>
      </c>
      <c r="BI28" s="303">
        <f t="shared" si="12"/>
        <v>0</v>
      </c>
      <c r="BJ28" s="303">
        <f t="shared" si="12"/>
        <v>0.17458333333333334</v>
      </c>
      <c r="BK28" s="303">
        <f t="shared" si="8"/>
        <v>0.15</v>
      </c>
      <c r="BL28" s="303">
        <f t="shared" si="8"/>
        <v>0.15625</v>
      </c>
      <c r="BM28" s="303">
        <f t="shared" si="8"/>
        <v>0.13012500000000002</v>
      </c>
      <c r="BN28" s="303">
        <f t="shared" si="8"/>
        <v>0.21337500000000001</v>
      </c>
      <c r="BO28" s="303">
        <f t="shared" si="8"/>
        <v>0.20279166666666668</v>
      </c>
      <c r="BP28" s="304">
        <f t="shared" si="3"/>
        <v>0.15431805555555556</v>
      </c>
      <c r="BQ28" s="198"/>
      <c r="BR28" s="72"/>
      <c r="BS28" s="73"/>
      <c r="BT28" s="74"/>
      <c r="BU28" s="15"/>
      <c r="BV28" s="3"/>
      <c r="BW28" s="2"/>
      <c r="BX28" s="2"/>
    </row>
    <row r="29" spans="2:76" ht="15" thickBot="1" x14ac:dyDescent="0.35">
      <c r="B29" s="775"/>
      <c r="C29" s="326" t="s">
        <v>289</v>
      </c>
      <c r="D29" s="223">
        <v>130.6</v>
      </c>
      <c r="E29" s="63">
        <v>362.5</v>
      </c>
      <c r="F29" s="63">
        <v>334.3</v>
      </c>
      <c r="G29" s="308">
        <v>281</v>
      </c>
      <c r="H29" s="63">
        <v>376.7</v>
      </c>
      <c r="I29" s="82">
        <v>535.1</v>
      </c>
      <c r="J29" s="82">
        <v>482.2</v>
      </c>
      <c r="K29" s="283">
        <v>503.8</v>
      </c>
      <c r="L29" s="63">
        <v>515.4</v>
      </c>
      <c r="M29" s="63">
        <v>497.9</v>
      </c>
      <c r="N29" s="63">
        <v>388.3</v>
      </c>
      <c r="O29" s="63">
        <v>425.1</v>
      </c>
      <c r="P29" s="63">
        <v>239.8</v>
      </c>
      <c r="Q29" s="283">
        <v>332.9</v>
      </c>
      <c r="R29" s="63">
        <v>288.10000000000002</v>
      </c>
      <c r="S29" s="63">
        <v>561</v>
      </c>
      <c r="T29" s="283">
        <v>480.7</v>
      </c>
      <c r="U29" s="283">
        <v>419</v>
      </c>
      <c r="V29" s="283">
        <v>233.9</v>
      </c>
      <c r="W29" s="283">
        <v>347.3</v>
      </c>
      <c r="X29" s="283">
        <v>357.6</v>
      </c>
      <c r="Y29" s="63">
        <v>328.9</v>
      </c>
      <c r="Z29" s="383">
        <v>91.4</v>
      </c>
      <c r="AA29" s="320">
        <v>0</v>
      </c>
      <c r="AB29" s="323">
        <v>422.7</v>
      </c>
      <c r="AC29" s="283">
        <v>347.2</v>
      </c>
      <c r="AD29" s="221">
        <v>397.5</v>
      </c>
      <c r="AE29" s="389">
        <v>306.60000000000002</v>
      </c>
      <c r="AF29" s="15">
        <v>517.1</v>
      </c>
      <c r="AG29" s="15">
        <v>487.1</v>
      </c>
      <c r="AH29" s="371">
        <v>318</v>
      </c>
      <c r="AI29" s="290">
        <f t="shared" si="7"/>
        <v>11309.700000000003</v>
      </c>
      <c r="AJ29" s="119">
        <v>100</v>
      </c>
      <c r="AK29" s="121"/>
      <c r="AL29" s="98">
        <f t="shared" si="14"/>
        <v>5.4416666666666662E-2</v>
      </c>
      <c r="AM29" s="99">
        <f t="shared" si="14"/>
        <v>0.15104166666666666</v>
      </c>
      <c r="AN29" s="99">
        <f t="shared" si="14"/>
        <v>0.13929166666666667</v>
      </c>
      <c r="AO29" s="99">
        <f t="shared" si="14"/>
        <v>0.11708333333333333</v>
      </c>
      <c r="AP29" s="99">
        <f t="shared" si="14"/>
        <v>0.15695833333333334</v>
      </c>
      <c r="AQ29" s="99">
        <f t="shared" si="14"/>
        <v>0.22295833333333334</v>
      </c>
      <c r="AR29" s="99">
        <f t="shared" si="14"/>
        <v>0.20091666666666666</v>
      </c>
      <c r="AS29" s="99">
        <f t="shared" si="14"/>
        <v>0.20991666666666667</v>
      </c>
      <c r="AT29" s="99">
        <f t="shared" si="14"/>
        <v>0.21475</v>
      </c>
      <c r="AU29" s="99">
        <f t="shared" si="15"/>
        <v>0.20745833333333333</v>
      </c>
      <c r="AV29" s="99">
        <f t="shared" si="15"/>
        <v>0.16179166666666667</v>
      </c>
      <c r="AW29" s="99">
        <f t="shared" si="15"/>
        <v>0.177125</v>
      </c>
      <c r="AX29" s="99">
        <f t="shared" si="15"/>
        <v>9.9916666666666668E-2</v>
      </c>
      <c r="AY29" s="99">
        <f t="shared" si="15"/>
        <v>0.13870833333333332</v>
      </c>
      <c r="AZ29" s="99">
        <f t="shared" si="15"/>
        <v>0.12004166666666667</v>
      </c>
      <c r="BA29" s="99">
        <f t="shared" si="15"/>
        <v>0.23375000000000001</v>
      </c>
      <c r="BB29" s="99">
        <f t="shared" si="12"/>
        <v>0.20029166666666667</v>
      </c>
      <c r="BC29" s="99">
        <f t="shared" si="12"/>
        <v>0.17458333333333334</v>
      </c>
      <c r="BD29" s="99">
        <f t="shared" si="12"/>
        <v>9.7458333333333341E-2</v>
      </c>
      <c r="BE29" s="99">
        <f t="shared" si="12"/>
        <v>0.14470833333333333</v>
      </c>
      <c r="BF29" s="99">
        <f t="shared" si="12"/>
        <v>0.14900000000000002</v>
      </c>
      <c r="BG29" s="99">
        <f t="shared" si="12"/>
        <v>0.13704166666666664</v>
      </c>
      <c r="BH29" s="99">
        <f t="shared" si="12"/>
        <v>3.8083333333333337E-2</v>
      </c>
      <c r="BI29" s="99">
        <f t="shared" si="12"/>
        <v>0</v>
      </c>
      <c r="BJ29" s="99">
        <f t="shared" si="12"/>
        <v>0.176125</v>
      </c>
      <c r="BK29" s="99">
        <f t="shared" si="8"/>
        <v>0.14466666666666667</v>
      </c>
      <c r="BL29" s="99">
        <f t="shared" si="8"/>
        <v>0.16562499999999999</v>
      </c>
      <c r="BM29" s="99">
        <f t="shared" si="8"/>
        <v>0.12775</v>
      </c>
      <c r="BN29" s="99">
        <f t="shared" si="8"/>
        <v>0.21545833333333334</v>
      </c>
      <c r="BO29" s="99">
        <f t="shared" si="8"/>
        <v>0.20295833333333335</v>
      </c>
      <c r="BP29" s="101">
        <f t="shared" si="3"/>
        <v>0.15707916666666671</v>
      </c>
      <c r="BQ29" s="198">
        <f t="shared" si="13"/>
        <v>0.168125</v>
      </c>
      <c r="BR29" s="72">
        <f t="shared" si="10"/>
        <v>16.8125</v>
      </c>
      <c r="BS29" s="73">
        <f t="shared" si="11"/>
        <v>-2.8833333333333322E-2</v>
      </c>
      <c r="BT29" s="74">
        <f t="shared" si="6"/>
        <v>-1.1045833333333283E-2</v>
      </c>
      <c r="BU29" s="15" t="s">
        <v>112</v>
      </c>
      <c r="BV29" s="3"/>
      <c r="BW29" s="2"/>
      <c r="BX29" s="2"/>
    </row>
    <row r="30" spans="2:76" x14ac:dyDescent="0.3">
      <c r="B30" s="773" t="s">
        <v>290</v>
      </c>
      <c r="C30" s="326" t="s">
        <v>291</v>
      </c>
      <c r="D30" s="378">
        <v>135</v>
      </c>
      <c r="E30" s="378">
        <v>320</v>
      </c>
      <c r="F30" s="319">
        <v>160</v>
      </c>
      <c r="G30" s="319">
        <v>175</v>
      </c>
      <c r="H30" s="319">
        <v>320</v>
      </c>
      <c r="I30" s="82">
        <v>450</v>
      </c>
      <c r="J30" s="308">
        <v>302</v>
      </c>
      <c r="K30" s="283">
        <v>453.9</v>
      </c>
      <c r="L30" s="283">
        <v>427.5</v>
      </c>
      <c r="M30" s="283">
        <v>410</v>
      </c>
      <c r="N30" s="283">
        <v>350</v>
      </c>
      <c r="O30" s="283">
        <v>380</v>
      </c>
      <c r="P30" s="283">
        <v>200</v>
      </c>
      <c r="Q30" s="283">
        <v>230</v>
      </c>
      <c r="R30" s="283">
        <v>410</v>
      </c>
      <c r="S30" s="283">
        <v>460</v>
      </c>
      <c r="T30" s="283">
        <v>410</v>
      </c>
      <c r="U30" s="283">
        <v>380</v>
      </c>
      <c r="V30" s="283">
        <v>200</v>
      </c>
      <c r="W30" s="283">
        <v>378.3</v>
      </c>
      <c r="X30" s="63">
        <v>395</v>
      </c>
      <c r="Y30" s="320">
        <v>325.8</v>
      </c>
      <c r="Z30" s="386">
        <v>241.2</v>
      </c>
      <c r="AA30" s="320">
        <v>146.69999999999999</v>
      </c>
      <c r="AB30" s="323">
        <v>469.2</v>
      </c>
      <c r="AC30" s="15">
        <v>474</v>
      </c>
      <c r="AD30" s="221">
        <v>395.9</v>
      </c>
      <c r="AE30" s="15">
        <v>356.2</v>
      </c>
      <c r="AF30" s="15">
        <v>535</v>
      </c>
      <c r="AG30" s="15">
        <v>473.5</v>
      </c>
      <c r="AH30" s="64">
        <v>319.89999999999998</v>
      </c>
      <c r="AI30" s="290">
        <f t="shared" si="7"/>
        <v>10684.099999999999</v>
      </c>
      <c r="AJ30" s="2"/>
      <c r="AK30" s="285"/>
      <c r="AL30" s="286" t="str">
        <f t="shared" si="14"/>
        <v>-</v>
      </c>
      <c r="AM30" s="286" t="str">
        <f t="shared" si="14"/>
        <v>-</v>
      </c>
      <c r="AN30" s="286" t="str">
        <f t="shared" si="14"/>
        <v>-</v>
      </c>
      <c r="AO30" s="286" t="str">
        <f t="shared" si="14"/>
        <v>-</v>
      </c>
      <c r="AP30" s="286" t="str">
        <f t="shared" si="14"/>
        <v>-</v>
      </c>
      <c r="AQ30" s="286" t="str">
        <f t="shared" si="14"/>
        <v>-</v>
      </c>
      <c r="AR30" s="286" t="str">
        <f t="shared" si="14"/>
        <v>-</v>
      </c>
      <c r="AS30" s="286" t="str">
        <f t="shared" si="14"/>
        <v>-</v>
      </c>
      <c r="AT30" s="286" t="str">
        <f t="shared" si="14"/>
        <v>-</v>
      </c>
      <c r="AU30" s="286" t="str">
        <f t="shared" si="15"/>
        <v>-</v>
      </c>
      <c r="AV30" s="286" t="str">
        <f t="shared" si="15"/>
        <v>-</v>
      </c>
      <c r="AW30" s="286" t="str">
        <f t="shared" si="15"/>
        <v>-</v>
      </c>
      <c r="AX30" s="286" t="str">
        <f t="shared" si="15"/>
        <v>-</v>
      </c>
      <c r="AY30" s="286" t="str">
        <f t="shared" si="15"/>
        <v>-</v>
      </c>
      <c r="AZ30" s="286" t="str">
        <f t="shared" si="15"/>
        <v>-</v>
      </c>
      <c r="BA30" s="286" t="str">
        <f t="shared" si="15"/>
        <v>-</v>
      </c>
      <c r="BB30" s="286" t="str">
        <f t="shared" si="12"/>
        <v>-</v>
      </c>
      <c r="BC30" s="286" t="str">
        <f t="shared" si="12"/>
        <v>-</v>
      </c>
      <c r="BD30" s="286" t="str">
        <f t="shared" si="12"/>
        <v>-</v>
      </c>
      <c r="BE30" s="286" t="str">
        <f t="shared" si="12"/>
        <v>-</v>
      </c>
      <c r="BF30" s="286" t="str">
        <f t="shared" si="12"/>
        <v>-</v>
      </c>
      <c r="BG30" s="286" t="str">
        <f t="shared" si="12"/>
        <v>-</v>
      </c>
      <c r="BH30" s="286" t="str">
        <f t="shared" si="12"/>
        <v>-</v>
      </c>
      <c r="BI30" s="286" t="str">
        <f t="shared" si="12"/>
        <v>-</v>
      </c>
      <c r="BJ30" s="286" t="str">
        <f t="shared" si="12"/>
        <v>-</v>
      </c>
      <c r="BK30" s="286" t="str">
        <f t="shared" si="8"/>
        <v>-</v>
      </c>
      <c r="BL30" s="286" t="str">
        <f t="shared" si="8"/>
        <v>-</v>
      </c>
      <c r="BM30" s="286" t="str">
        <f t="shared" si="8"/>
        <v>-</v>
      </c>
      <c r="BN30" s="286" t="str">
        <f t="shared" si="8"/>
        <v>-</v>
      </c>
      <c r="BO30" s="286" t="str">
        <f t="shared" si="8"/>
        <v>-</v>
      </c>
      <c r="BP30" s="286" t="e">
        <f t="shared" si="3"/>
        <v>#DIV/0!</v>
      </c>
      <c r="BQ30" s="198"/>
      <c r="BR30" s="287"/>
      <c r="BS30" s="288"/>
      <c r="BT30" s="289"/>
      <c r="BU30" s="2"/>
      <c r="BV30" s="3"/>
      <c r="BW30" s="2"/>
      <c r="BX30" s="2"/>
    </row>
    <row r="31" spans="2:76" ht="15" thickBot="1" x14ac:dyDescent="0.35">
      <c r="B31" s="777"/>
      <c r="C31" s="329"/>
      <c r="D31" s="224"/>
      <c r="E31" s="93"/>
      <c r="F31" s="93"/>
      <c r="G31" s="115"/>
      <c r="H31" s="284"/>
      <c r="I31" s="115"/>
      <c r="J31" s="115"/>
      <c r="K31" s="93"/>
      <c r="L31" s="93"/>
      <c r="M31" s="93"/>
      <c r="N31" s="93"/>
      <c r="O31" s="93"/>
      <c r="P31" s="93"/>
      <c r="Q31" s="318"/>
      <c r="R31" s="93"/>
      <c r="S31" s="93"/>
      <c r="T31" s="93"/>
      <c r="U31" s="22"/>
      <c r="V31" s="22"/>
      <c r="W31" s="292"/>
      <c r="X31" s="22"/>
      <c r="Y31" s="93"/>
      <c r="Z31" s="22"/>
      <c r="AA31" s="322"/>
      <c r="AB31" s="21"/>
      <c r="AC31" s="22"/>
      <c r="AD31" s="277"/>
      <c r="AE31" s="22"/>
      <c r="AF31" s="22"/>
      <c r="AG31" s="22"/>
      <c r="AH31" s="96"/>
      <c r="AI31" s="290">
        <f t="shared" si="7"/>
        <v>0</v>
      </c>
      <c r="AJ31" s="2"/>
      <c r="AK31" s="285"/>
      <c r="AL31" s="286" t="str">
        <f t="shared" si="14"/>
        <v>VAZIO</v>
      </c>
      <c r="AM31" s="286" t="str">
        <f t="shared" si="14"/>
        <v>VAZIO</v>
      </c>
      <c r="AN31" s="286" t="str">
        <f t="shared" si="14"/>
        <v>VAZIO</v>
      </c>
      <c r="AO31" s="286" t="str">
        <f t="shared" si="14"/>
        <v>VAZIO</v>
      </c>
      <c r="AP31" s="286" t="str">
        <f t="shared" si="14"/>
        <v>VAZIO</v>
      </c>
      <c r="AQ31" s="286" t="str">
        <f t="shared" si="14"/>
        <v>VAZIO</v>
      </c>
      <c r="AR31" s="286" t="str">
        <f t="shared" si="14"/>
        <v>VAZIO</v>
      </c>
      <c r="AS31" s="286" t="str">
        <f t="shared" si="14"/>
        <v>VAZIO</v>
      </c>
      <c r="AT31" s="286" t="str">
        <f t="shared" si="14"/>
        <v>VAZIO</v>
      </c>
      <c r="AU31" s="286" t="str">
        <f t="shared" si="15"/>
        <v>VAZIO</v>
      </c>
      <c r="AV31" s="286" t="str">
        <f t="shared" si="15"/>
        <v>VAZIO</v>
      </c>
      <c r="AW31" s="286" t="str">
        <f t="shared" si="15"/>
        <v>VAZIO</v>
      </c>
      <c r="AX31" s="286" t="str">
        <f t="shared" si="15"/>
        <v>VAZIO</v>
      </c>
      <c r="AY31" s="286" t="str">
        <f t="shared" si="15"/>
        <v>VAZIO</v>
      </c>
      <c r="AZ31" s="286" t="str">
        <f t="shared" si="15"/>
        <v>VAZIO</v>
      </c>
      <c r="BA31" s="286" t="str">
        <f t="shared" si="15"/>
        <v>VAZIO</v>
      </c>
      <c r="BB31" s="286" t="str">
        <f t="shared" si="12"/>
        <v>VAZIO</v>
      </c>
      <c r="BC31" s="286" t="str">
        <f t="shared" si="12"/>
        <v>VAZIO</v>
      </c>
      <c r="BD31" s="286" t="str">
        <f t="shared" si="12"/>
        <v>VAZIO</v>
      </c>
      <c r="BE31" s="286" t="str">
        <f t="shared" si="12"/>
        <v>VAZIO</v>
      </c>
      <c r="BF31" s="286" t="str">
        <f t="shared" si="12"/>
        <v>VAZIO</v>
      </c>
      <c r="BG31" s="286" t="str">
        <f t="shared" si="12"/>
        <v>VAZIO</v>
      </c>
      <c r="BH31" s="286" t="str">
        <f t="shared" si="12"/>
        <v>VAZIO</v>
      </c>
      <c r="BI31" s="286" t="str">
        <f t="shared" si="12"/>
        <v>VAZIO</v>
      </c>
      <c r="BJ31" s="286" t="str">
        <f t="shared" si="12"/>
        <v>VAZIO</v>
      </c>
      <c r="BK31" s="286" t="str">
        <f t="shared" si="8"/>
        <v>VAZIO</v>
      </c>
      <c r="BL31" s="286" t="str">
        <f t="shared" si="8"/>
        <v>VAZIO</v>
      </c>
      <c r="BM31" s="286" t="str">
        <f t="shared" si="8"/>
        <v>VAZIO</v>
      </c>
      <c r="BN31" s="286" t="str">
        <f t="shared" si="8"/>
        <v>VAZIO</v>
      </c>
      <c r="BO31" s="286" t="str">
        <f t="shared" si="8"/>
        <v>VAZIO</v>
      </c>
      <c r="BP31" s="286" t="e">
        <f t="shared" si="3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4185.8999999999996</v>
      </c>
      <c r="E32" s="103">
        <f>SUM(E5:E30)</f>
        <v>7105.3000000000011</v>
      </c>
      <c r="F32" s="103">
        <f>SUM(F5:F30)</f>
        <v>5798.1999999999989</v>
      </c>
      <c r="G32" s="103">
        <f t="shared" ref="G32:AH32" si="16">SUM(G5:G30)</f>
        <v>5114.9000000000005</v>
      </c>
      <c r="H32" s="103">
        <f t="shared" si="16"/>
        <v>11226.2</v>
      </c>
      <c r="I32" s="103">
        <f t="shared" si="16"/>
        <v>11762.199999999999</v>
      </c>
      <c r="J32" s="103">
        <f t="shared" si="16"/>
        <v>10573.9</v>
      </c>
      <c r="K32" s="103">
        <f t="shared" si="16"/>
        <v>11465.299999999997</v>
      </c>
      <c r="L32" s="103">
        <f t="shared" si="16"/>
        <v>11100.6</v>
      </c>
      <c r="M32" s="103">
        <f t="shared" si="16"/>
        <v>10781.1</v>
      </c>
      <c r="N32" s="103">
        <f t="shared" si="16"/>
        <v>9316.1</v>
      </c>
      <c r="O32" s="103">
        <f t="shared" si="16"/>
        <v>9342.9000000000015</v>
      </c>
      <c r="P32" s="103">
        <f t="shared" si="16"/>
        <v>7623.1000000000013</v>
      </c>
      <c r="Q32" s="103">
        <f t="shared" si="16"/>
        <v>6289.2299999999987</v>
      </c>
      <c r="R32" s="103">
        <f t="shared" si="16"/>
        <v>8355.6</v>
      </c>
      <c r="S32" s="103">
        <f t="shared" si="16"/>
        <v>12394.29</v>
      </c>
      <c r="T32" s="103">
        <f t="shared" si="16"/>
        <v>11152.89</v>
      </c>
      <c r="U32" s="103">
        <f t="shared" si="16"/>
        <v>10672.399999999998</v>
      </c>
      <c r="V32" s="103">
        <f t="shared" si="16"/>
        <v>6593.9000000000005</v>
      </c>
      <c r="W32" s="103">
        <f t="shared" si="16"/>
        <v>9668.2999999999993</v>
      </c>
      <c r="X32" s="103">
        <f t="shared" si="16"/>
        <v>8627.59</v>
      </c>
      <c r="Y32" s="103">
        <f t="shared" si="16"/>
        <v>10544.400000000001</v>
      </c>
      <c r="Z32" s="103">
        <f t="shared" si="16"/>
        <v>5342</v>
      </c>
      <c r="AA32" s="103">
        <f t="shared" si="16"/>
        <v>5742.2499999999991</v>
      </c>
      <c r="AB32" s="103">
        <f t="shared" si="16"/>
        <v>9521.4000000000015</v>
      </c>
      <c r="AC32" s="103">
        <f>SUM(AC5:AC30)</f>
        <v>9319.0000000000018</v>
      </c>
      <c r="AD32" s="103">
        <f t="shared" si="16"/>
        <v>8554.4</v>
      </c>
      <c r="AE32" s="103">
        <f t="shared" si="16"/>
        <v>7869.7000000000007</v>
      </c>
      <c r="AF32" s="103">
        <f t="shared" si="16"/>
        <v>12010.000000000002</v>
      </c>
      <c r="AG32" s="103">
        <f t="shared" si="16"/>
        <v>9885.3000000000011</v>
      </c>
      <c r="AH32" s="103">
        <f t="shared" si="16"/>
        <v>7264.449999999998</v>
      </c>
      <c r="AI32" s="189">
        <f>SUM(AI5:AI31)</f>
        <v>275202.8</v>
      </c>
      <c r="AJ32" s="104">
        <f>SUM(AJ5:AJ31)</f>
        <v>2206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275,203 MWh</v>
      </c>
      <c r="AJ33" s="2"/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9173,427 kWh</v>
      </c>
      <c r="AJ34" s="2"/>
      <c r="AK34" s="2"/>
      <c r="AL34" s="2"/>
      <c r="AM34" s="2"/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275202,81 kWh</v>
      </c>
      <c r="AJ35" s="2"/>
      <c r="AK35" s="2"/>
      <c r="AL35" s="2"/>
      <c r="AM35" s="2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275,203 MWh</v>
      </c>
    </row>
    <row r="37" spans="2:76" x14ac:dyDescent="0.3">
      <c r="T37">
        <f>T36-T35+1.8</f>
        <v>477.8</v>
      </c>
      <c r="X37" s="102"/>
      <c r="AC37">
        <v>53196</v>
      </c>
    </row>
    <row r="38" spans="2:76" x14ac:dyDescent="0.3">
      <c r="AC38">
        <v>60.6</v>
      </c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6" x14ac:dyDescent="0.3">
      <c r="X40" s="102"/>
      <c r="AF40">
        <f>AF39-20.4</f>
        <v>53905.2</v>
      </c>
    </row>
    <row r="41" spans="2:76" x14ac:dyDescent="0.3">
      <c r="X41" s="102"/>
      <c r="AF41">
        <f>AF40-AD39</f>
        <v>263.19999999999709</v>
      </c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</row>
    <row r="44" spans="2:76" x14ac:dyDescent="0.3">
      <c r="B44" s="751" t="s">
        <v>6</v>
      </c>
      <c r="C44" s="18" t="s">
        <v>7</v>
      </c>
      <c r="D44" s="163">
        <f>D5+Agosto23!AF41</f>
        <v>48859.3</v>
      </c>
      <c r="E44" s="164">
        <f t="shared" ref="E44:F59" si="17">D44+E5</f>
        <v>48888.800000000003</v>
      </c>
      <c r="F44" s="164">
        <f t="shared" si="17"/>
        <v>48911.8</v>
      </c>
      <c r="G44" s="165">
        <v>49036.4</v>
      </c>
      <c r="H44" s="166">
        <v>49076</v>
      </c>
      <c r="I44" s="163">
        <f t="shared" ref="I44:V59" si="18">H44+I5</f>
        <v>49136.2</v>
      </c>
      <c r="J44" s="163">
        <f t="shared" si="18"/>
        <v>49183.799999999996</v>
      </c>
      <c r="K44" s="163">
        <f t="shared" si="18"/>
        <v>49240.1</v>
      </c>
      <c r="L44" s="163">
        <f t="shared" si="18"/>
        <v>49292.6</v>
      </c>
      <c r="M44" s="163">
        <f t="shared" si="18"/>
        <v>49348.4</v>
      </c>
      <c r="N44" s="163">
        <f t="shared" si="18"/>
        <v>49398.200000000004</v>
      </c>
      <c r="O44" s="163">
        <f t="shared" si="18"/>
        <v>49439.8</v>
      </c>
      <c r="P44" s="163">
        <f t="shared" si="18"/>
        <v>49470.5</v>
      </c>
      <c r="Q44" s="163">
        <f t="shared" si="18"/>
        <v>49497.1</v>
      </c>
      <c r="R44" s="163">
        <f t="shared" si="18"/>
        <v>49532.2</v>
      </c>
      <c r="S44" s="163">
        <f t="shared" si="18"/>
        <v>49593.399999999994</v>
      </c>
      <c r="T44" s="163">
        <f t="shared" si="18"/>
        <v>49645.499999999993</v>
      </c>
      <c r="U44" s="163">
        <f t="shared" si="18"/>
        <v>49704.499999999993</v>
      </c>
      <c r="V44" s="163">
        <f t="shared" si="18"/>
        <v>49733.999999999993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</row>
    <row r="45" spans="2:76" x14ac:dyDescent="0.3">
      <c r="B45" s="752"/>
      <c r="C45" s="18" t="s">
        <v>8</v>
      </c>
      <c r="D45" s="163">
        <f>D6+Agosto23!AF42</f>
        <v>98866.900000000009</v>
      </c>
      <c r="E45" s="164">
        <f t="shared" si="17"/>
        <v>99019.3</v>
      </c>
      <c r="F45" s="164">
        <f t="shared" si="17"/>
        <v>99155.6</v>
      </c>
      <c r="G45" s="165">
        <f>21775+78123.8</f>
        <v>99898.8</v>
      </c>
      <c r="H45" s="166">
        <f>21823+78322.8</f>
        <v>100145.8</v>
      </c>
      <c r="I45" s="163">
        <f t="shared" si="18"/>
        <v>100438</v>
      </c>
      <c r="J45" s="163">
        <f t="shared" si="18"/>
        <v>100697.3</v>
      </c>
      <c r="K45" s="163">
        <f t="shared" si="18"/>
        <v>100959.7</v>
      </c>
      <c r="L45" s="163">
        <f t="shared" si="18"/>
        <v>100959.7</v>
      </c>
      <c r="M45" s="163">
        <f t="shared" si="18"/>
        <v>100983.9</v>
      </c>
      <c r="N45" s="163">
        <f t="shared" si="18"/>
        <v>101041.79999999999</v>
      </c>
      <c r="O45" s="163">
        <f t="shared" si="18"/>
        <v>101047.4</v>
      </c>
      <c r="P45" s="163">
        <f t="shared" si="18"/>
        <v>101093.09999999999</v>
      </c>
      <c r="Q45" s="163">
        <f t="shared" si="18"/>
        <v>101238.93</v>
      </c>
      <c r="R45" s="163">
        <f t="shared" si="18"/>
        <v>101444.82999999999</v>
      </c>
      <c r="S45" s="163">
        <f t="shared" si="18"/>
        <v>101785.91999999998</v>
      </c>
      <c r="T45" s="163">
        <f t="shared" si="18"/>
        <v>102115.40999999999</v>
      </c>
      <c r="U45" s="163">
        <f t="shared" si="18"/>
        <v>102469.20999999999</v>
      </c>
      <c r="V45" s="163">
        <f t="shared" si="18"/>
        <v>102643.60999999999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</row>
    <row r="46" spans="2:76" x14ac:dyDescent="0.3">
      <c r="B46" s="752"/>
      <c r="C46" s="18" t="s">
        <v>9</v>
      </c>
      <c r="D46" s="163">
        <f>D7+Agosto23!AF43</f>
        <v>69734.399999999994</v>
      </c>
      <c r="E46" s="164">
        <f t="shared" si="17"/>
        <v>69858.2</v>
      </c>
      <c r="F46" s="164">
        <f t="shared" si="17"/>
        <v>69955.899999999994</v>
      </c>
      <c r="G46" s="165">
        <v>70458.2</v>
      </c>
      <c r="H46" s="166">
        <v>70615.5</v>
      </c>
      <c r="I46" s="163">
        <f t="shared" si="18"/>
        <v>70857.8</v>
      </c>
      <c r="J46" s="163">
        <f t="shared" si="18"/>
        <v>71059.600000000006</v>
      </c>
      <c r="K46" s="163">
        <f t="shared" si="18"/>
        <v>71285</v>
      </c>
      <c r="L46" s="163">
        <f t="shared" si="18"/>
        <v>71506.100000000006</v>
      </c>
      <c r="M46" s="163">
        <f t="shared" si="18"/>
        <v>71735.700000000012</v>
      </c>
      <c r="N46" s="163">
        <f t="shared" si="18"/>
        <v>71918.900000000009</v>
      </c>
      <c r="O46" s="163">
        <f t="shared" si="18"/>
        <v>72079.3</v>
      </c>
      <c r="P46" s="163">
        <f t="shared" si="18"/>
        <v>72204.5</v>
      </c>
      <c r="Q46" s="163">
        <f t="shared" si="18"/>
        <v>72314.3</v>
      </c>
      <c r="R46" s="163">
        <f t="shared" si="18"/>
        <v>72463</v>
      </c>
      <c r="S46" s="163">
        <f t="shared" si="18"/>
        <v>72716.800000000003</v>
      </c>
      <c r="T46" s="163">
        <f t="shared" si="18"/>
        <v>72916</v>
      </c>
      <c r="U46" s="163" t="e">
        <f>T46+#REF!</f>
        <v>#REF!</v>
      </c>
      <c r="V46" s="163" t="e">
        <f t="shared" si="18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</row>
    <row r="47" spans="2:76" x14ac:dyDescent="0.3">
      <c r="B47" s="752"/>
      <c r="C47" s="18" t="s">
        <v>10</v>
      </c>
      <c r="D47" s="163">
        <f>D8+Agosto23!AF44</f>
        <v>95670.099999999991</v>
      </c>
      <c r="E47" s="164">
        <f t="shared" si="17"/>
        <v>95755.799999999988</v>
      </c>
      <c r="F47" s="164">
        <f t="shared" si="17"/>
        <v>95823.699999999983</v>
      </c>
      <c r="G47" s="165">
        <v>96154</v>
      </c>
      <c r="H47" s="166">
        <v>96261.9</v>
      </c>
      <c r="I47" s="163">
        <f t="shared" si="18"/>
        <v>96419.799999999988</v>
      </c>
      <c r="J47" s="163">
        <f t="shared" si="18"/>
        <v>96551.799999999988</v>
      </c>
      <c r="K47" s="163">
        <f t="shared" si="18"/>
        <v>96698.199999999983</v>
      </c>
      <c r="L47" s="163">
        <f t="shared" si="18"/>
        <v>96848.39999999998</v>
      </c>
      <c r="M47" s="163">
        <f t="shared" si="18"/>
        <v>97003.199999999983</v>
      </c>
      <c r="N47" s="163">
        <f t="shared" si="18"/>
        <v>97123.299999999988</v>
      </c>
      <c r="O47" s="163">
        <f t="shared" si="18"/>
        <v>97231.599999999991</v>
      </c>
      <c r="P47" s="163">
        <f t="shared" si="18"/>
        <v>97316.4</v>
      </c>
      <c r="Q47" s="163">
        <f t="shared" si="18"/>
        <v>97392.2</v>
      </c>
      <c r="R47" s="163">
        <f t="shared" si="18"/>
        <v>97493.7</v>
      </c>
      <c r="S47" s="163">
        <f t="shared" si="18"/>
        <v>97662.2</v>
      </c>
      <c r="T47" s="163">
        <f t="shared" si="18"/>
        <v>97793</v>
      </c>
      <c r="U47" s="163" t="e">
        <f>T47+#REF!</f>
        <v>#REF!</v>
      </c>
      <c r="V47" s="163" t="e">
        <f t="shared" si="18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</row>
    <row r="48" spans="2:76" x14ac:dyDescent="0.3">
      <c r="B48" s="752"/>
      <c r="C48" s="18" t="s">
        <v>11</v>
      </c>
      <c r="D48" s="163">
        <f>D9+Agosto23!AF45</f>
        <v>18771.3</v>
      </c>
      <c r="E48" s="164">
        <f t="shared" si="17"/>
        <v>18798.599999999999</v>
      </c>
      <c r="F48" s="164">
        <f t="shared" si="17"/>
        <v>18820.3</v>
      </c>
      <c r="G48" s="165">
        <v>18957</v>
      </c>
      <c r="H48" s="166">
        <v>18998</v>
      </c>
      <c r="I48" s="163">
        <f t="shared" si="18"/>
        <v>19045.8</v>
      </c>
      <c r="J48" s="163">
        <f t="shared" si="18"/>
        <v>19089.2</v>
      </c>
      <c r="K48" s="163">
        <f t="shared" si="18"/>
        <v>19139.3</v>
      </c>
      <c r="L48" s="163">
        <f t="shared" si="18"/>
        <v>19186.5</v>
      </c>
      <c r="M48" s="163">
        <f t="shared" si="18"/>
        <v>19237</v>
      </c>
      <c r="N48" s="163">
        <f t="shared" si="18"/>
        <v>19284.3</v>
      </c>
      <c r="O48" s="163">
        <f t="shared" si="18"/>
        <v>19325.599999999999</v>
      </c>
      <c r="P48" s="163">
        <f t="shared" si="18"/>
        <v>19357.899999999998</v>
      </c>
      <c r="Q48" s="163">
        <f t="shared" si="18"/>
        <v>19384.499999999996</v>
      </c>
      <c r="R48" s="163">
        <f t="shared" si="18"/>
        <v>19422.499999999996</v>
      </c>
      <c r="S48" s="163">
        <f t="shared" si="18"/>
        <v>19479.499999999996</v>
      </c>
      <c r="T48" s="163">
        <f t="shared" si="18"/>
        <v>19529.999999999996</v>
      </c>
      <c r="U48" s="163">
        <f>T48+U7</f>
        <v>19755.399999999998</v>
      </c>
      <c r="V48" s="163">
        <f t="shared" si="18"/>
        <v>19783.399999999998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</row>
    <row r="49" spans="2:39" x14ac:dyDescent="0.3">
      <c r="B49" s="752"/>
      <c r="C49" s="18" t="s">
        <v>12</v>
      </c>
      <c r="D49" s="163">
        <f>D10+Agosto23!AF46</f>
        <v>58171.1</v>
      </c>
      <c r="E49" s="164">
        <f t="shared" si="17"/>
        <v>58222</v>
      </c>
      <c r="F49" s="164">
        <f t="shared" si="17"/>
        <v>58262.8</v>
      </c>
      <c r="G49" s="165">
        <v>58550</v>
      </c>
      <c r="H49" s="166">
        <v>58640</v>
      </c>
      <c r="I49" s="163">
        <f t="shared" si="18"/>
        <v>58732</v>
      </c>
      <c r="J49" s="163">
        <f t="shared" si="18"/>
        <v>58814</v>
      </c>
      <c r="K49" s="163">
        <f t="shared" si="18"/>
        <v>58911.1</v>
      </c>
      <c r="L49" s="163">
        <f t="shared" si="18"/>
        <v>59002.400000000001</v>
      </c>
      <c r="M49" s="163">
        <f t="shared" si="18"/>
        <v>59100.9</v>
      </c>
      <c r="N49" s="163">
        <f t="shared" si="18"/>
        <v>59193.1</v>
      </c>
      <c r="O49" s="163">
        <f t="shared" si="18"/>
        <v>59273.1</v>
      </c>
      <c r="P49" s="163">
        <f t="shared" si="18"/>
        <v>59333.9</v>
      </c>
      <c r="Q49" s="163">
        <f t="shared" si="18"/>
        <v>59384.6</v>
      </c>
      <c r="R49" s="163">
        <f t="shared" si="18"/>
        <v>59455.4</v>
      </c>
      <c r="S49" s="163">
        <f t="shared" si="18"/>
        <v>59561.4</v>
      </c>
      <c r="T49" s="163">
        <f t="shared" si="18"/>
        <v>59655.700000000004</v>
      </c>
      <c r="U49" s="163">
        <f>T49+U8</f>
        <v>59806.400000000001</v>
      </c>
      <c r="V49" s="163">
        <f t="shared" si="18"/>
        <v>59857.3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</row>
    <row r="50" spans="2:39" x14ac:dyDescent="0.3">
      <c r="B50" s="752"/>
      <c r="C50" s="18" t="s">
        <v>13</v>
      </c>
      <c r="D50" s="163">
        <f>D11+Agosto23!AF47</f>
        <v>230123.40000000002</v>
      </c>
      <c r="E50" s="164">
        <f t="shared" si="17"/>
        <v>230332.30000000002</v>
      </c>
      <c r="F50" s="164">
        <f t="shared" si="17"/>
        <v>230538.00000000003</v>
      </c>
      <c r="G50" s="165">
        <v>231148.9</v>
      </c>
      <c r="H50" s="166">
        <v>231319.5</v>
      </c>
      <c r="I50" s="163">
        <f t="shared" si="18"/>
        <v>231711.5</v>
      </c>
      <c r="J50" s="163">
        <f t="shared" si="18"/>
        <v>232046.5</v>
      </c>
      <c r="K50" s="163">
        <f t="shared" si="18"/>
        <v>232408.3</v>
      </c>
      <c r="L50" s="163">
        <f t="shared" si="18"/>
        <v>232828.19999999998</v>
      </c>
      <c r="M50" s="163">
        <f t="shared" si="18"/>
        <v>233185.09999999998</v>
      </c>
      <c r="N50" s="163">
        <f t="shared" si="18"/>
        <v>233463.49999999997</v>
      </c>
      <c r="O50" s="163">
        <f t="shared" si="18"/>
        <v>233770.39999999997</v>
      </c>
      <c r="P50" s="163">
        <f t="shared" si="18"/>
        <v>234073.79999999996</v>
      </c>
      <c r="Q50" s="163">
        <f t="shared" si="18"/>
        <v>234272.89999999997</v>
      </c>
      <c r="R50" s="163">
        <f t="shared" si="18"/>
        <v>234531.29999999996</v>
      </c>
      <c r="S50" s="163">
        <f t="shared" si="18"/>
        <v>234956.19999999995</v>
      </c>
      <c r="T50" s="163">
        <f t="shared" si="18"/>
        <v>235323.09999999995</v>
      </c>
      <c r="U50" s="163">
        <f t="shared" si="18"/>
        <v>235699.79999999996</v>
      </c>
      <c r="V50" s="163">
        <f t="shared" si="18"/>
        <v>235934.69999999995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</row>
    <row r="51" spans="2:39" x14ac:dyDescent="0.3">
      <c r="B51" s="753"/>
      <c r="C51" s="18" t="s">
        <v>14</v>
      </c>
      <c r="D51" s="163">
        <f>D12+Agosto23!AF48</f>
        <v>691.5</v>
      </c>
      <c r="E51" s="164">
        <f t="shared" si="17"/>
        <v>838.9</v>
      </c>
      <c r="F51" s="164">
        <f t="shared" si="17"/>
        <v>955.4</v>
      </c>
      <c r="G51" s="165">
        <v>1440</v>
      </c>
      <c r="H51" s="166">
        <v>1620</v>
      </c>
      <c r="I51" s="163">
        <f t="shared" si="18"/>
        <v>1890.1</v>
      </c>
      <c r="J51" s="163">
        <f t="shared" si="18"/>
        <v>2138.9</v>
      </c>
      <c r="K51" s="163">
        <f t="shared" si="18"/>
        <v>2449.7000000000003</v>
      </c>
      <c r="L51" s="163">
        <f t="shared" si="18"/>
        <v>2725.5000000000005</v>
      </c>
      <c r="M51" s="163">
        <f t="shared" si="18"/>
        <v>3042.9000000000005</v>
      </c>
      <c r="N51" s="163">
        <f t="shared" si="18"/>
        <v>3310.0000000000005</v>
      </c>
      <c r="O51" s="163">
        <f t="shared" si="18"/>
        <v>3560.5000000000005</v>
      </c>
      <c r="P51" s="163">
        <f t="shared" si="18"/>
        <v>3727.8000000000006</v>
      </c>
      <c r="Q51" s="163">
        <f t="shared" si="18"/>
        <v>3877.0000000000005</v>
      </c>
      <c r="R51" s="163">
        <f t="shared" si="18"/>
        <v>4077.3000000000006</v>
      </c>
      <c r="S51" s="163">
        <f t="shared" si="18"/>
        <v>4446.2000000000007</v>
      </c>
      <c r="T51" s="163">
        <f t="shared" si="18"/>
        <v>4751.8000000000011</v>
      </c>
      <c r="U51" s="163">
        <f t="shared" si="18"/>
        <v>5088.0000000000009</v>
      </c>
      <c r="V51" s="163">
        <f t="shared" si="18"/>
        <v>5252.8000000000011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</row>
    <row r="52" spans="2:39" x14ac:dyDescent="0.3">
      <c r="B52" s="751" t="s">
        <v>16</v>
      </c>
      <c r="C52" s="18" t="s">
        <v>17</v>
      </c>
      <c r="D52" s="163">
        <f>D13+Agosto23!AF49</f>
        <v>137079.20000000001</v>
      </c>
      <c r="E52" s="164">
        <f t="shared" si="17"/>
        <v>137325</v>
      </c>
      <c r="F52" s="164">
        <f t="shared" si="17"/>
        <v>137519.29999999999</v>
      </c>
      <c r="G52" s="165">
        <v>138545</v>
      </c>
      <c r="H52" s="166">
        <v>138937</v>
      </c>
      <c r="I52" s="163">
        <f t="shared" si="18"/>
        <v>139367.9</v>
      </c>
      <c r="J52" s="163">
        <f t="shared" si="18"/>
        <v>139746.79999999999</v>
      </c>
      <c r="K52" s="163">
        <f t="shared" si="18"/>
        <v>140209.29999999999</v>
      </c>
      <c r="L52" s="163">
        <f t="shared" si="18"/>
        <v>140644.09999999998</v>
      </c>
      <c r="M52" s="163">
        <f t="shared" si="18"/>
        <v>141169.29999999999</v>
      </c>
      <c r="N52" s="163">
        <f t="shared" si="18"/>
        <v>141615.5</v>
      </c>
      <c r="O52" s="163">
        <f t="shared" si="18"/>
        <v>142048.4</v>
      </c>
      <c r="P52" s="163">
        <f t="shared" si="18"/>
        <v>142326.19999999998</v>
      </c>
      <c r="Q52" s="163">
        <f t="shared" si="18"/>
        <v>142577.99999999997</v>
      </c>
      <c r="R52" s="163">
        <f t="shared" si="18"/>
        <v>142907.69999999998</v>
      </c>
      <c r="S52" s="163">
        <f t="shared" si="18"/>
        <v>143489.69999999998</v>
      </c>
      <c r="T52" s="163">
        <f t="shared" si="18"/>
        <v>144007.29999999999</v>
      </c>
      <c r="U52" s="163">
        <f t="shared" si="18"/>
        <v>144551.59999999998</v>
      </c>
      <c r="V52" s="163">
        <f t="shared" si="18"/>
        <v>144818.79999999999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</row>
    <row r="53" spans="2:39" x14ac:dyDescent="0.3">
      <c r="B53" s="752"/>
      <c r="C53" s="18" t="s">
        <v>18</v>
      </c>
      <c r="D53" s="163">
        <f>D14+Agosto23!AF50</f>
        <v>127486.8</v>
      </c>
      <c r="E53" s="164">
        <f t="shared" si="17"/>
        <v>127766.7</v>
      </c>
      <c r="F53" s="164">
        <f t="shared" si="17"/>
        <v>128041</v>
      </c>
      <c r="G53" s="165">
        <v>128878</v>
      </c>
      <c r="H53" s="166">
        <v>129112</v>
      </c>
      <c r="I53" s="163">
        <f t="shared" si="18"/>
        <v>129630.39999999999</v>
      </c>
      <c r="J53" s="163">
        <f t="shared" si="18"/>
        <v>130080.29999999999</v>
      </c>
      <c r="K53" s="163">
        <f t="shared" si="18"/>
        <v>130574.9</v>
      </c>
      <c r="L53" s="163">
        <f t="shared" si="18"/>
        <v>131131.4</v>
      </c>
      <c r="M53" s="163">
        <f t="shared" si="18"/>
        <v>131622.6</v>
      </c>
      <c r="N53" s="163">
        <f t="shared" si="18"/>
        <v>132014.39999999999</v>
      </c>
      <c r="O53" s="163">
        <f>N53+O14</f>
        <v>132430.6</v>
      </c>
      <c r="P53" s="163">
        <f t="shared" si="18"/>
        <v>132824.30000000002</v>
      </c>
      <c r="Q53" s="163">
        <f t="shared" si="18"/>
        <v>133061.1</v>
      </c>
      <c r="R53" s="163">
        <f t="shared" si="18"/>
        <v>133421.6</v>
      </c>
      <c r="S53" s="163">
        <f t="shared" si="18"/>
        <v>134002.70000000001</v>
      </c>
      <c r="T53" s="163" t="e">
        <f>S53+#REF!</f>
        <v>#REF!</v>
      </c>
      <c r="U53" s="163" t="e">
        <f>T53+U14</f>
        <v>#REF!</v>
      </c>
      <c r="V53" s="163" t="e">
        <f t="shared" si="18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</row>
    <row r="54" spans="2:39" x14ac:dyDescent="0.3">
      <c r="B54" s="752"/>
      <c r="C54" s="18" t="s">
        <v>19</v>
      </c>
      <c r="D54" s="163">
        <f>D15+Agosto23!AF51</f>
        <v>37759.4</v>
      </c>
      <c r="E54" s="164">
        <f t="shared" si="17"/>
        <v>37834.9</v>
      </c>
      <c r="F54" s="164">
        <f t="shared" si="17"/>
        <v>37908.5</v>
      </c>
      <c r="G54" s="165">
        <v>38160</v>
      </c>
      <c r="H54" s="166">
        <v>38222</v>
      </c>
      <c r="I54" s="163">
        <f t="shared" si="18"/>
        <v>38370.6</v>
      </c>
      <c r="J54" s="163">
        <f t="shared" si="18"/>
        <v>38497.4</v>
      </c>
      <c r="K54" s="163">
        <f t="shared" si="18"/>
        <v>38640</v>
      </c>
      <c r="L54" s="163">
        <f t="shared" si="18"/>
        <v>38793.300000000003</v>
      </c>
      <c r="M54" s="163">
        <f t="shared" si="18"/>
        <v>38925</v>
      </c>
      <c r="N54" s="163">
        <f t="shared" si="18"/>
        <v>39037</v>
      </c>
      <c r="O54" s="163">
        <f>N54+O15</f>
        <v>39151.699999999997</v>
      </c>
      <c r="P54" s="163">
        <f t="shared" si="18"/>
        <v>39267.5</v>
      </c>
      <c r="Q54" s="163">
        <f t="shared" si="18"/>
        <v>39339.300000000003</v>
      </c>
      <c r="R54" s="163">
        <f t="shared" si="18"/>
        <v>39440.700000000004</v>
      </c>
      <c r="S54" s="163">
        <f t="shared" si="18"/>
        <v>39604.600000000006</v>
      </c>
      <c r="T54" s="163">
        <f>S54+T15</f>
        <v>39752.800000000003</v>
      </c>
      <c r="U54" s="163">
        <f>T54+U15</f>
        <v>39894.700000000004</v>
      </c>
      <c r="V54" s="163">
        <f t="shared" si="18"/>
        <v>39980.800000000003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</row>
    <row r="55" spans="2:39" x14ac:dyDescent="0.3">
      <c r="B55" s="753"/>
      <c r="C55" s="18" t="s">
        <v>20</v>
      </c>
      <c r="D55" s="163">
        <f>D16+Agosto23!AF52</f>
        <v>97048</v>
      </c>
      <c r="E55" s="164">
        <f t="shared" si="17"/>
        <v>97337</v>
      </c>
      <c r="F55" s="164">
        <f t="shared" si="17"/>
        <v>97568</v>
      </c>
      <c r="G55" s="165">
        <v>98510</v>
      </c>
      <c r="H55" s="166">
        <v>98809</v>
      </c>
      <c r="I55" s="163">
        <f t="shared" si="18"/>
        <v>99273.3</v>
      </c>
      <c r="J55" s="163">
        <f t="shared" si="18"/>
        <v>99748.6</v>
      </c>
      <c r="K55" s="163">
        <f t="shared" si="18"/>
        <v>100198.5</v>
      </c>
      <c r="L55" s="163">
        <f t="shared" si="18"/>
        <v>100681.3</v>
      </c>
      <c r="M55" s="163">
        <f t="shared" si="18"/>
        <v>101196.40000000001</v>
      </c>
      <c r="N55" s="163">
        <f t="shared" si="18"/>
        <v>101519.70000000001</v>
      </c>
      <c r="O55" s="163">
        <f t="shared" si="18"/>
        <v>101833.1</v>
      </c>
      <c r="P55" s="163">
        <f t="shared" si="18"/>
        <v>102173.40000000001</v>
      </c>
      <c r="Q55" s="163">
        <f t="shared" si="18"/>
        <v>102387.1</v>
      </c>
      <c r="R55" s="163">
        <f t="shared" si="18"/>
        <v>102722</v>
      </c>
      <c r="S55" s="163">
        <f t="shared" si="18"/>
        <v>103275.9</v>
      </c>
      <c r="T55" s="163">
        <f>S55+T14</f>
        <v>103820</v>
      </c>
      <c r="U55" s="163">
        <f t="shared" si="18"/>
        <v>104236.2</v>
      </c>
      <c r="V55" s="163">
        <f t="shared" si="18"/>
        <v>104501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</row>
    <row r="56" spans="2:39" x14ac:dyDescent="0.3">
      <c r="B56" s="754" t="s">
        <v>21</v>
      </c>
      <c r="C56" s="18" t="s">
        <v>22</v>
      </c>
      <c r="D56" s="163">
        <f>D17+Agosto23!AF53</f>
        <v>65866.600000000006</v>
      </c>
      <c r="E56" s="164">
        <f t="shared" si="17"/>
        <v>66191.600000000006</v>
      </c>
      <c r="F56" s="164">
        <f t="shared" si="17"/>
        <v>66376.200000000012</v>
      </c>
      <c r="G56" s="165">
        <v>67299</v>
      </c>
      <c r="H56" s="166">
        <v>67726</v>
      </c>
      <c r="I56" s="163">
        <f t="shared" si="18"/>
        <v>68260</v>
      </c>
      <c r="J56" s="163">
        <f t="shared" si="18"/>
        <v>68725.8</v>
      </c>
      <c r="K56" s="163">
        <f t="shared" si="18"/>
        <v>69264.7</v>
      </c>
      <c r="L56" s="163">
        <f t="shared" si="18"/>
        <v>69709.099999999991</v>
      </c>
      <c r="M56" s="163">
        <f t="shared" si="18"/>
        <v>70227.299999999988</v>
      </c>
      <c r="N56" s="163">
        <f t="shared" si="18"/>
        <v>70662.199999999983</v>
      </c>
      <c r="O56" s="163">
        <f t="shared" si="18"/>
        <v>71126.89999999998</v>
      </c>
      <c r="P56" s="163">
        <f t="shared" si="18"/>
        <v>71509.299999999974</v>
      </c>
      <c r="Q56" s="163">
        <f t="shared" si="18"/>
        <v>71753.89999999998</v>
      </c>
      <c r="R56" s="163">
        <f t="shared" si="18"/>
        <v>72138.599999999977</v>
      </c>
      <c r="S56" s="163">
        <f t="shared" si="18"/>
        <v>72674.499999999971</v>
      </c>
      <c r="T56" s="163">
        <f t="shared" si="18"/>
        <v>73146.999999999971</v>
      </c>
      <c r="U56" s="163">
        <f t="shared" si="18"/>
        <v>73647.899999999965</v>
      </c>
      <c r="V56" s="163">
        <f t="shared" si="18"/>
        <v>73933.399999999965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</row>
    <row r="57" spans="2:39" x14ac:dyDescent="0.3">
      <c r="B57" s="754"/>
      <c r="C57" s="18" t="s">
        <v>23</v>
      </c>
      <c r="D57" s="163">
        <f>D18+Agosto23!AF54</f>
        <v>74432.3</v>
      </c>
      <c r="E57" s="164">
        <f t="shared" si="17"/>
        <v>74783.900000000009</v>
      </c>
      <c r="F57" s="164">
        <f t="shared" si="17"/>
        <v>74978.700000000012</v>
      </c>
      <c r="G57" s="165">
        <v>75901</v>
      </c>
      <c r="H57" s="166">
        <v>76333</v>
      </c>
      <c r="I57" s="163">
        <f t="shared" si="18"/>
        <v>76887.600000000006</v>
      </c>
      <c r="J57" s="163">
        <f t="shared" si="18"/>
        <v>77394.3</v>
      </c>
      <c r="K57" s="163">
        <f t="shared" si="18"/>
        <v>77962</v>
      </c>
      <c r="L57" s="163">
        <f t="shared" si="18"/>
        <v>78436.7</v>
      </c>
      <c r="M57" s="163">
        <f>L57+M21</f>
        <v>78681.399999999994</v>
      </c>
      <c r="N57" s="163">
        <f t="shared" si="18"/>
        <v>79124.899999999994</v>
      </c>
      <c r="O57" s="163">
        <f t="shared" si="18"/>
        <v>79610.299999999988</v>
      </c>
      <c r="P57" s="163">
        <f t="shared" si="18"/>
        <v>80016.099999999991</v>
      </c>
      <c r="Q57" s="163">
        <f t="shared" si="18"/>
        <v>80283.299999999988</v>
      </c>
      <c r="R57" s="163">
        <f t="shared" si="18"/>
        <v>80707.399999999994</v>
      </c>
      <c r="S57" s="163">
        <f t="shared" si="18"/>
        <v>81278</v>
      </c>
      <c r="T57" s="163">
        <f t="shared" si="18"/>
        <v>81757.399999999994</v>
      </c>
      <c r="U57" s="163">
        <f t="shared" si="18"/>
        <v>82278.399999999994</v>
      </c>
      <c r="V57" s="163">
        <f t="shared" si="18"/>
        <v>82592.599999999991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</row>
    <row r="58" spans="2:39" x14ac:dyDescent="0.3">
      <c r="B58" s="754"/>
      <c r="C58" s="18" t="s">
        <v>24</v>
      </c>
      <c r="D58" s="163">
        <f>D19+Agosto23!AF55</f>
        <v>136120.70000000001</v>
      </c>
      <c r="E58" s="164">
        <f t="shared" si="17"/>
        <v>136416.1</v>
      </c>
      <c r="F58" s="164">
        <f t="shared" si="17"/>
        <v>136563.70000000001</v>
      </c>
      <c r="G58" s="165">
        <v>137294</v>
      </c>
      <c r="H58" s="166">
        <v>137664</v>
      </c>
      <c r="I58" s="163">
        <f>H58+I19</f>
        <v>138127.1</v>
      </c>
      <c r="J58" s="163">
        <f t="shared" si="18"/>
        <v>138511</v>
      </c>
      <c r="K58" s="163">
        <f t="shared" si="18"/>
        <v>138948.4</v>
      </c>
      <c r="L58" s="163">
        <f>K58+L21</f>
        <v>139307</v>
      </c>
      <c r="M58" s="163">
        <f t="shared" si="18"/>
        <v>139682.6</v>
      </c>
      <c r="N58" s="163">
        <f t="shared" si="18"/>
        <v>140079.9</v>
      </c>
      <c r="O58" s="163">
        <f t="shared" si="18"/>
        <v>140488.4</v>
      </c>
      <c r="P58" s="163">
        <f t="shared" si="18"/>
        <v>140834</v>
      </c>
      <c r="Q58" s="163">
        <f t="shared" si="18"/>
        <v>141042.20000000001</v>
      </c>
      <c r="R58" s="163">
        <f t="shared" si="18"/>
        <v>141346.30000000002</v>
      </c>
      <c r="S58" s="163">
        <f t="shared" si="18"/>
        <v>141690.70000000001</v>
      </c>
      <c r="T58" s="163">
        <f t="shared" si="18"/>
        <v>142102.90000000002</v>
      </c>
      <c r="U58" s="163">
        <f t="shared" si="18"/>
        <v>142530.40000000002</v>
      </c>
      <c r="V58" s="163">
        <f t="shared" si="18"/>
        <v>142771.90000000002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</row>
    <row r="59" spans="2:39" x14ac:dyDescent="0.3">
      <c r="B59" s="754"/>
      <c r="C59" s="18" t="s">
        <v>25</v>
      </c>
      <c r="D59" s="163">
        <f>D20+Agosto23!AF56</f>
        <v>174515.3</v>
      </c>
      <c r="E59" s="164">
        <f t="shared" si="17"/>
        <v>174892.09999999998</v>
      </c>
      <c r="F59" s="164">
        <f t="shared" si="17"/>
        <v>175085.59999999998</v>
      </c>
      <c r="G59" s="165">
        <v>176032</v>
      </c>
      <c r="H59" s="166">
        <v>176536</v>
      </c>
      <c r="I59" s="163">
        <f>H59+I20</f>
        <v>177118.7</v>
      </c>
      <c r="J59" s="163">
        <f t="shared" si="18"/>
        <v>177599.1</v>
      </c>
      <c r="K59" s="163">
        <f t="shared" si="18"/>
        <v>178127.2</v>
      </c>
      <c r="L59" s="163">
        <f t="shared" si="18"/>
        <v>178594</v>
      </c>
      <c r="M59" s="163">
        <f t="shared" si="18"/>
        <v>178919.3</v>
      </c>
      <c r="N59" s="163">
        <f>M59+N21</f>
        <v>179428</v>
      </c>
      <c r="O59" s="163" t="e">
        <f>N59+#REF!</f>
        <v>#REF!</v>
      </c>
      <c r="P59" s="163" t="e">
        <f t="shared" si="18"/>
        <v>#REF!</v>
      </c>
      <c r="Q59" s="163" t="e">
        <f t="shared" si="18"/>
        <v>#REF!</v>
      </c>
      <c r="R59" s="163" t="e">
        <f t="shared" si="18"/>
        <v>#REF!</v>
      </c>
      <c r="S59" s="163" t="e">
        <f>R59+S21</f>
        <v>#REF!</v>
      </c>
      <c r="T59" s="163" t="e">
        <f t="shared" si="18"/>
        <v>#REF!</v>
      </c>
      <c r="U59" s="163" t="e">
        <f t="shared" si="18"/>
        <v>#REF!</v>
      </c>
      <c r="V59" s="163" t="e">
        <f t="shared" si="18"/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</row>
    <row r="60" spans="2:39" x14ac:dyDescent="0.3">
      <c r="B60" s="754"/>
      <c r="C60" s="18" t="s">
        <v>26</v>
      </c>
      <c r="D60" s="163">
        <f>D21+Agosto23!AF57</f>
        <v>82293.3</v>
      </c>
      <c r="E60" s="164">
        <f t="shared" ref="E60:F66" si="19">D60+E21</f>
        <v>82574.3</v>
      </c>
      <c r="F60" s="164">
        <f t="shared" si="19"/>
        <v>82719</v>
      </c>
      <c r="G60" s="165">
        <v>83628</v>
      </c>
      <c r="H60" s="166">
        <v>84081</v>
      </c>
      <c r="I60" s="163">
        <f t="shared" ref="I60:L66" si="20">H60+I21</f>
        <v>84545.600000000006</v>
      </c>
      <c r="J60" s="163">
        <f t="shared" si="20"/>
        <v>84908.6</v>
      </c>
      <c r="K60" s="163">
        <f t="shared" si="20"/>
        <v>85328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21">N60+O21</f>
        <v>#REF!</v>
      </c>
      <c r="P60" s="163" t="e">
        <f t="shared" si="21"/>
        <v>#REF!</v>
      </c>
      <c r="Q60" s="163" t="e">
        <f t="shared" si="21"/>
        <v>#REF!</v>
      </c>
      <c r="R60" s="163" t="e">
        <f t="shared" si="21"/>
        <v>#REF!</v>
      </c>
      <c r="S60" s="163" t="e">
        <f>R60+#REF!</f>
        <v>#REF!</v>
      </c>
      <c r="T60" s="163" t="e">
        <f t="shared" ref="T60:V66" si="22">S60+T21</f>
        <v>#REF!</v>
      </c>
      <c r="U60" s="163" t="e">
        <f t="shared" si="22"/>
        <v>#REF!</v>
      </c>
      <c r="V60" s="163" t="e">
        <f t="shared" si="22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</row>
    <row r="61" spans="2:39" x14ac:dyDescent="0.3">
      <c r="B61" s="754"/>
      <c r="C61" s="18" t="s">
        <v>27</v>
      </c>
      <c r="D61" s="163">
        <f>D22+Agosto23!AF58</f>
        <v>61387.199999999997</v>
      </c>
      <c r="E61" s="164">
        <f t="shared" si="19"/>
        <v>61722.1</v>
      </c>
      <c r="F61" s="164">
        <f t="shared" si="19"/>
        <v>62042.6</v>
      </c>
      <c r="G61" s="165">
        <v>63058</v>
      </c>
      <c r="H61" s="166">
        <v>63281</v>
      </c>
      <c r="I61" s="163">
        <f t="shared" si="20"/>
        <v>63901.8</v>
      </c>
      <c r="J61" s="163">
        <f t="shared" si="20"/>
        <v>64455.8</v>
      </c>
      <c r="K61" s="163">
        <f t="shared" si="20"/>
        <v>65025.4</v>
      </c>
      <c r="L61" s="163">
        <f t="shared" si="20"/>
        <v>65624.399999999994</v>
      </c>
      <c r="M61" s="163">
        <f t="shared" si="21"/>
        <v>66194.2</v>
      </c>
      <c r="N61" s="163">
        <f t="shared" si="21"/>
        <v>66666.3</v>
      </c>
      <c r="O61" s="163">
        <f t="shared" si="21"/>
        <v>67138.100000000006</v>
      </c>
      <c r="P61" s="163">
        <f t="shared" si="21"/>
        <v>67571.100000000006</v>
      </c>
      <c r="Q61" s="163">
        <f t="shared" si="21"/>
        <v>67898.100000000006</v>
      </c>
      <c r="R61" s="163">
        <f t="shared" si="21"/>
        <v>68334.100000000006</v>
      </c>
      <c r="S61" s="163">
        <f t="shared" si="21"/>
        <v>68992.400000000009</v>
      </c>
      <c r="T61" s="163">
        <f t="shared" si="22"/>
        <v>69589.900000000009</v>
      </c>
      <c r="U61" s="163">
        <f t="shared" si="22"/>
        <v>70132.700000000012</v>
      </c>
      <c r="V61" s="163">
        <f t="shared" si="22"/>
        <v>70514.400000000009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</row>
    <row r="62" spans="2:39" x14ac:dyDescent="0.3">
      <c r="B62" s="754"/>
      <c r="C62" s="18" t="s">
        <v>28</v>
      </c>
      <c r="D62" s="163">
        <f>D23+Agosto23!AF59</f>
        <v>87493.37</v>
      </c>
      <c r="E62" s="164">
        <f t="shared" si="19"/>
        <v>87755.67</v>
      </c>
      <c r="F62" s="164">
        <f t="shared" si="19"/>
        <v>88010.47</v>
      </c>
      <c r="G62" s="165">
        <v>87693.64</v>
      </c>
      <c r="H62" s="166">
        <v>87903.16</v>
      </c>
      <c r="I62" s="163">
        <f t="shared" si="20"/>
        <v>88438.66</v>
      </c>
      <c r="J62" s="163">
        <f t="shared" si="20"/>
        <v>88903.66</v>
      </c>
      <c r="K62" s="163">
        <f>J62+K23</f>
        <v>89410.260000000009</v>
      </c>
      <c r="L62" s="163">
        <f t="shared" si="20"/>
        <v>89938.560000000012</v>
      </c>
      <c r="M62" s="163">
        <f t="shared" si="21"/>
        <v>90420.46</v>
      </c>
      <c r="N62" s="163">
        <f t="shared" si="21"/>
        <v>90847.96</v>
      </c>
      <c r="O62" s="163">
        <f>N62+O20</f>
        <v>91387.16</v>
      </c>
      <c r="P62" s="163">
        <f t="shared" si="21"/>
        <v>91766.760000000009</v>
      </c>
      <c r="Q62" s="163">
        <f t="shared" si="21"/>
        <v>92019.46</v>
      </c>
      <c r="R62" s="163">
        <f t="shared" si="21"/>
        <v>92379.46</v>
      </c>
      <c r="S62" s="163">
        <f t="shared" si="21"/>
        <v>92956.060000000012</v>
      </c>
      <c r="T62" s="163">
        <f t="shared" si="22"/>
        <v>93488.260000000009</v>
      </c>
      <c r="U62" s="163">
        <f t="shared" si="22"/>
        <v>93970.360000000015</v>
      </c>
      <c r="V62" s="163">
        <f t="shared" si="22"/>
        <v>94277.360000000015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</row>
    <row r="63" spans="2:39" x14ac:dyDescent="0.3">
      <c r="B63" s="754"/>
      <c r="C63" s="18" t="s">
        <v>29</v>
      </c>
      <c r="D63" s="163">
        <f>D24+Agosto23!AF60</f>
        <v>129374.29999999999</v>
      </c>
      <c r="E63" s="164">
        <f t="shared" si="19"/>
        <v>130384.29999999999</v>
      </c>
      <c r="F63" s="164">
        <f t="shared" si="19"/>
        <v>131368.69999999998</v>
      </c>
      <c r="G63" s="165">
        <v>130195</v>
      </c>
      <c r="H63" s="166">
        <v>130451</v>
      </c>
      <c r="I63" s="163">
        <f t="shared" si="20"/>
        <v>132451</v>
      </c>
      <c r="J63" s="163">
        <f t="shared" si="20"/>
        <v>134181</v>
      </c>
      <c r="K63" s="163">
        <f>J63+K24</f>
        <v>135988.1</v>
      </c>
      <c r="L63" s="163">
        <f t="shared" si="20"/>
        <v>137933.1</v>
      </c>
      <c r="M63" s="163">
        <f t="shared" si="21"/>
        <v>139683.1</v>
      </c>
      <c r="N63" s="163">
        <f t="shared" si="21"/>
        <v>141173.1</v>
      </c>
      <c r="O63" s="163">
        <f t="shared" si="21"/>
        <v>142668.1</v>
      </c>
      <c r="P63" s="163">
        <f t="shared" si="21"/>
        <v>144068.1</v>
      </c>
      <c r="Q63" s="163">
        <f t="shared" si="21"/>
        <v>145051.9</v>
      </c>
      <c r="R63" s="163">
        <f t="shared" si="21"/>
        <v>146451.9</v>
      </c>
      <c r="S63" s="163">
        <f t="shared" si="21"/>
        <v>148498.5</v>
      </c>
      <c r="T63" s="163">
        <f t="shared" si="22"/>
        <v>150315.1</v>
      </c>
      <c r="U63" s="163">
        <f t="shared" si="22"/>
        <v>151995.1</v>
      </c>
      <c r="V63" s="163">
        <f t="shared" si="22"/>
        <v>153180.1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</row>
    <row r="64" spans="2:39" x14ac:dyDescent="0.3">
      <c r="B64" s="754"/>
      <c r="C64" s="18" t="s">
        <v>30</v>
      </c>
      <c r="D64" s="163">
        <f>D25+Agosto23!AF61</f>
        <v>14266.8</v>
      </c>
      <c r="E64" s="164">
        <f t="shared" si="19"/>
        <v>14657.4</v>
      </c>
      <c r="F64" s="164">
        <f t="shared" si="19"/>
        <v>15046.199999999999</v>
      </c>
      <c r="G64" s="165">
        <v>18667</v>
      </c>
      <c r="H64" s="166">
        <v>19364</v>
      </c>
      <c r="I64" s="163">
        <f t="shared" si="20"/>
        <v>19785.3</v>
      </c>
      <c r="J64" s="163">
        <f t="shared" si="20"/>
        <v>20376.399999999998</v>
      </c>
      <c r="K64" s="163">
        <f t="shared" si="20"/>
        <v>20952.199999999997</v>
      </c>
      <c r="L64" s="163">
        <f t="shared" si="20"/>
        <v>21507.899999999998</v>
      </c>
      <c r="M64" s="163">
        <f t="shared" si="21"/>
        <v>22118.3</v>
      </c>
      <c r="N64" s="163">
        <f t="shared" si="21"/>
        <v>22680.1</v>
      </c>
      <c r="O64" s="163">
        <f t="shared" si="21"/>
        <v>23091.5</v>
      </c>
      <c r="P64" s="163">
        <f t="shared" si="21"/>
        <v>23401.5</v>
      </c>
      <c r="Q64" s="163">
        <f t="shared" si="21"/>
        <v>23869.200000000001</v>
      </c>
      <c r="R64" s="163">
        <f t="shared" si="21"/>
        <v>24433.600000000002</v>
      </c>
      <c r="S64" s="163">
        <f t="shared" si="21"/>
        <v>25070.2</v>
      </c>
      <c r="T64" s="163">
        <f t="shared" si="22"/>
        <v>25530.3</v>
      </c>
      <c r="U64" s="163">
        <f t="shared" si="22"/>
        <v>26019.399999999998</v>
      </c>
      <c r="V64" s="163">
        <f t="shared" si="22"/>
        <v>26384.999999999996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</row>
    <row r="65" spans="2:39" x14ac:dyDescent="0.3">
      <c r="B65" s="754"/>
      <c r="C65" s="18" t="s">
        <v>111</v>
      </c>
      <c r="D65" s="163">
        <f>D26+Agosto23!AF62</f>
        <v>45036.6</v>
      </c>
      <c r="E65" s="164">
        <f t="shared" si="19"/>
        <v>45402.400000000001</v>
      </c>
      <c r="F65" s="164">
        <f t="shared" si="19"/>
        <v>45750.6</v>
      </c>
      <c r="G65" s="165">
        <v>46772</v>
      </c>
      <c r="H65" s="166">
        <v>47086</v>
      </c>
      <c r="I65" s="163">
        <f t="shared" si="20"/>
        <v>47536.3</v>
      </c>
      <c r="J65" s="163">
        <f t="shared" si="20"/>
        <v>48046.200000000004</v>
      </c>
      <c r="K65" s="163">
        <f t="shared" si="20"/>
        <v>48569.500000000007</v>
      </c>
      <c r="L65" s="163">
        <f t="shared" si="20"/>
        <v>49078.30000000001</v>
      </c>
      <c r="M65" s="163">
        <f t="shared" si="21"/>
        <v>49612.000000000007</v>
      </c>
      <c r="N65" s="163">
        <f t="shared" si="21"/>
        <v>49924.100000000006</v>
      </c>
      <c r="O65" s="163">
        <f t="shared" si="21"/>
        <v>50251.200000000004</v>
      </c>
      <c r="P65" s="163">
        <f t="shared" si="21"/>
        <v>50550.8</v>
      </c>
      <c r="Q65" s="163">
        <f t="shared" si="21"/>
        <v>50829.5</v>
      </c>
      <c r="R65" s="163">
        <f t="shared" si="21"/>
        <v>51188.5</v>
      </c>
      <c r="S65" s="163">
        <f t="shared" si="21"/>
        <v>51738</v>
      </c>
      <c r="T65" s="163">
        <f t="shared" si="22"/>
        <v>52211.4</v>
      </c>
      <c r="U65" s="163">
        <f t="shared" si="22"/>
        <v>52609.700000000004</v>
      </c>
      <c r="V65" s="163">
        <f t="shared" si="22"/>
        <v>52959.8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</row>
    <row r="66" spans="2:39" ht="15" thickBot="1" x14ac:dyDescent="0.35">
      <c r="B66" s="754"/>
      <c r="C66" s="18" t="s">
        <v>32</v>
      </c>
      <c r="D66" s="163">
        <f>D27+Agosto23!AF63</f>
        <v>9285</v>
      </c>
      <c r="E66" s="164">
        <f t="shared" si="19"/>
        <v>9650.1</v>
      </c>
      <c r="F66" s="164">
        <f t="shared" si="19"/>
        <v>9978.3000000000011</v>
      </c>
      <c r="G66" s="165">
        <v>10779</v>
      </c>
      <c r="H66" s="166">
        <v>10940</v>
      </c>
      <c r="I66" s="163">
        <f t="shared" si="20"/>
        <v>11481</v>
      </c>
      <c r="J66" s="163">
        <f t="shared" si="20"/>
        <v>11979</v>
      </c>
      <c r="K66" s="163">
        <f t="shared" si="20"/>
        <v>12458.4</v>
      </c>
      <c r="L66" s="163">
        <f t="shared" si="20"/>
        <v>12977.3</v>
      </c>
      <c r="M66" s="163">
        <f t="shared" si="21"/>
        <v>13465.4</v>
      </c>
      <c r="N66" s="163">
        <f t="shared" si="21"/>
        <v>13821.8</v>
      </c>
      <c r="O66" s="163">
        <f t="shared" si="21"/>
        <v>14222.5</v>
      </c>
      <c r="P66" s="163">
        <f t="shared" si="21"/>
        <v>14453.1</v>
      </c>
      <c r="Q66" s="163">
        <f t="shared" si="21"/>
        <v>14808.9</v>
      </c>
      <c r="R66" s="163">
        <f t="shared" si="21"/>
        <v>15092.4</v>
      </c>
      <c r="S66" s="163">
        <f t="shared" si="21"/>
        <v>15634.1</v>
      </c>
      <c r="T66" s="163">
        <f t="shared" si="22"/>
        <v>16095.7</v>
      </c>
      <c r="U66" s="163">
        <f t="shared" si="22"/>
        <v>16489.5</v>
      </c>
      <c r="V66" s="163">
        <f t="shared" si="22"/>
        <v>16732.8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</row>
    <row r="67" spans="2:39" x14ac:dyDescent="0.3">
      <c r="B67" s="754"/>
      <c r="C67" s="18" t="s">
        <v>112</v>
      </c>
      <c r="D67" s="163">
        <f>D29+Agosto23!AF64</f>
        <v>18736.399999999998</v>
      </c>
      <c r="E67" s="164">
        <f>D67+E29</f>
        <v>19098.899999999998</v>
      </c>
      <c r="F67" s="164">
        <f>E67+F29</f>
        <v>19433.199999999997</v>
      </c>
      <c r="G67" s="165">
        <v>20520.400000000001</v>
      </c>
      <c r="H67" s="166">
        <v>20739</v>
      </c>
      <c r="I67" s="163">
        <f t="shared" ref="I67:V67" si="23">H67+I29</f>
        <v>21274.1</v>
      </c>
      <c r="J67" s="163">
        <f t="shared" si="23"/>
        <v>21756.3</v>
      </c>
      <c r="K67" s="163">
        <f t="shared" si="23"/>
        <v>22260.1</v>
      </c>
      <c r="L67" s="163">
        <f t="shared" si="23"/>
        <v>22775.5</v>
      </c>
      <c r="M67" s="163">
        <f t="shared" si="23"/>
        <v>23273.4</v>
      </c>
      <c r="N67" s="163">
        <f t="shared" si="23"/>
        <v>23661.7</v>
      </c>
      <c r="O67" s="163">
        <f t="shared" si="23"/>
        <v>24086.799999999999</v>
      </c>
      <c r="P67" s="163">
        <f t="shared" si="23"/>
        <v>24326.6</v>
      </c>
      <c r="Q67" s="163">
        <f t="shared" si="23"/>
        <v>24659.5</v>
      </c>
      <c r="R67" s="163">
        <f t="shared" si="23"/>
        <v>24947.599999999999</v>
      </c>
      <c r="S67" s="163">
        <f t="shared" si="23"/>
        <v>25508.6</v>
      </c>
      <c r="T67" s="163">
        <f t="shared" si="23"/>
        <v>25989.3</v>
      </c>
      <c r="U67" s="163">
        <f t="shared" si="23"/>
        <v>26408.3</v>
      </c>
      <c r="V67" s="163">
        <f t="shared" si="23"/>
        <v>26642.2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9" x14ac:dyDescent="0.3">
      <c r="B68" s="756" t="s">
        <v>196</v>
      </c>
      <c r="C68" s="756"/>
      <c r="D68" s="756"/>
      <c r="E68" s="756"/>
    </row>
    <row r="69" spans="2:39" x14ac:dyDescent="0.3">
      <c r="B69" s="757" t="s">
        <v>132</v>
      </c>
      <c r="C69" s="757"/>
      <c r="D69" s="757"/>
      <c r="E69" s="757"/>
    </row>
  </sheetData>
  <mergeCells count="14">
    <mergeCell ref="B32:C32"/>
    <mergeCell ref="B4:C4"/>
    <mergeCell ref="B5:B12"/>
    <mergeCell ref="B13:B16"/>
    <mergeCell ref="B17:B29"/>
    <mergeCell ref="B30:B31"/>
    <mergeCell ref="B68:E68"/>
    <mergeCell ref="B69:E69"/>
    <mergeCell ref="AE34:AG34"/>
    <mergeCell ref="AE35:AG35"/>
    <mergeCell ref="AE36:AG36"/>
    <mergeCell ref="B44:B51"/>
    <mergeCell ref="B52:B55"/>
    <mergeCell ref="B56:B67"/>
  </mergeCells>
  <conditionalFormatting sqref="AL5:BO31">
    <cfRule type="cellIs" dxfId="143" priority="2" operator="equal">
      <formula>"VAZIO"</formula>
    </cfRule>
  </conditionalFormatting>
  <conditionalFormatting sqref="AL5:BP31">
    <cfRule type="expression" dxfId="142" priority="6">
      <formula>AL5&gt;$BQ5</formula>
    </cfRule>
    <cfRule type="expression" dxfId="141" priority="7">
      <formula>AL5&lt;($BQ5-0.01)</formula>
    </cfRule>
  </conditionalFormatting>
  <conditionalFormatting sqref="AM8:BO8 BJ9 AM16:BO16 AM24:BO25">
    <cfRule type="cellIs" dxfId="140" priority="3" operator="equal">
      <formula>"""VAZIO"""</formula>
    </cfRule>
  </conditionalFormatting>
  <conditionalFormatting sqref="AP5:BO31">
    <cfRule type="expression" dxfId="139" priority="1">
      <formula>AP5=0</formula>
    </cfRule>
  </conditionalFormatting>
  <conditionalFormatting sqref="BT5:BT31">
    <cfRule type="cellIs" dxfId="138" priority="4" operator="greaterThan">
      <formula>0</formula>
    </cfRule>
    <cfRule type="cellIs" dxfId="137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B70F6-B0BE-46F8-A48D-68355821B323}">
  <dimension ref="A3:AC7"/>
  <sheetViews>
    <sheetView workbookViewId="0">
      <selection activeCell="C20" sqref="C20"/>
    </sheetView>
  </sheetViews>
  <sheetFormatPr defaultRowHeight="14.4" x14ac:dyDescent="0.3"/>
  <cols>
    <col min="1" max="1" width="19.109375" bestFit="1" customWidth="1"/>
    <col min="2" max="2" width="20.6640625" customWidth="1"/>
    <col min="3" max="3" width="17.109375" bestFit="1" customWidth="1"/>
    <col min="4" max="4" width="17.88671875" bestFit="1" customWidth="1"/>
    <col min="5" max="5" width="14.33203125" bestFit="1" customWidth="1"/>
    <col min="6" max="6" width="14.88671875" bestFit="1" customWidth="1"/>
    <col min="7" max="7" width="16.33203125" bestFit="1" customWidth="1"/>
    <col min="8" max="9" width="8.33203125" bestFit="1" customWidth="1"/>
    <col min="10" max="10" width="10" bestFit="1" customWidth="1"/>
    <col min="11" max="12" width="11.6640625" bestFit="1" customWidth="1"/>
    <col min="13" max="13" width="10.109375" bestFit="1" customWidth="1"/>
    <col min="14" max="14" width="15.5546875" bestFit="1" customWidth="1"/>
    <col min="15" max="15" width="16.109375" bestFit="1" customWidth="1"/>
    <col min="16" max="16" width="16.6640625" bestFit="1" customWidth="1"/>
    <col min="17" max="17" width="14.109375" bestFit="1" customWidth="1"/>
    <col min="18" max="18" width="16.6640625" bestFit="1" customWidth="1"/>
    <col min="19" max="19" width="17.44140625" bestFit="1" customWidth="1"/>
    <col min="20" max="20" width="10.5546875" bestFit="1" customWidth="1"/>
    <col min="21" max="21" width="11.109375" bestFit="1" customWidth="1"/>
    <col min="22" max="22" width="11.6640625" bestFit="1" customWidth="1"/>
    <col min="23" max="24" width="13.33203125" bestFit="1" customWidth="1"/>
    <col min="25" max="25" width="16.44140625" bestFit="1" customWidth="1"/>
    <col min="26" max="26" width="17" bestFit="1" customWidth="1"/>
    <col min="27" max="27" width="17.6640625" bestFit="1" customWidth="1"/>
    <col min="28" max="28" width="11.6640625" bestFit="1" customWidth="1"/>
    <col min="29" max="29" width="11" bestFit="1" customWidth="1"/>
    <col min="30" max="30" width="18.33203125" bestFit="1" customWidth="1"/>
    <col min="31" max="31" width="27.6640625" bestFit="1" customWidth="1"/>
    <col min="32" max="32" width="18.33203125" bestFit="1" customWidth="1"/>
    <col min="33" max="33" width="27.6640625" bestFit="1" customWidth="1"/>
    <col min="34" max="34" width="18.33203125" bestFit="1" customWidth="1"/>
    <col min="35" max="35" width="27.6640625" bestFit="1" customWidth="1"/>
    <col min="36" max="36" width="18.33203125" bestFit="1" customWidth="1"/>
    <col min="37" max="37" width="27.6640625" bestFit="1" customWidth="1"/>
    <col min="38" max="38" width="18.33203125" bestFit="1" customWidth="1"/>
    <col min="39" max="39" width="27.6640625" bestFit="1" customWidth="1"/>
    <col min="40" max="40" width="18.33203125" bestFit="1" customWidth="1"/>
    <col min="41" max="41" width="27.6640625" bestFit="1" customWidth="1"/>
    <col min="42" max="42" width="18.33203125" bestFit="1" customWidth="1"/>
    <col min="43" max="43" width="27.6640625" bestFit="1" customWidth="1"/>
    <col min="44" max="44" width="18.33203125" bestFit="1" customWidth="1"/>
    <col min="45" max="45" width="27.6640625" bestFit="1" customWidth="1"/>
    <col min="46" max="46" width="18.33203125" bestFit="1" customWidth="1"/>
    <col min="47" max="47" width="27.6640625" bestFit="1" customWidth="1"/>
    <col min="48" max="48" width="18.33203125" bestFit="1" customWidth="1"/>
    <col min="49" max="49" width="27.6640625" bestFit="1" customWidth="1"/>
    <col min="50" max="50" width="18.33203125" bestFit="1" customWidth="1"/>
    <col min="51" max="51" width="27.6640625" bestFit="1" customWidth="1"/>
    <col min="52" max="52" width="18.33203125" bestFit="1" customWidth="1"/>
    <col min="53" max="53" width="27.6640625" bestFit="1" customWidth="1"/>
    <col min="54" max="54" width="18.33203125" bestFit="1" customWidth="1"/>
    <col min="55" max="55" width="27.6640625" bestFit="1" customWidth="1"/>
    <col min="56" max="56" width="23.33203125" bestFit="1" customWidth="1"/>
    <col min="57" max="57" width="32.88671875" bestFit="1" customWidth="1"/>
    <col min="58" max="58" width="39.109375" bestFit="1" customWidth="1"/>
    <col min="59" max="59" width="18.33203125" bestFit="1" customWidth="1"/>
    <col min="60" max="60" width="27.6640625" bestFit="1" customWidth="1"/>
    <col min="61" max="61" width="18.33203125" bestFit="1" customWidth="1"/>
    <col min="62" max="62" width="27.6640625" bestFit="1" customWidth="1"/>
    <col min="63" max="63" width="29.88671875" bestFit="1" customWidth="1"/>
    <col min="64" max="64" width="39.109375" bestFit="1" customWidth="1"/>
    <col min="65" max="65" width="18.33203125" bestFit="1" customWidth="1"/>
    <col min="66" max="66" width="27.6640625" bestFit="1" customWidth="1"/>
    <col min="67" max="67" width="18.33203125" bestFit="1" customWidth="1"/>
    <col min="68" max="68" width="27.6640625" bestFit="1" customWidth="1"/>
    <col min="69" max="69" width="28" bestFit="1" customWidth="1"/>
    <col min="70" max="70" width="37.44140625" bestFit="1" customWidth="1"/>
    <col min="71" max="71" width="18.33203125" bestFit="1" customWidth="1"/>
    <col min="72" max="72" width="27.6640625" bestFit="1" customWidth="1"/>
    <col min="73" max="73" width="18.33203125" bestFit="1" customWidth="1"/>
    <col min="74" max="74" width="27.6640625" bestFit="1" customWidth="1"/>
    <col min="75" max="75" width="33.33203125" bestFit="1" customWidth="1"/>
    <col min="76" max="76" width="43" bestFit="1" customWidth="1"/>
    <col min="77" max="77" width="18.33203125" bestFit="1" customWidth="1"/>
    <col min="78" max="78" width="27.6640625" bestFit="1" customWidth="1"/>
    <col min="79" max="79" width="18.33203125" bestFit="1" customWidth="1"/>
    <col min="80" max="80" width="27.6640625" bestFit="1" customWidth="1"/>
    <col min="81" max="81" width="34" bestFit="1" customWidth="1"/>
    <col min="82" max="82" width="43.5546875" bestFit="1" customWidth="1"/>
    <col min="83" max="83" width="18.6640625" bestFit="1" customWidth="1"/>
    <col min="84" max="84" width="27.6640625" bestFit="1" customWidth="1"/>
    <col min="85" max="85" width="18.33203125" bestFit="1" customWidth="1"/>
    <col min="86" max="86" width="27.6640625" bestFit="1" customWidth="1"/>
    <col min="87" max="87" width="34.5546875" bestFit="1" customWidth="1"/>
    <col min="88" max="88" width="44.109375" bestFit="1" customWidth="1"/>
    <col min="89" max="89" width="18.33203125" bestFit="1" customWidth="1"/>
    <col min="90" max="90" width="27.6640625" bestFit="1" customWidth="1"/>
    <col min="91" max="91" width="18.33203125" bestFit="1" customWidth="1"/>
    <col min="92" max="92" width="27.6640625" bestFit="1" customWidth="1"/>
    <col min="93" max="93" width="31.88671875" bestFit="1" customWidth="1"/>
    <col min="94" max="94" width="41.44140625" bestFit="1" customWidth="1"/>
    <col min="95" max="95" width="18.6640625" bestFit="1" customWidth="1"/>
    <col min="96" max="96" width="27.6640625" bestFit="1" customWidth="1"/>
    <col min="97" max="97" width="18.33203125" bestFit="1" customWidth="1"/>
    <col min="98" max="98" width="27.6640625" bestFit="1" customWidth="1"/>
    <col min="99" max="99" width="34.88671875" bestFit="1" customWidth="1"/>
    <col min="100" max="100" width="44.109375" bestFit="1" customWidth="1"/>
    <col min="101" max="101" width="19.33203125" bestFit="1" customWidth="1"/>
    <col min="102" max="102" width="27.6640625" bestFit="1" customWidth="1"/>
    <col min="103" max="103" width="18.33203125" bestFit="1" customWidth="1"/>
    <col min="104" max="104" width="27.6640625" bestFit="1" customWidth="1"/>
    <col min="105" max="105" width="35.44140625" bestFit="1" customWidth="1"/>
    <col min="106" max="106" width="44.6640625" bestFit="1" customWidth="1"/>
    <col min="107" max="107" width="18.33203125" bestFit="1" customWidth="1"/>
    <col min="108" max="108" width="27.6640625" bestFit="1" customWidth="1"/>
    <col min="109" max="109" width="18.33203125" bestFit="1" customWidth="1"/>
    <col min="110" max="110" width="27.6640625" bestFit="1" customWidth="1"/>
    <col min="111" max="111" width="28.5546875" bestFit="1" customWidth="1"/>
    <col min="112" max="112" width="37.88671875" bestFit="1" customWidth="1"/>
    <col min="113" max="113" width="18.33203125" bestFit="1" customWidth="1"/>
    <col min="114" max="114" width="27.6640625" bestFit="1" customWidth="1"/>
    <col min="115" max="115" width="18.33203125" bestFit="1" customWidth="1"/>
    <col min="116" max="116" width="27.6640625" bestFit="1" customWidth="1"/>
    <col min="117" max="117" width="29.109375" bestFit="1" customWidth="1"/>
    <col min="118" max="118" width="38.5546875" bestFit="1" customWidth="1"/>
    <col min="119" max="119" width="18.33203125" bestFit="1" customWidth="1"/>
    <col min="120" max="120" width="27.6640625" bestFit="1" customWidth="1"/>
    <col min="121" max="121" width="18.33203125" bestFit="1" customWidth="1"/>
    <col min="122" max="122" width="27.6640625" bestFit="1" customWidth="1"/>
    <col min="123" max="123" width="29.88671875" bestFit="1" customWidth="1"/>
    <col min="124" max="124" width="39.109375" bestFit="1" customWidth="1"/>
    <col min="125" max="125" width="18.33203125" bestFit="1" customWidth="1"/>
    <col min="126" max="126" width="27.6640625" bestFit="1" customWidth="1"/>
    <col min="127" max="127" width="18.33203125" bestFit="1" customWidth="1"/>
    <col min="128" max="128" width="27.6640625" bestFit="1" customWidth="1"/>
    <col min="129" max="129" width="31.109375" bestFit="1" customWidth="1"/>
    <col min="130" max="130" width="40.5546875" bestFit="1" customWidth="1"/>
    <col min="131" max="131" width="18.33203125" bestFit="1" customWidth="1"/>
    <col min="132" max="132" width="27.6640625" bestFit="1" customWidth="1"/>
    <col min="133" max="133" width="18.33203125" bestFit="1" customWidth="1"/>
    <col min="134" max="134" width="27.6640625" bestFit="1" customWidth="1"/>
    <col min="135" max="135" width="31.109375" bestFit="1" customWidth="1"/>
    <col min="136" max="136" width="40.5546875" bestFit="1" customWidth="1"/>
    <col min="137" max="137" width="18.44140625" bestFit="1" customWidth="1"/>
    <col min="138" max="138" width="27.6640625" bestFit="1" customWidth="1"/>
    <col min="139" max="139" width="18.33203125" bestFit="1" customWidth="1"/>
    <col min="140" max="140" width="27.6640625" bestFit="1" customWidth="1"/>
    <col min="141" max="141" width="34.33203125" bestFit="1" customWidth="1"/>
    <col min="142" max="142" width="43.88671875" bestFit="1" customWidth="1"/>
    <col min="143" max="143" width="19" bestFit="1" customWidth="1"/>
    <col min="144" max="144" width="27.6640625" bestFit="1" customWidth="1"/>
    <col min="145" max="145" width="18.33203125" bestFit="1" customWidth="1"/>
    <col min="146" max="146" width="27.6640625" bestFit="1" customWidth="1"/>
    <col min="147" max="147" width="34.88671875" bestFit="1" customWidth="1"/>
    <col min="148" max="148" width="44.44140625" bestFit="1" customWidth="1"/>
    <col min="149" max="149" width="19.5546875" bestFit="1" customWidth="1"/>
    <col min="150" max="150" width="27.6640625" bestFit="1" customWidth="1"/>
    <col min="151" max="151" width="18.33203125" bestFit="1" customWidth="1"/>
    <col min="152" max="152" width="27.6640625" bestFit="1" customWidth="1"/>
    <col min="153" max="153" width="35.44140625" bestFit="1" customWidth="1"/>
    <col min="154" max="154" width="45" bestFit="1" customWidth="1"/>
    <col min="155" max="155" width="18.33203125" bestFit="1" customWidth="1"/>
    <col min="156" max="156" width="27.6640625" bestFit="1" customWidth="1"/>
    <col min="157" max="157" width="29.5546875" bestFit="1" customWidth="1"/>
    <col min="158" max="158" width="39.109375" bestFit="1" customWidth="1"/>
    <col min="159" max="159" width="23.33203125" bestFit="1" customWidth="1"/>
    <col min="160" max="160" width="32.88671875" bestFit="1" customWidth="1"/>
  </cols>
  <sheetData>
    <row r="3" spans="1:29" x14ac:dyDescent="0.3">
      <c r="A3" s="439" t="s">
        <v>354</v>
      </c>
      <c r="B3" s="439" t="s">
        <v>355</v>
      </c>
    </row>
    <row r="4" spans="1:29" x14ac:dyDescent="0.3">
      <c r="A4" s="439" t="s">
        <v>356</v>
      </c>
      <c r="B4" t="s">
        <v>20</v>
      </c>
      <c r="C4" t="s">
        <v>22</v>
      </c>
      <c r="D4" t="s">
        <v>23</v>
      </c>
      <c r="E4" t="s">
        <v>14</v>
      </c>
      <c r="F4" t="s">
        <v>17</v>
      </c>
      <c r="G4" t="s">
        <v>8</v>
      </c>
      <c r="H4" t="s">
        <v>18</v>
      </c>
      <c r="I4" t="s">
        <v>13</v>
      </c>
      <c r="J4" t="s">
        <v>110</v>
      </c>
      <c r="K4" t="s">
        <v>9</v>
      </c>
      <c r="L4" t="s">
        <v>10</v>
      </c>
      <c r="M4" t="s">
        <v>7</v>
      </c>
      <c r="N4" t="s">
        <v>288</v>
      </c>
      <c r="O4" t="s">
        <v>112</v>
      </c>
      <c r="P4" t="s">
        <v>289</v>
      </c>
      <c r="Q4" t="s">
        <v>32</v>
      </c>
      <c r="R4" t="s">
        <v>111</v>
      </c>
      <c r="S4" t="s">
        <v>291</v>
      </c>
      <c r="T4" t="s">
        <v>28</v>
      </c>
      <c r="U4" t="s">
        <v>29</v>
      </c>
      <c r="V4" t="s">
        <v>30</v>
      </c>
      <c r="W4" t="s">
        <v>11</v>
      </c>
      <c r="X4" t="s">
        <v>12</v>
      </c>
      <c r="Y4" t="s">
        <v>24</v>
      </c>
      <c r="Z4" t="s">
        <v>25</v>
      </c>
      <c r="AA4" t="s">
        <v>26</v>
      </c>
      <c r="AB4" s="116">
        <v>45323</v>
      </c>
      <c r="AC4" t="s">
        <v>357</v>
      </c>
    </row>
    <row r="5" spans="1:29" x14ac:dyDescent="0.3">
      <c r="A5" s="440">
        <v>45292</v>
      </c>
      <c r="B5">
        <v>445.9</v>
      </c>
      <c r="C5">
        <v>346.5</v>
      </c>
      <c r="D5">
        <v>391.2</v>
      </c>
      <c r="E5">
        <v>208.3</v>
      </c>
      <c r="F5">
        <v>342.7</v>
      </c>
      <c r="G5">
        <v>219.39999999999998</v>
      </c>
      <c r="H5">
        <v>357.3</v>
      </c>
      <c r="I5">
        <v>258.3</v>
      </c>
      <c r="J5">
        <v>99</v>
      </c>
      <c r="L5">
        <v>95.1</v>
      </c>
      <c r="M5">
        <v>38.5</v>
      </c>
      <c r="N5">
        <v>0</v>
      </c>
      <c r="O5">
        <v>0</v>
      </c>
      <c r="P5">
        <v>0</v>
      </c>
      <c r="Q5">
        <v>438.9</v>
      </c>
      <c r="R5">
        <v>521.20000000000005</v>
      </c>
      <c r="S5">
        <v>386.2</v>
      </c>
      <c r="T5">
        <v>418.7</v>
      </c>
      <c r="U5">
        <v>352.5</v>
      </c>
      <c r="V5">
        <v>1340</v>
      </c>
      <c r="W5">
        <v>12.8</v>
      </c>
      <c r="X5">
        <v>15.4</v>
      </c>
      <c r="Y5">
        <v>304.3</v>
      </c>
      <c r="Z5">
        <v>387.9</v>
      </c>
      <c r="AA5">
        <v>151.80000000000001</v>
      </c>
      <c r="AB5">
        <v>170.5</v>
      </c>
      <c r="AC5">
        <v>7302.4</v>
      </c>
    </row>
    <row r="6" spans="1:29" x14ac:dyDescent="0.3">
      <c r="A6" s="440">
        <v>45323</v>
      </c>
      <c r="B6">
        <v>289</v>
      </c>
      <c r="C6">
        <v>325</v>
      </c>
      <c r="D6">
        <v>351.6</v>
      </c>
      <c r="E6">
        <v>147.4</v>
      </c>
      <c r="F6">
        <v>245.8</v>
      </c>
      <c r="G6">
        <v>152.4</v>
      </c>
      <c r="H6">
        <v>279.89999999999998</v>
      </c>
      <c r="I6">
        <v>208.9</v>
      </c>
      <c r="J6">
        <v>75.5</v>
      </c>
      <c r="K6">
        <v>123.8</v>
      </c>
      <c r="L6">
        <v>85.7</v>
      </c>
      <c r="M6">
        <v>29.5</v>
      </c>
      <c r="N6">
        <v>365.1</v>
      </c>
      <c r="O6">
        <v>348.2</v>
      </c>
      <c r="P6">
        <v>362.5</v>
      </c>
      <c r="Q6">
        <v>365.8</v>
      </c>
      <c r="R6">
        <v>390.6</v>
      </c>
      <c r="S6">
        <v>320</v>
      </c>
      <c r="T6">
        <v>334.9</v>
      </c>
      <c r="U6">
        <v>262.3</v>
      </c>
      <c r="V6">
        <v>1010</v>
      </c>
      <c r="W6">
        <v>27.3</v>
      </c>
      <c r="X6">
        <v>50.9</v>
      </c>
      <c r="Y6">
        <v>295.39999999999998</v>
      </c>
      <c r="Z6">
        <v>376.8</v>
      </c>
      <c r="AA6">
        <v>281</v>
      </c>
      <c r="AC6">
        <v>7105.2999999999993</v>
      </c>
    </row>
    <row r="7" spans="1:29" x14ac:dyDescent="0.3">
      <c r="A7" s="440" t="s">
        <v>357</v>
      </c>
      <c r="B7">
        <v>734.9</v>
      </c>
      <c r="C7">
        <v>671.5</v>
      </c>
      <c r="D7">
        <v>742.8</v>
      </c>
      <c r="E7">
        <v>355.70000000000005</v>
      </c>
      <c r="F7">
        <v>588.5</v>
      </c>
      <c r="G7">
        <v>371.79999999999995</v>
      </c>
      <c r="H7">
        <v>637.20000000000005</v>
      </c>
      <c r="I7">
        <v>467.20000000000005</v>
      </c>
      <c r="J7">
        <v>174.5</v>
      </c>
      <c r="K7">
        <v>123.8</v>
      </c>
      <c r="L7">
        <v>180.8</v>
      </c>
      <c r="M7">
        <v>68</v>
      </c>
      <c r="N7">
        <v>365.1</v>
      </c>
      <c r="O7">
        <v>348.2</v>
      </c>
      <c r="P7">
        <v>362.5</v>
      </c>
      <c r="Q7">
        <v>804.7</v>
      </c>
      <c r="R7">
        <v>911.80000000000007</v>
      </c>
      <c r="S7">
        <v>706.2</v>
      </c>
      <c r="T7">
        <v>753.59999999999991</v>
      </c>
      <c r="U7">
        <v>614.79999999999995</v>
      </c>
      <c r="V7">
        <v>2350</v>
      </c>
      <c r="W7">
        <v>40.1</v>
      </c>
      <c r="X7">
        <v>66.3</v>
      </c>
      <c r="Y7">
        <v>599.70000000000005</v>
      </c>
      <c r="Z7">
        <v>764.7</v>
      </c>
      <c r="AA7">
        <v>432.8</v>
      </c>
      <c r="AB7">
        <v>170.5</v>
      </c>
      <c r="AC7">
        <v>14407.699999999999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88CFF-E75C-44E6-947B-FCC433ADB67C}">
  <dimension ref="A1:AN1691"/>
  <sheetViews>
    <sheetView workbookViewId="0">
      <pane ySplit="1" topLeftCell="A23" activePane="bottomLeft" state="frozen"/>
      <selection pane="bottomLeft" activeCell="C3" sqref="C3:C27"/>
    </sheetView>
  </sheetViews>
  <sheetFormatPr defaultRowHeight="14.4" x14ac:dyDescent="0.3"/>
  <cols>
    <col min="1" max="1" width="27.5546875" customWidth="1"/>
    <col min="2" max="2" width="14.44140625" customWidth="1"/>
    <col min="3" max="3" width="25.44140625" bestFit="1" customWidth="1"/>
    <col min="4" max="4" width="16.6640625" bestFit="1" customWidth="1"/>
    <col min="5" max="5" width="24.33203125" bestFit="1" customWidth="1"/>
    <col min="6" max="6" width="11.5546875" bestFit="1" customWidth="1"/>
    <col min="7" max="7" width="20.6640625" bestFit="1" customWidth="1"/>
    <col min="8" max="8" width="19.109375" bestFit="1" customWidth="1"/>
    <col min="9" max="9" width="23.6640625" bestFit="1" customWidth="1"/>
    <col min="10" max="10" width="28.109375" bestFit="1" customWidth="1"/>
    <col min="11" max="11" width="34.88671875" bestFit="1" customWidth="1"/>
    <col min="12" max="12" width="35.88671875" bestFit="1" customWidth="1"/>
    <col min="13" max="13" width="20.6640625" bestFit="1" customWidth="1"/>
    <col min="14" max="14" width="16" bestFit="1" customWidth="1"/>
    <col min="15" max="15" width="27" bestFit="1" customWidth="1"/>
    <col min="16" max="16" width="40.5546875" bestFit="1" customWidth="1"/>
    <col min="17" max="17" width="48.44140625" bestFit="1" customWidth="1"/>
    <col min="18" max="18" width="10.6640625" bestFit="1" customWidth="1"/>
    <col min="19" max="19" width="31.6640625" bestFit="1" customWidth="1"/>
  </cols>
  <sheetData>
    <row r="1" spans="1:40" x14ac:dyDescent="0.3">
      <c r="A1" s="438" t="s">
        <v>358</v>
      </c>
      <c r="B1" s="438" t="s">
        <v>359</v>
      </c>
      <c r="C1" s="438" t="s">
        <v>360</v>
      </c>
      <c r="D1" s="438" t="s">
        <v>361</v>
      </c>
      <c r="E1" s="438" t="s">
        <v>362</v>
      </c>
      <c r="F1" s="438" t="s">
        <v>363</v>
      </c>
      <c r="G1" s="438" t="s">
        <v>364</v>
      </c>
      <c r="H1" s="438" t="s">
        <v>365</v>
      </c>
      <c r="I1" s="438" t="s">
        <v>366</v>
      </c>
      <c r="J1" s="438" t="s">
        <v>367</v>
      </c>
      <c r="K1" s="438" t="s">
        <v>368</v>
      </c>
      <c r="L1" s="438" t="s">
        <v>369</v>
      </c>
      <c r="M1" s="438" t="s">
        <v>370</v>
      </c>
      <c r="N1" s="438" t="s">
        <v>371</v>
      </c>
      <c r="O1" s="438" t="s">
        <v>372</v>
      </c>
      <c r="P1" s="438" t="s">
        <v>373</v>
      </c>
      <c r="Q1" s="438" t="s">
        <v>374</v>
      </c>
      <c r="R1" s="438" t="s">
        <v>375</v>
      </c>
      <c r="S1" s="438" t="s">
        <v>376</v>
      </c>
    </row>
    <row r="2" spans="1:40" x14ac:dyDescent="0.3">
      <c r="A2" t="s">
        <v>7</v>
      </c>
      <c r="B2" s="330">
        <v>16.899999999999999</v>
      </c>
      <c r="C2" s="437">
        <v>45292</v>
      </c>
      <c r="E2" s="31"/>
      <c r="L2" s="457"/>
      <c r="M2" s="457"/>
      <c r="N2" s="458"/>
      <c r="O2" s="457"/>
      <c r="P2" s="457"/>
      <c r="Q2" s="457"/>
      <c r="R2" s="457"/>
      <c r="S2" s="458"/>
      <c r="T2" s="457"/>
      <c r="U2" s="457"/>
      <c r="V2" s="458"/>
      <c r="W2" s="457"/>
      <c r="X2" s="457"/>
      <c r="Y2" s="457"/>
      <c r="Z2" s="457"/>
      <c r="AA2" s="457"/>
      <c r="AB2" s="458"/>
      <c r="AC2" s="457"/>
      <c r="AD2" s="457"/>
      <c r="AE2" s="108"/>
      <c r="AF2" s="108"/>
      <c r="AG2" s="108"/>
      <c r="AH2" s="108"/>
      <c r="AI2" s="108"/>
      <c r="AJ2" s="108"/>
      <c r="AK2" s="108"/>
      <c r="AL2" s="108"/>
      <c r="AM2" s="108"/>
      <c r="AN2" s="393"/>
    </row>
    <row r="3" spans="1:40" x14ac:dyDescent="0.3">
      <c r="A3" t="s">
        <v>8</v>
      </c>
      <c r="B3" s="62">
        <f>17.7+78.6</f>
        <v>96.3</v>
      </c>
      <c r="C3" s="437">
        <v>45292</v>
      </c>
      <c r="L3" s="457"/>
      <c r="M3" s="457"/>
      <c r="N3" s="458"/>
      <c r="O3" s="457"/>
      <c r="P3" s="457"/>
      <c r="Q3" s="457"/>
      <c r="R3" s="457"/>
      <c r="S3" s="458"/>
      <c r="T3" s="457"/>
      <c r="U3" s="457"/>
      <c r="V3" s="458"/>
      <c r="W3" s="457"/>
      <c r="X3" s="457"/>
      <c r="Y3" s="457"/>
      <c r="Z3" s="457"/>
      <c r="AA3" s="457"/>
      <c r="AB3" s="458"/>
      <c r="AC3" s="457"/>
      <c r="AD3" s="457"/>
      <c r="AE3" s="108"/>
      <c r="AF3" s="108"/>
      <c r="AG3" s="108"/>
      <c r="AH3" s="456"/>
      <c r="AI3" s="108"/>
      <c r="AJ3" s="108"/>
      <c r="AK3" s="108"/>
      <c r="AL3" s="108"/>
      <c r="AM3" s="108"/>
      <c r="AN3" s="393"/>
    </row>
    <row r="4" spans="1:40" x14ac:dyDescent="0.3">
      <c r="A4" t="s">
        <v>9</v>
      </c>
      <c r="B4" s="62">
        <v>68.900000000000006</v>
      </c>
      <c r="C4" s="437">
        <v>45292</v>
      </c>
      <c r="L4" s="457"/>
      <c r="M4" s="457"/>
      <c r="N4" s="458"/>
      <c r="O4" s="457"/>
      <c r="P4" s="457"/>
      <c r="Q4" s="458"/>
      <c r="R4" s="458"/>
      <c r="S4" s="458"/>
      <c r="T4" s="458"/>
      <c r="U4" s="458"/>
      <c r="V4" s="458"/>
      <c r="W4" s="458"/>
      <c r="X4" s="458"/>
      <c r="Y4" s="458"/>
      <c r="Z4" s="457"/>
      <c r="AA4" s="458"/>
      <c r="AB4" s="458"/>
      <c r="AC4" s="458"/>
      <c r="AD4" s="458"/>
      <c r="AE4" s="108"/>
      <c r="AF4" s="108"/>
      <c r="AG4" s="459"/>
      <c r="AH4" s="108"/>
      <c r="AI4" s="108"/>
      <c r="AJ4" s="108"/>
      <c r="AK4" s="108"/>
      <c r="AL4" s="108"/>
      <c r="AM4" s="108"/>
      <c r="AN4" s="393"/>
    </row>
    <row r="5" spans="1:40" x14ac:dyDescent="0.3">
      <c r="A5" t="s">
        <v>10</v>
      </c>
      <c r="B5" s="62">
        <v>48.4</v>
      </c>
      <c r="C5" s="437">
        <v>45292</v>
      </c>
      <c r="L5" s="457"/>
      <c r="M5" s="457"/>
      <c r="N5" s="458"/>
      <c r="O5" s="457"/>
      <c r="P5" s="457"/>
      <c r="Q5" s="458"/>
      <c r="R5" s="458"/>
      <c r="S5" s="458"/>
      <c r="T5" s="457"/>
      <c r="U5" s="457"/>
      <c r="V5" s="458"/>
      <c r="W5" s="457"/>
      <c r="X5" s="457"/>
      <c r="Y5" s="457"/>
      <c r="Z5" s="457"/>
      <c r="AA5" s="457"/>
      <c r="AB5" s="458"/>
      <c r="AC5" s="457"/>
      <c r="AD5" s="458"/>
      <c r="AE5" s="108"/>
      <c r="AF5" s="108"/>
      <c r="AG5" s="108"/>
      <c r="AH5" s="108"/>
      <c r="AI5" s="108"/>
      <c r="AJ5" s="108"/>
      <c r="AK5" s="108"/>
      <c r="AL5" s="108"/>
      <c r="AM5" s="108"/>
      <c r="AN5" s="393"/>
    </row>
    <row r="6" spans="1:40" x14ac:dyDescent="0.3">
      <c r="A6" t="s">
        <v>11</v>
      </c>
      <c r="B6" s="223">
        <v>15.8</v>
      </c>
      <c r="C6" s="437">
        <v>45292</v>
      </c>
      <c r="L6" s="460"/>
      <c r="M6" s="460"/>
      <c r="N6" s="461"/>
      <c r="O6" s="457"/>
      <c r="P6" s="458"/>
      <c r="Q6" s="457"/>
      <c r="R6" s="457"/>
      <c r="S6" s="457"/>
      <c r="T6" s="457"/>
      <c r="U6" s="457"/>
      <c r="V6" s="458"/>
      <c r="W6" s="461"/>
      <c r="X6" s="457"/>
      <c r="Y6" s="457"/>
      <c r="Z6" s="457"/>
      <c r="AA6" s="457"/>
      <c r="AB6" s="458"/>
      <c r="AC6" s="457"/>
      <c r="AD6" s="457"/>
      <c r="AE6" s="108"/>
      <c r="AF6" s="108"/>
      <c r="AG6" s="459"/>
      <c r="AH6" s="108"/>
      <c r="AI6" s="108"/>
      <c r="AJ6" s="108"/>
      <c r="AK6" s="108"/>
      <c r="AL6" s="108"/>
      <c r="AM6" s="108"/>
      <c r="AN6" s="393"/>
    </row>
    <row r="7" spans="1:40" x14ac:dyDescent="0.3">
      <c r="A7" t="s">
        <v>12</v>
      </c>
      <c r="B7" s="223">
        <v>29.9</v>
      </c>
      <c r="C7" s="437">
        <v>45292</v>
      </c>
      <c r="L7" s="460"/>
      <c r="M7" s="460"/>
      <c r="N7" s="457"/>
      <c r="O7" s="457"/>
      <c r="P7" s="458"/>
      <c r="Q7" s="457"/>
      <c r="R7" s="457"/>
      <c r="S7" s="457"/>
      <c r="T7" s="457"/>
      <c r="U7" s="457"/>
      <c r="V7" s="458"/>
      <c r="W7" s="461"/>
      <c r="X7" s="457"/>
      <c r="Y7" s="457"/>
      <c r="Z7" s="457"/>
      <c r="AA7" s="457"/>
      <c r="AB7" s="458"/>
      <c r="AC7" s="457"/>
      <c r="AD7" s="457"/>
      <c r="AE7" s="108"/>
      <c r="AF7" s="108"/>
      <c r="AG7" s="459"/>
      <c r="AH7" s="108"/>
      <c r="AI7" s="108"/>
      <c r="AJ7" s="108"/>
      <c r="AK7" s="108"/>
      <c r="AL7" s="108"/>
      <c r="AM7" s="108"/>
      <c r="AN7" s="393"/>
    </row>
    <row r="8" spans="1:40" x14ac:dyDescent="0.3">
      <c r="A8" t="s">
        <v>13</v>
      </c>
      <c r="B8" s="62">
        <v>168.2</v>
      </c>
      <c r="C8" s="437">
        <v>45292</v>
      </c>
      <c r="L8" s="457"/>
      <c r="M8" s="457"/>
      <c r="N8" s="458"/>
      <c r="O8" s="458"/>
      <c r="P8" s="458"/>
      <c r="Q8" s="457"/>
      <c r="R8" s="457"/>
      <c r="S8" s="457"/>
      <c r="T8" s="457"/>
      <c r="U8" s="457"/>
      <c r="V8" s="458"/>
      <c r="W8" s="457"/>
      <c r="X8" s="457"/>
      <c r="Y8" s="457"/>
      <c r="Z8" s="457"/>
      <c r="AA8" s="458"/>
      <c r="AB8" s="458"/>
      <c r="AC8" s="457"/>
      <c r="AD8" s="457"/>
      <c r="AE8" s="108"/>
      <c r="AF8" s="108"/>
      <c r="AG8" s="459"/>
      <c r="AH8" s="459"/>
      <c r="AI8" s="108"/>
      <c r="AJ8" s="459"/>
      <c r="AK8" s="108"/>
      <c r="AL8" s="108"/>
      <c r="AM8" s="108"/>
      <c r="AN8" s="393"/>
    </row>
    <row r="9" spans="1:40" x14ac:dyDescent="0.3">
      <c r="A9" t="s">
        <v>14</v>
      </c>
      <c r="B9" s="291">
        <v>87.5</v>
      </c>
      <c r="C9" s="437">
        <v>45292</v>
      </c>
      <c r="L9" s="460"/>
      <c r="M9" s="460"/>
      <c r="N9" s="461"/>
      <c r="O9" s="460"/>
      <c r="P9" s="461"/>
      <c r="Q9" s="460"/>
      <c r="R9" s="460"/>
      <c r="S9" s="460"/>
      <c r="T9" s="460"/>
      <c r="U9" s="460"/>
      <c r="V9" s="461"/>
      <c r="W9" s="461"/>
      <c r="X9" s="460"/>
      <c r="Y9" s="460"/>
      <c r="Z9" s="460"/>
      <c r="AA9" s="460"/>
      <c r="AB9" s="461"/>
      <c r="AC9" s="460"/>
      <c r="AD9" s="460"/>
      <c r="AE9" s="462"/>
      <c r="AF9" s="462"/>
      <c r="AG9" s="463"/>
      <c r="AH9" s="462"/>
      <c r="AI9" s="462"/>
      <c r="AJ9" s="462"/>
      <c r="AK9" s="462"/>
      <c r="AL9" s="462"/>
      <c r="AM9" s="462"/>
      <c r="AN9" s="393"/>
    </row>
    <row r="10" spans="1:40" x14ac:dyDescent="0.3">
      <c r="A10" t="s">
        <v>17</v>
      </c>
      <c r="B10" s="62">
        <v>146.6</v>
      </c>
      <c r="C10" s="437">
        <v>45292</v>
      </c>
      <c r="L10" s="457"/>
      <c r="M10" s="457"/>
      <c r="N10" s="458"/>
      <c r="O10" s="457"/>
      <c r="P10" s="458"/>
      <c r="Q10" s="457"/>
      <c r="R10" s="457"/>
      <c r="S10" s="457"/>
      <c r="T10" s="457"/>
      <c r="U10" s="457"/>
      <c r="V10" s="458"/>
      <c r="W10" s="461"/>
      <c r="X10" s="457"/>
      <c r="Y10" s="457"/>
      <c r="Z10" s="457"/>
      <c r="AA10" s="457"/>
      <c r="AB10" s="458"/>
      <c r="AC10" s="457"/>
      <c r="AD10" s="457"/>
      <c r="AE10" s="108"/>
      <c r="AF10" s="108"/>
      <c r="AG10" s="459"/>
      <c r="AH10" s="108"/>
      <c r="AI10" s="108"/>
      <c r="AJ10" s="108"/>
      <c r="AK10" s="108"/>
      <c r="AL10" s="108"/>
      <c r="AM10" s="108"/>
      <c r="AN10" s="393"/>
    </row>
    <row r="11" spans="1:40" x14ac:dyDescent="0.3">
      <c r="A11" t="s">
        <v>18</v>
      </c>
      <c r="B11" s="62">
        <v>221.7</v>
      </c>
      <c r="C11" s="437">
        <v>45292</v>
      </c>
      <c r="L11" s="457"/>
      <c r="M11" s="457"/>
      <c r="N11" s="458"/>
      <c r="O11" s="458"/>
      <c r="P11" s="458"/>
      <c r="Q11" s="457"/>
      <c r="R11" s="457"/>
      <c r="S11" s="457"/>
      <c r="T11" s="457"/>
      <c r="U11" s="457"/>
      <c r="V11" s="458"/>
      <c r="W11" s="457"/>
      <c r="X11" s="457"/>
      <c r="Y11" s="457"/>
      <c r="Z11" s="457"/>
      <c r="AA11" s="458"/>
      <c r="AB11" s="458"/>
      <c r="AC11" s="457"/>
      <c r="AD11" s="457"/>
      <c r="AE11" s="108"/>
      <c r="AF11" s="108"/>
      <c r="AG11" s="459"/>
      <c r="AH11" s="459"/>
      <c r="AI11" s="108"/>
      <c r="AJ11" s="108"/>
      <c r="AK11" s="108"/>
      <c r="AL11" s="108"/>
      <c r="AM11" s="108"/>
      <c r="AN11" s="393"/>
    </row>
    <row r="12" spans="1:40" x14ac:dyDescent="0.3">
      <c r="A12" t="s">
        <v>110</v>
      </c>
      <c r="B12" s="62">
        <v>59.5</v>
      </c>
      <c r="C12" s="437">
        <v>45292</v>
      </c>
      <c r="L12" s="457"/>
      <c r="M12" s="457"/>
      <c r="N12" s="458"/>
      <c r="O12" s="458"/>
      <c r="P12" s="458"/>
      <c r="Q12" s="457"/>
      <c r="R12" s="457"/>
      <c r="S12" s="457"/>
      <c r="T12" s="457"/>
      <c r="U12" s="457"/>
      <c r="V12" s="458"/>
      <c r="W12" s="457"/>
      <c r="X12" s="457"/>
      <c r="Y12" s="457"/>
      <c r="Z12" s="457"/>
      <c r="AA12" s="458"/>
      <c r="AB12" s="458"/>
      <c r="AC12" s="457"/>
      <c r="AD12" s="457"/>
      <c r="AE12" s="108"/>
      <c r="AF12" s="108"/>
      <c r="AG12" s="459"/>
      <c r="AH12" s="459"/>
      <c r="AI12" s="459"/>
      <c r="AJ12" s="108"/>
      <c r="AK12" s="108"/>
      <c r="AL12" s="108"/>
      <c r="AM12" s="108"/>
      <c r="AN12" s="393"/>
    </row>
    <row r="13" spans="1:40" x14ac:dyDescent="0.3">
      <c r="A13" t="s">
        <v>20</v>
      </c>
      <c r="B13" s="62">
        <v>146.1</v>
      </c>
      <c r="C13" s="437">
        <v>45292</v>
      </c>
      <c r="L13" s="457"/>
      <c r="M13" s="457"/>
      <c r="N13" s="457"/>
      <c r="O13" s="457"/>
      <c r="P13" s="457"/>
      <c r="Q13" s="457"/>
      <c r="R13" s="457"/>
      <c r="S13" s="457"/>
      <c r="T13" s="457"/>
      <c r="U13" s="458"/>
      <c r="V13" s="458"/>
      <c r="W13" s="457"/>
      <c r="X13" s="457"/>
      <c r="Y13" s="456"/>
      <c r="Z13" s="457"/>
      <c r="AA13" s="457"/>
      <c r="AB13" s="458"/>
      <c r="AC13" s="457"/>
      <c r="AD13" s="457"/>
      <c r="AE13" s="108"/>
      <c r="AF13" s="108"/>
      <c r="AG13" s="459"/>
      <c r="AH13" s="108"/>
      <c r="AI13" s="108"/>
      <c r="AJ13" s="108"/>
      <c r="AK13" s="108"/>
      <c r="AL13" s="108"/>
      <c r="AM13" s="108"/>
      <c r="AN13" s="393"/>
    </row>
    <row r="14" spans="1:40" x14ac:dyDescent="0.3">
      <c r="A14" t="s">
        <v>22</v>
      </c>
      <c r="B14" s="223">
        <v>166.5</v>
      </c>
      <c r="C14" s="437">
        <v>45292</v>
      </c>
      <c r="L14" s="458"/>
      <c r="M14" s="457"/>
      <c r="N14" s="460"/>
      <c r="O14" s="460"/>
      <c r="P14" s="457"/>
      <c r="Q14" s="457"/>
      <c r="R14" s="457"/>
      <c r="S14" s="457"/>
      <c r="T14" s="457"/>
      <c r="U14" s="458"/>
      <c r="V14" s="458"/>
      <c r="W14" s="457"/>
      <c r="X14" s="457"/>
      <c r="Y14" s="457"/>
      <c r="Z14" s="457"/>
      <c r="AA14" s="457"/>
      <c r="AB14" s="458"/>
      <c r="AC14" s="457"/>
      <c r="AD14" s="457"/>
      <c r="AE14" s="108"/>
      <c r="AF14" s="108"/>
      <c r="AG14" s="108"/>
      <c r="AH14" s="108"/>
      <c r="AI14" s="458"/>
      <c r="AJ14" s="108"/>
      <c r="AK14" s="108"/>
      <c r="AL14" s="108"/>
      <c r="AM14" s="108"/>
      <c r="AN14" s="393"/>
    </row>
    <row r="15" spans="1:40" x14ac:dyDescent="0.3">
      <c r="A15" t="s">
        <v>23</v>
      </c>
      <c r="B15" s="223">
        <v>174.7</v>
      </c>
      <c r="C15" s="437">
        <v>45292</v>
      </c>
      <c r="L15" s="458"/>
      <c r="M15" s="457"/>
      <c r="N15" s="457"/>
      <c r="O15" s="457"/>
      <c r="P15" s="457"/>
      <c r="Q15" s="457"/>
      <c r="R15" s="457"/>
      <c r="S15" s="457"/>
      <c r="T15" s="457"/>
      <c r="U15" s="457"/>
      <c r="V15" s="458"/>
      <c r="W15" s="457"/>
      <c r="X15" s="457"/>
      <c r="Y15" s="457"/>
      <c r="Z15" s="457"/>
      <c r="AA15" s="457"/>
      <c r="AB15" s="458"/>
      <c r="AC15" s="457"/>
      <c r="AD15" s="457"/>
      <c r="AE15" s="108"/>
      <c r="AF15" s="108"/>
      <c r="AG15" s="108"/>
      <c r="AH15" s="108"/>
      <c r="AI15" s="458"/>
      <c r="AJ15" s="108"/>
      <c r="AK15" s="108"/>
      <c r="AL15" s="108"/>
      <c r="AM15" s="108"/>
      <c r="AN15" s="393"/>
    </row>
    <row r="16" spans="1:40" x14ac:dyDescent="0.3">
      <c r="A16" t="s">
        <v>24</v>
      </c>
      <c r="B16" s="62">
        <v>140</v>
      </c>
      <c r="C16" s="437">
        <v>45292</v>
      </c>
      <c r="L16" s="457"/>
      <c r="M16" s="457"/>
      <c r="N16" s="457"/>
      <c r="O16" s="458"/>
      <c r="P16" s="457"/>
      <c r="Q16" s="457"/>
      <c r="R16" s="457"/>
      <c r="S16" s="457"/>
      <c r="T16" s="457"/>
      <c r="U16" s="457"/>
      <c r="V16" s="458"/>
      <c r="W16" s="457"/>
      <c r="X16" s="457"/>
      <c r="Y16" s="457"/>
      <c r="Z16" s="457"/>
      <c r="AA16" s="458"/>
      <c r="AB16" s="458"/>
      <c r="AC16" s="457"/>
      <c r="AD16" s="457"/>
      <c r="AE16" s="108"/>
      <c r="AF16" s="108"/>
      <c r="AG16" s="108"/>
      <c r="AH16" s="108"/>
      <c r="AI16" s="458"/>
      <c r="AJ16" s="459"/>
      <c r="AK16" s="108"/>
      <c r="AL16" s="108"/>
      <c r="AM16" s="108"/>
      <c r="AN16" s="393"/>
    </row>
    <row r="17" spans="1:40" x14ac:dyDescent="0.3">
      <c r="A17" t="s">
        <v>25</v>
      </c>
      <c r="B17" s="62">
        <v>184.3</v>
      </c>
      <c r="C17" s="437">
        <v>45292</v>
      </c>
      <c r="L17" s="457"/>
      <c r="M17" s="457"/>
      <c r="N17" s="457"/>
      <c r="O17" s="458"/>
      <c r="P17" s="457"/>
      <c r="Q17" s="457"/>
      <c r="R17" s="457"/>
      <c r="S17" s="457"/>
      <c r="T17" s="457"/>
      <c r="U17" s="457"/>
      <c r="V17" s="458"/>
      <c r="W17" s="457"/>
      <c r="X17" s="457"/>
      <c r="Y17" s="458"/>
      <c r="Z17" s="457"/>
      <c r="AA17" s="458"/>
      <c r="AB17" s="458"/>
      <c r="AC17" s="458"/>
      <c r="AD17" s="457"/>
      <c r="AE17" s="108"/>
      <c r="AF17" s="108"/>
      <c r="AG17" s="108"/>
      <c r="AH17" s="108"/>
      <c r="AI17" s="458"/>
      <c r="AJ17" s="459"/>
      <c r="AK17" s="108"/>
      <c r="AL17" s="108"/>
      <c r="AM17" s="108"/>
      <c r="AN17" s="393"/>
    </row>
    <row r="18" spans="1:40" x14ac:dyDescent="0.3">
      <c r="A18" t="s">
        <v>26</v>
      </c>
      <c r="B18" s="62">
        <v>138.69999999999999</v>
      </c>
      <c r="C18" s="437">
        <v>45292</v>
      </c>
      <c r="L18" s="457"/>
      <c r="M18" s="457"/>
      <c r="N18" s="457"/>
      <c r="O18" s="458"/>
      <c r="P18" s="457"/>
      <c r="Q18" s="458"/>
      <c r="R18" s="457"/>
      <c r="S18" s="457"/>
      <c r="T18" s="457"/>
      <c r="U18" s="457"/>
      <c r="V18" s="458"/>
      <c r="W18" s="457"/>
      <c r="X18" s="457"/>
      <c r="Y18" s="464"/>
      <c r="Z18" s="464"/>
      <c r="AA18" s="464"/>
      <c r="AB18" s="464"/>
      <c r="AC18" s="464"/>
      <c r="AD18" s="464"/>
      <c r="AE18" s="465"/>
      <c r="AF18" s="465"/>
      <c r="AG18" s="465"/>
      <c r="AH18" s="465"/>
      <c r="AI18" s="464"/>
      <c r="AJ18" s="465"/>
      <c r="AK18" s="465"/>
      <c r="AL18" s="465"/>
      <c r="AM18" s="465"/>
      <c r="AN18" s="393"/>
    </row>
    <row r="19" spans="1:40" x14ac:dyDescent="0.3">
      <c r="A19" t="s">
        <v>28</v>
      </c>
      <c r="B19" s="62">
        <v>277.60000000000002</v>
      </c>
      <c r="C19" s="437">
        <v>45292</v>
      </c>
      <c r="L19" s="457"/>
      <c r="M19" s="457"/>
      <c r="N19" s="457"/>
      <c r="O19" s="457"/>
      <c r="P19" s="457"/>
      <c r="Q19" s="457"/>
      <c r="R19" s="457"/>
      <c r="S19" s="457"/>
      <c r="T19" s="457"/>
      <c r="U19" s="457"/>
      <c r="V19" s="458"/>
      <c r="W19" s="457"/>
      <c r="X19" s="457"/>
      <c r="Y19" s="457"/>
      <c r="Z19" s="457"/>
      <c r="AA19" s="457"/>
      <c r="AB19" s="458"/>
      <c r="AC19" s="457"/>
      <c r="AD19" s="457"/>
      <c r="AE19" s="108"/>
      <c r="AF19" s="108"/>
      <c r="AG19" s="108"/>
      <c r="AH19" s="108"/>
      <c r="AI19" s="459"/>
      <c r="AJ19" s="108"/>
      <c r="AK19" s="108"/>
      <c r="AL19" s="108"/>
      <c r="AM19" s="108"/>
      <c r="AN19" s="393"/>
    </row>
    <row r="20" spans="1:40" x14ac:dyDescent="0.3">
      <c r="A20" t="s">
        <v>29</v>
      </c>
      <c r="B20" s="223">
        <v>217.9</v>
      </c>
      <c r="C20" s="437">
        <v>45292</v>
      </c>
      <c r="L20" s="457"/>
      <c r="M20" s="457"/>
      <c r="N20" s="457"/>
      <c r="O20" s="457"/>
      <c r="P20" s="457"/>
      <c r="Q20" s="457"/>
      <c r="R20" s="457"/>
      <c r="S20" s="457"/>
      <c r="T20" s="457"/>
      <c r="U20" s="457"/>
      <c r="V20" s="458"/>
      <c r="W20" s="457"/>
      <c r="X20" s="457"/>
      <c r="Y20" s="457"/>
      <c r="Z20" s="457"/>
      <c r="AA20" s="457"/>
      <c r="AB20" s="458"/>
      <c r="AC20" s="457"/>
      <c r="AD20" s="457"/>
      <c r="AE20" s="108"/>
      <c r="AF20" s="108"/>
      <c r="AG20" s="108"/>
      <c r="AH20" s="108"/>
      <c r="AI20" s="108"/>
      <c r="AJ20" s="108"/>
      <c r="AK20" s="108"/>
      <c r="AL20" s="108"/>
      <c r="AM20" s="108"/>
      <c r="AN20" s="393"/>
    </row>
    <row r="21" spans="1:40" x14ac:dyDescent="0.3">
      <c r="A21" t="s">
        <v>30</v>
      </c>
      <c r="B21" s="223">
        <v>845.4</v>
      </c>
      <c r="C21" s="437">
        <v>45292</v>
      </c>
      <c r="L21" s="457"/>
      <c r="M21" s="457"/>
      <c r="N21" s="457"/>
      <c r="O21" s="457"/>
      <c r="P21" s="457"/>
      <c r="Q21" s="457"/>
      <c r="R21" s="457"/>
      <c r="S21" s="457"/>
      <c r="T21" s="457"/>
      <c r="U21" s="457"/>
      <c r="V21" s="458"/>
      <c r="W21" s="457"/>
      <c r="X21" s="457"/>
      <c r="Y21" s="457"/>
      <c r="Z21" s="457"/>
      <c r="AA21" s="457"/>
      <c r="AB21" s="458"/>
      <c r="AC21" s="457"/>
      <c r="AD21" s="457"/>
      <c r="AE21" s="108"/>
      <c r="AF21" s="108"/>
      <c r="AG21" s="465"/>
      <c r="AH21" s="465"/>
      <c r="AI21" s="108"/>
      <c r="AJ21" s="108"/>
      <c r="AK21" s="108"/>
      <c r="AL21" s="108"/>
      <c r="AM21" s="108"/>
      <c r="AN21" s="393"/>
    </row>
    <row r="22" spans="1:40" x14ac:dyDescent="0.3">
      <c r="A22" t="s">
        <v>111</v>
      </c>
      <c r="B22" s="223">
        <v>188.8</v>
      </c>
      <c r="C22" s="437">
        <v>45292</v>
      </c>
      <c r="L22" s="457"/>
      <c r="M22" s="457"/>
      <c r="N22" s="457"/>
      <c r="O22" s="457"/>
      <c r="P22" s="457"/>
      <c r="Q22" s="457"/>
      <c r="R22" s="457"/>
      <c r="S22" s="457"/>
      <c r="T22" s="457"/>
      <c r="U22" s="457"/>
      <c r="V22" s="458"/>
      <c r="W22" s="457"/>
      <c r="X22" s="457"/>
      <c r="Y22" s="457"/>
      <c r="Z22" s="457"/>
      <c r="AA22" s="458"/>
      <c r="AB22" s="458"/>
      <c r="AC22" s="457"/>
      <c r="AD22" s="457"/>
      <c r="AE22" s="466"/>
      <c r="AF22" s="108"/>
      <c r="AG22" s="108"/>
      <c r="AH22" s="108"/>
      <c r="AI22" s="108"/>
      <c r="AJ22" s="108"/>
      <c r="AK22" s="108"/>
      <c r="AL22" s="108"/>
      <c r="AM22" s="108"/>
      <c r="AN22" s="393"/>
    </row>
    <row r="23" spans="1:40" x14ac:dyDescent="0.3">
      <c r="A23" t="s">
        <v>32</v>
      </c>
      <c r="B23" s="62">
        <v>210.7</v>
      </c>
      <c r="C23" s="437">
        <v>45292</v>
      </c>
      <c r="L23" s="457"/>
      <c r="M23" s="457"/>
      <c r="N23" s="458"/>
      <c r="O23" s="457"/>
      <c r="P23" s="457"/>
      <c r="Q23" s="457"/>
      <c r="R23" s="457"/>
      <c r="S23" s="457"/>
      <c r="T23" s="457"/>
      <c r="U23" s="457"/>
      <c r="V23" s="458"/>
      <c r="W23" s="457"/>
      <c r="X23" s="457"/>
      <c r="Y23" s="457"/>
      <c r="Z23" s="457"/>
      <c r="AA23" s="458"/>
      <c r="AB23" s="458"/>
      <c r="AC23" s="457"/>
      <c r="AD23" s="457"/>
      <c r="AE23" s="457"/>
      <c r="AF23" s="459"/>
      <c r="AG23" s="108"/>
      <c r="AH23" s="108"/>
      <c r="AI23" s="459"/>
      <c r="AJ23" s="108"/>
      <c r="AK23" s="458"/>
      <c r="AL23" s="465"/>
      <c r="AM23" s="108"/>
      <c r="AN23" s="393"/>
    </row>
    <row r="24" spans="1:40" x14ac:dyDescent="0.3">
      <c r="A24" t="s">
        <v>288</v>
      </c>
      <c r="B24" s="223">
        <v>133.30000000000001</v>
      </c>
      <c r="C24" s="437">
        <v>45292</v>
      </c>
      <c r="L24" s="461"/>
      <c r="M24" s="457"/>
      <c r="N24" s="458"/>
      <c r="O24" s="457"/>
      <c r="P24" s="458"/>
      <c r="Q24" s="457"/>
      <c r="R24" s="457"/>
      <c r="S24" s="457"/>
      <c r="T24" s="457"/>
      <c r="U24" s="457"/>
      <c r="V24" s="458"/>
      <c r="W24" s="457"/>
      <c r="X24" s="457"/>
      <c r="Y24" s="458"/>
      <c r="Z24" s="458"/>
      <c r="AA24" s="458"/>
      <c r="AB24" s="458"/>
      <c r="AC24" s="458"/>
      <c r="AD24" s="457"/>
      <c r="AE24" s="466"/>
      <c r="AF24" s="459"/>
      <c r="AG24" s="459"/>
      <c r="AH24" s="458"/>
      <c r="AI24" s="459"/>
      <c r="AJ24" s="465"/>
      <c r="AK24" s="108"/>
      <c r="AL24" s="108"/>
      <c r="AM24" s="108"/>
      <c r="AN24" s="393"/>
    </row>
    <row r="25" spans="1:40" x14ac:dyDescent="0.3">
      <c r="A25" t="s">
        <v>112</v>
      </c>
      <c r="B25" s="223">
        <v>136.6</v>
      </c>
      <c r="C25" s="437">
        <v>45292</v>
      </c>
      <c r="L25" s="461"/>
      <c r="M25" s="457"/>
      <c r="N25" s="458"/>
      <c r="O25" s="457"/>
      <c r="P25" s="458"/>
      <c r="Q25" s="457"/>
      <c r="R25" s="457"/>
      <c r="S25" s="457"/>
      <c r="T25" s="457"/>
      <c r="U25" s="457"/>
      <c r="V25" s="458"/>
      <c r="W25" s="457"/>
      <c r="X25" s="457"/>
      <c r="Y25" s="458"/>
      <c r="Z25" s="458"/>
      <c r="AA25" s="458"/>
      <c r="AB25" s="458"/>
      <c r="AC25" s="458"/>
      <c r="AD25" s="457"/>
      <c r="AE25" s="466"/>
      <c r="AF25" s="459"/>
      <c r="AG25" s="459"/>
      <c r="AH25" s="458"/>
      <c r="AI25" s="459"/>
      <c r="AJ25" s="465"/>
      <c r="AK25" s="108"/>
      <c r="AL25" s="108"/>
      <c r="AM25" s="108"/>
      <c r="AN25" s="393"/>
    </row>
    <row r="26" spans="1:40" x14ac:dyDescent="0.3">
      <c r="A26" t="s">
        <v>289</v>
      </c>
      <c r="B26" s="223">
        <v>130.6</v>
      </c>
      <c r="C26" s="437">
        <v>45292</v>
      </c>
      <c r="L26" s="461"/>
      <c r="M26" s="457"/>
      <c r="N26" s="460"/>
      <c r="O26" s="460"/>
      <c r="P26" s="458"/>
      <c r="Q26" s="457"/>
      <c r="R26" s="457"/>
      <c r="S26" s="457"/>
      <c r="T26" s="457"/>
      <c r="U26" s="457"/>
      <c r="V26" s="458"/>
      <c r="W26" s="457"/>
      <c r="X26" s="457"/>
      <c r="Y26" s="458"/>
      <c r="Z26" s="458"/>
      <c r="AA26" s="458"/>
      <c r="AB26" s="458"/>
      <c r="AC26" s="458"/>
      <c r="AD26" s="457"/>
      <c r="AE26" s="466"/>
      <c r="AF26" s="459"/>
      <c r="AG26" s="459"/>
      <c r="AH26" s="458"/>
      <c r="AI26" s="459"/>
      <c r="AJ26" s="465"/>
      <c r="AK26" s="108"/>
      <c r="AL26" s="108"/>
      <c r="AM26" s="108"/>
      <c r="AN26" s="393"/>
    </row>
    <row r="27" spans="1:40" x14ac:dyDescent="0.3">
      <c r="A27" t="s">
        <v>291</v>
      </c>
      <c r="B27" s="378">
        <v>135</v>
      </c>
      <c r="C27" s="437">
        <v>45292</v>
      </c>
      <c r="L27" s="457"/>
      <c r="M27" s="457"/>
      <c r="N27" s="460"/>
      <c r="O27" s="461"/>
      <c r="P27" s="458"/>
      <c r="Q27" s="458"/>
      <c r="R27" s="458"/>
      <c r="S27" s="458"/>
      <c r="T27" s="458"/>
      <c r="U27" s="458"/>
      <c r="V27" s="458"/>
      <c r="W27" s="458"/>
      <c r="X27" s="458"/>
      <c r="Y27" s="458"/>
      <c r="Z27" s="458"/>
      <c r="AA27" s="458"/>
      <c r="AB27" s="458"/>
      <c r="AC27" s="457"/>
      <c r="AD27" s="459"/>
      <c r="AE27" s="459"/>
      <c r="AF27" s="459"/>
      <c r="AG27" s="459"/>
      <c r="AH27" s="108"/>
      <c r="AI27" s="459"/>
      <c r="AJ27" s="108"/>
      <c r="AK27" s="108"/>
      <c r="AL27" s="108"/>
      <c r="AM27" s="108"/>
      <c r="AN27" s="393"/>
    </row>
    <row r="28" spans="1:40" x14ac:dyDescent="0.3">
      <c r="A28" t="s">
        <v>7</v>
      </c>
      <c r="B28" s="103">
        <v>29.5</v>
      </c>
      <c r="C28" s="437">
        <v>45293</v>
      </c>
      <c r="E28" s="31"/>
      <c r="L28" s="393"/>
      <c r="M28" s="393"/>
      <c r="N28" s="393"/>
      <c r="O28" s="393"/>
      <c r="P28" s="393"/>
      <c r="Q28" s="393"/>
      <c r="R28" s="393"/>
      <c r="S28" s="393"/>
      <c r="T28" s="393"/>
      <c r="U28" s="393"/>
      <c r="V28" s="393"/>
      <c r="W28" s="393"/>
      <c r="X28" s="393"/>
      <c r="Y28" s="393"/>
      <c r="Z28" s="393"/>
      <c r="AA28" s="393"/>
      <c r="AB28" s="393"/>
      <c r="AC28" s="393"/>
      <c r="AD28" s="393"/>
      <c r="AE28" s="393"/>
      <c r="AF28" s="393"/>
      <c r="AG28" s="393"/>
      <c r="AH28" s="393"/>
      <c r="AI28" s="393"/>
      <c r="AJ28" s="393"/>
      <c r="AK28" s="393"/>
      <c r="AL28" s="393"/>
      <c r="AM28" s="393"/>
      <c r="AN28" s="393"/>
    </row>
    <row r="29" spans="1:40" x14ac:dyDescent="0.3">
      <c r="A29" t="s">
        <v>8</v>
      </c>
      <c r="B29" s="63">
        <f>28.4+124</f>
        <v>152.4</v>
      </c>
      <c r="C29" s="437">
        <v>45293</v>
      </c>
    </row>
    <row r="30" spans="1:40" x14ac:dyDescent="0.3">
      <c r="A30" t="s">
        <v>9</v>
      </c>
      <c r="B30" s="63">
        <v>123.8</v>
      </c>
      <c r="C30" s="437">
        <v>45293</v>
      </c>
    </row>
    <row r="31" spans="1:40" x14ac:dyDescent="0.3">
      <c r="A31" t="s">
        <v>10</v>
      </c>
      <c r="B31" s="63">
        <v>85.7</v>
      </c>
      <c r="C31" s="437">
        <v>45293</v>
      </c>
    </row>
    <row r="32" spans="1:40" x14ac:dyDescent="0.3">
      <c r="A32" t="s">
        <v>11</v>
      </c>
      <c r="B32" s="63">
        <v>27.3</v>
      </c>
      <c r="C32" s="437">
        <v>45293</v>
      </c>
    </row>
    <row r="33" spans="1:3" x14ac:dyDescent="0.3">
      <c r="A33" t="s">
        <v>12</v>
      </c>
      <c r="B33" s="63">
        <v>50.9</v>
      </c>
      <c r="C33" s="437">
        <v>45293</v>
      </c>
    </row>
    <row r="34" spans="1:3" x14ac:dyDescent="0.3">
      <c r="A34" t="s">
        <v>13</v>
      </c>
      <c r="B34" s="63">
        <v>208.9</v>
      </c>
      <c r="C34" s="437">
        <v>45293</v>
      </c>
    </row>
    <row r="35" spans="1:3" x14ac:dyDescent="0.3">
      <c r="A35" t="s">
        <v>14</v>
      </c>
      <c r="B35" s="308">
        <v>147.4</v>
      </c>
      <c r="C35" s="437">
        <v>45293</v>
      </c>
    </row>
    <row r="36" spans="1:3" x14ac:dyDescent="0.3">
      <c r="A36" t="s">
        <v>17</v>
      </c>
      <c r="B36" s="63">
        <v>245.8</v>
      </c>
      <c r="C36" s="437">
        <v>45293</v>
      </c>
    </row>
    <row r="37" spans="1:3" x14ac:dyDescent="0.3">
      <c r="A37" t="s">
        <v>18</v>
      </c>
      <c r="B37" s="63">
        <v>279.89999999999998</v>
      </c>
      <c r="C37" s="437">
        <v>45293</v>
      </c>
    </row>
    <row r="38" spans="1:3" x14ac:dyDescent="0.3">
      <c r="A38" t="s">
        <v>110</v>
      </c>
      <c r="B38" s="63">
        <v>75.5</v>
      </c>
      <c r="C38" s="437">
        <v>45293</v>
      </c>
    </row>
    <row r="39" spans="1:3" x14ac:dyDescent="0.3">
      <c r="A39" t="s">
        <v>20</v>
      </c>
      <c r="B39" s="63">
        <v>289</v>
      </c>
      <c r="C39" s="437">
        <v>45293</v>
      </c>
    </row>
    <row r="40" spans="1:3" x14ac:dyDescent="0.3">
      <c r="A40" t="s">
        <v>22</v>
      </c>
      <c r="B40" s="63">
        <v>325</v>
      </c>
      <c r="C40" s="437">
        <v>45293</v>
      </c>
    </row>
    <row r="41" spans="1:3" x14ac:dyDescent="0.3">
      <c r="A41" t="s">
        <v>23</v>
      </c>
      <c r="B41" s="63">
        <v>351.6</v>
      </c>
      <c r="C41" s="437">
        <v>45293</v>
      </c>
    </row>
    <row r="42" spans="1:3" x14ac:dyDescent="0.3">
      <c r="A42" t="s">
        <v>24</v>
      </c>
      <c r="B42" s="63">
        <v>295.39999999999998</v>
      </c>
      <c r="C42" s="437">
        <v>45293</v>
      </c>
    </row>
    <row r="43" spans="1:3" x14ac:dyDescent="0.3">
      <c r="A43" t="s">
        <v>25</v>
      </c>
      <c r="B43" s="63">
        <v>376.8</v>
      </c>
      <c r="C43" s="437">
        <v>45293</v>
      </c>
    </row>
    <row r="44" spans="1:3" x14ac:dyDescent="0.3">
      <c r="A44" t="s">
        <v>26</v>
      </c>
      <c r="B44" s="63">
        <v>281</v>
      </c>
      <c r="C44" s="437">
        <v>45293</v>
      </c>
    </row>
    <row r="45" spans="1:3" x14ac:dyDescent="0.3">
      <c r="A45" t="s">
        <v>28</v>
      </c>
      <c r="B45" s="63">
        <v>334.9</v>
      </c>
      <c r="C45" s="437">
        <v>45293</v>
      </c>
    </row>
    <row r="46" spans="1:3" x14ac:dyDescent="0.3">
      <c r="A46" t="s">
        <v>29</v>
      </c>
      <c r="B46" s="63">
        <v>262.3</v>
      </c>
      <c r="C46" s="437">
        <v>45293</v>
      </c>
    </row>
    <row r="47" spans="1:3" x14ac:dyDescent="0.3">
      <c r="A47" t="s">
        <v>30</v>
      </c>
      <c r="B47" s="63">
        <v>1010</v>
      </c>
      <c r="C47" s="437">
        <v>45293</v>
      </c>
    </row>
    <row r="48" spans="1:3" x14ac:dyDescent="0.3">
      <c r="A48" t="s">
        <v>111</v>
      </c>
      <c r="B48" s="63">
        <v>390.6</v>
      </c>
      <c r="C48" s="437">
        <v>45293</v>
      </c>
    </row>
    <row r="49" spans="1:5" x14ac:dyDescent="0.3">
      <c r="A49" t="s">
        <v>32</v>
      </c>
      <c r="B49" s="63">
        <v>365.8</v>
      </c>
      <c r="C49" s="437">
        <v>45293</v>
      </c>
    </row>
    <row r="50" spans="1:5" x14ac:dyDescent="0.3">
      <c r="A50" t="s">
        <v>288</v>
      </c>
      <c r="B50" s="63">
        <v>365.1</v>
      </c>
      <c r="C50" s="437">
        <v>45293</v>
      </c>
    </row>
    <row r="51" spans="1:5" x14ac:dyDescent="0.3">
      <c r="A51" t="s">
        <v>112</v>
      </c>
      <c r="B51" s="63">
        <v>348.2</v>
      </c>
      <c r="C51" s="437">
        <v>45293</v>
      </c>
    </row>
    <row r="52" spans="1:5" x14ac:dyDescent="0.3">
      <c r="A52" t="s">
        <v>289</v>
      </c>
      <c r="B52" s="63">
        <v>362.5</v>
      </c>
      <c r="C52" s="437">
        <v>45293</v>
      </c>
    </row>
    <row r="53" spans="1:5" x14ac:dyDescent="0.3">
      <c r="A53" t="s">
        <v>291</v>
      </c>
      <c r="B53" s="378">
        <v>320</v>
      </c>
      <c r="C53" s="437">
        <v>45293</v>
      </c>
    </row>
    <row r="54" spans="1:5" x14ac:dyDescent="0.3">
      <c r="A54" t="s">
        <v>7</v>
      </c>
      <c r="B54" s="103">
        <v>23</v>
      </c>
      <c r="C54" s="437">
        <v>45294</v>
      </c>
      <c r="E54" s="31"/>
    </row>
    <row r="55" spans="1:5" x14ac:dyDescent="0.3">
      <c r="A55" t="s">
        <v>8</v>
      </c>
      <c r="B55" s="63">
        <f>25.2+111.1</f>
        <v>136.29999999999998</v>
      </c>
      <c r="C55" s="437">
        <v>45294</v>
      </c>
    </row>
    <row r="56" spans="1:5" x14ac:dyDescent="0.3">
      <c r="A56" t="s">
        <v>9</v>
      </c>
      <c r="B56" s="63">
        <v>97.7</v>
      </c>
      <c r="C56" s="437">
        <v>45294</v>
      </c>
    </row>
    <row r="57" spans="1:5" x14ac:dyDescent="0.3">
      <c r="A57" t="s">
        <v>10</v>
      </c>
      <c r="B57" s="63">
        <v>67.900000000000006</v>
      </c>
      <c r="C57" s="437">
        <v>45294</v>
      </c>
    </row>
    <row r="58" spans="1:5" x14ac:dyDescent="0.3">
      <c r="A58" t="s">
        <v>11</v>
      </c>
      <c r="B58" s="63">
        <v>21.7</v>
      </c>
      <c r="C58" s="437">
        <v>45294</v>
      </c>
    </row>
    <row r="59" spans="1:5" x14ac:dyDescent="0.3">
      <c r="A59" t="s">
        <v>12</v>
      </c>
      <c r="B59" s="63">
        <v>40.799999999999997</v>
      </c>
      <c r="C59" s="437">
        <v>45294</v>
      </c>
    </row>
    <row r="60" spans="1:5" x14ac:dyDescent="0.3">
      <c r="A60" t="s">
        <v>13</v>
      </c>
      <c r="B60" s="63">
        <v>205.7</v>
      </c>
      <c r="C60" s="437">
        <v>45294</v>
      </c>
    </row>
    <row r="61" spans="1:5" x14ac:dyDescent="0.3">
      <c r="A61" t="s">
        <v>14</v>
      </c>
      <c r="B61" s="82">
        <v>116.5</v>
      </c>
      <c r="C61" s="437">
        <v>45294</v>
      </c>
    </row>
    <row r="62" spans="1:5" x14ac:dyDescent="0.3">
      <c r="A62" t="s">
        <v>17</v>
      </c>
      <c r="B62" s="63">
        <v>194.3</v>
      </c>
      <c r="C62" s="437">
        <v>45294</v>
      </c>
    </row>
    <row r="63" spans="1:5" x14ac:dyDescent="0.3">
      <c r="A63" t="s">
        <v>18</v>
      </c>
      <c r="B63" s="63">
        <v>274.3</v>
      </c>
      <c r="C63" s="437">
        <v>45294</v>
      </c>
    </row>
    <row r="64" spans="1:5" x14ac:dyDescent="0.3">
      <c r="A64" t="s">
        <v>110</v>
      </c>
      <c r="B64" s="63">
        <v>73.599999999999994</v>
      </c>
      <c r="C64" s="437">
        <v>45294</v>
      </c>
    </row>
    <row r="65" spans="1:5" x14ac:dyDescent="0.3">
      <c r="A65" t="s">
        <v>20</v>
      </c>
      <c r="B65" s="63">
        <v>231</v>
      </c>
      <c r="C65" s="437">
        <v>45294</v>
      </c>
    </row>
    <row r="66" spans="1:5" x14ac:dyDescent="0.3">
      <c r="A66" t="s">
        <v>22</v>
      </c>
      <c r="B66" s="82">
        <v>184.6</v>
      </c>
      <c r="C66" s="437">
        <v>45294</v>
      </c>
    </row>
    <row r="67" spans="1:5" x14ac:dyDescent="0.3">
      <c r="A67" t="s">
        <v>23</v>
      </c>
      <c r="B67" s="308">
        <v>194.8</v>
      </c>
      <c r="C67" s="437">
        <v>45294</v>
      </c>
    </row>
    <row r="68" spans="1:5" x14ac:dyDescent="0.3">
      <c r="A68" t="s">
        <v>24</v>
      </c>
      <c r="B68" s="63">
        <v>147.6</v>
      </c>
      <c r="C68" s="437">
        <v>45294</v>
      </c>
    </row>
    <row r="69" spans="1:5" x14ac:dyDescent="0.3">
      <c r="A69" t="s">
        <v>25</v>
      </c>
      <c r="B69" s="63">
        <v>193.5</v>
      </c>
      <c r="C69" s="437">
        <v>45294</v>
      </c>
    </row>
    <row r="70" spans="1:5" x14ac:dyDescent="0.3">
      <c r="A70" t="s">
        <v>26</v>
      </c>
      <c r="B70" s="63">
        <v>144.69999999999999</v>
      </c>
      <c r="C70" s="437">
        <v>45294</v>
      </c>
    </row>
    <row r="71" spans="1:5" x14ac:dyDescent="0.3">
      <c r="A71" t="s">
        <v>28</v>
      </c>
      <c r="B71" s="63">
        <v>320.5</v>
      </c>
      <c r="C71" s="437">
        <v>45294</v>
      </c>
    </row>
    <row r="72" spans="1:5" x14ac:dyDescent="0.3">
      <c r="A72" t="s">
        <v>29</v>
      </c>
      <c r="B72" s="283">
        <v>254.8</v>
      </c>
      <c r="C72" s="437">
        <v>45294</v>
      </c>
    </row>
    <row r="73" spans="1:5" x14ac:dyDescent="0.3">
      <c r="A73" t="s">
        <v>30</v>
      </c>
      <c r="B73" s="63">
        <v>984.4</v>
      </c>
      <c r="C73" s="437">
        <v>45294</v>
      </c>
    </row>
    <row r="74" spans="1:5" x14ac:dyDescent="0.3">
      <c r="A74" t="s">
        <v>111</v>
      </c>
      <c r="B74" s="63">
        <v>388.8</v>
      </c>
      <c r="C74" s="437">
        <v>45294</v>
      </c>
    </row>
    <row r="75" spans="1:5" x14ac:dyDescent="0.3">
      <c r="A75" t="s">
        <v>32</v>
      </c>
      <c r="B75" s="63">
        <v>348.2</v>
      </c>
      <c r="C75" s="437">
        <v>45294</v>
      </c>
    </row>
    <row r="76" spans="1:5" x14ac:dyDescent="0.3">
      <c r="A76" t="s">
        <v>288</v>
      </c>
      <c r="B76" s="63">
        <v>328.2</v>
      </c>
      <c r="C76" s="437">
        <v>45294</v>
      </c>
    </row>
    <row r="77" spans="1:5" x14ac:dyDescent="0.3">
      <c r="A77" t="s">
        <v>112</v>
      </c>
      <c r="B77" s="63">
        <v>331</v>
      </c>
      <c r="C77" s="437">
        <v>45294</v>
      </c>
    </row>
    <row r="78" spans="1:5" x14ac:dyDescent="0.3">
      <c r="A78" t="s">
        <v>289</v>
      </c>
      <c r="B78" s="63">
        <v>334.3</v>
      </c>
      <c r="C78" s="437">
        <v>45294</v>
      </c>
    </row>
    <row r="79" spans="1:5" x14ac:dyDescent="0.3">
      <c r="A79" t="s">
        <v>291</v>
      </c>
      <c r="B79" s="319">
        <v>160</v>
      </c>
      <c r="C79" s="437">
        <v>45294</v>
      </c>
    </row>
    <row r="80" spans="1:5" x14ac:dyDescent="0.3">
      <c r="A80" t="s">
        <v>7</v>
      </c>
      <c r="B80" s="103">
        <v>20.3</v>
      </c>
      <c r="C80" s="437">
        <v>45295</v>
      </c>
      <c r="E80" s="31"/>
    </row>
    <row r="81" spans="1:3" x14ac:dyDescent="0.3">
      <c r="A81" t="s">
        <v>8</v>
      </c>
      <c r="B81" s="63">
        <f>21.4+94.7</f>
        <v>116.1</v>
      </c>
      <c r="C81" s="437">
        <v>45295</v>
      </c>
    </row>
    <row r="82" spans="1:3" x14ac:dyDescent="0.3">
      <c r="A82" t="s">
        <v>9</v>
      </c>
      <c r="B82" s="63">
        <v>86.6</v>
      </c>
      <c r="C82" s="437">
        <v>45295</v>
      </c>
    </row>
    <row r="83" spans="1:3" x14ac:dyDescent="0.3">
      <c r="A83" t="s">
        <v>10</v>
      </c>
      <c r="B83" s="63">
        <v>60.6</v>
      </c>
      <c r="C83" s="437">
        <v>45295</v>
      </c>
    </row>
    <row r="84" spans="1:3" x14ac:dyDescent="0.3">
      <c r="A84" t="s">
        <v>11</v>
      </c>
      <c r="B84" s="82">
        <v>20.399999999999999</v>
      </c>
      <c r="C84" s="437">
        <v>45295</v>
      </c>
    </row>
    <row r="85" spans="1:3" x14ac:dyDescent="0.3">
      <c r="A85" t="s">
        <v>12</v>
      </c>
      <c r="B85" s="82">
        <v>39.1</v>
      </c>
      <c r="C85" s="437">
        <v>45295</v>
      </c>
    </row>
    <row r="86" spans="1:3" x14ac:dyDescent="0.3">
      <c r="A86" t="s">
        <v>13</v>
      </c>
      <c r="B86" s="63">
        <v>174.6</v>
      </c>
      <c r="C86" s="437">
        <v>45295</v>
      </c>
    </row>
    <row r="87" spans="1:3" x14ac:dyDescent="0.3">
      <c r="A87" t="s">
        <v>14</v>
      </c>
      <c r="B87" s="82">
        <v>111.6</v>
      </c>
      <c r="C87" s="437">
        <v>45295</v>
      </c>
    </row>
    <row r="88" spans="1:3" x14ac:dyDescent="0.3">
      <c r="A88" t="s">
        <v>17</v>
      </c>
      <c r="B88" s="63">
        <v>182.1</v>
      </c>
      <c r="C88" s="437">
        <v>45295</v>
      </c>
    </row>
    <row r="89" spans="1:3" x14ac:dyDescent="0.3">
      <c r="A89" t="s">
        <v>18</v>
      </c>
      <c r="B89" s="63">
        <v>228.3</v>
      </c>
      <c r="C89" s="437">
        <v>45295</v>
      </c>
    </row>
    <row r="90" spans="1:3" x14ac:dyDescent="0.3">
      <c r="A90" t="s">
        <v>110</v>
      </c>
      <c r="B90" s="63">
        <v>61.5</v>
      </c>
      <c r="C90" s="437">
        <v>45295</v>
      </c>
    </row>
    <row r="91" spans="1:3" x14ac:dyDescent="0.3">
      <c r="A91" t="s">
        <v>20</v>
      </c>
      <c r="B91" s="63">
        <v>215.4</v>
      </c>
      <c r="C91" s="437">
        <v>45295</v>
      </c>
    </row>
    <row r="92" spans="1:3" x14ac:dyDescent="0.3">
      <c r="A92" t="s">
        <v>22</v>
      </c>
      <c r="B92" s="283">
        <v>154.4</v>
      </c>
      <c r="C92" s="437">
        <v>45295</v>
      </c>
    </row>
    <row r="93" spans="1:3" x14ac:dyDescent="0.3">
      <c r="A93" t="s">
        <v>23</v>
      </c>
      <c r="B93" s="283">
        <v>165.8</v>
      </c>
      <c r="C93" s="437">
        <v>45295</v>
      </c>
    </row>
    <row r="94" spans="1:3" x14ac:dyDescent="0.3">
      <c r="A94" t="s">
        <v>24</v>
      </c>
      <c r="B94" s="63">
        <v>122.5</v>
      </c>
      <c r="C94" s="437">
        <v>45295</v>
      </c>
    </row>
    <row r="95" spans="1:3" x14ac:dyDescent="0.3">
      <c r="A95" t="s">
        <v>25</v>
      </c>
      <c r="B95" s="63">
        <v>157.4</v>
      </c>
      <c r="C95" s="437">
        <v>45295</v>
      </c>
    </row>
    <row r="96" spans="1:3" x14ac:dyDescent="0.3">
      <c r="A96" t="s">
        <v>26</v>
      </c>
      <c r="B96" s="63">
        <v>166.8</v>
      </c>
      <c r="C96" s="437">
        <v>45295</v>
      </c>
    </row>
    <row r="97" spans="1:3" x14ac:dyDescent="0.3">
      <c r="A97" t="s">
        <v>28</v>
      </c>
      <c r="B97" s="63">
        <v>286.7</v>
      </c>
      <c r="C97" s="437">
        <v>45295</v>
      </c>
    </row>
    <row r="98" spans="1:3" x14ac:dyDescent="0.3">
      <c r="A98" t="s">
        <v>29</v>
      </c>
      <c r="B98" s="63">
        <v>224.8</v>
      </c>
      <c r="C98" s="437">
        <v>45295</v>
      </c>
    </row>
    <row r="99" spans="1:3" x14ac:dyDescent="0.3">
      <c r="A99" t="s">
        <v>30</v>
      </c>
      <c r="B99" s="63">
        <v>872.1</v>
      </c>
      <c r="C99" s="437">
        <v>45295</v>
      </c>
    </row>
    <row r="100" spans="1:3" x14ac:dyDescent="0.3">
      <c r="A100" t="s">
        <v>111</v>
      </c>
      <c r="B100" s="63">
        <v>353.1</v>
      </c>
      <c r="C100" s="437">
        <v>45295</v>
      </c>
    </row>
    <row r="101" spans="1:3" x14ac:dyDescent="0.3">
      <c r="A101" t="s">
        <v>32</v>
      </c>
      <c r="B101" s="63">
        <v>285</v>
      </c>
      <c r="C101" s="437">
        <v>45295</v>
      </c>
    </row>
    <row r="102" spans="1:3" x14ac:dyDescent="0.3">
      <c r="A102" t="s">
        <v>288</v>
      </c>
      <c r="B102" s="308">
        <v>281.3</v>
      </c>
      <c r="C102" s="437">
        <v>45295</v>
      </c>
    </row>
    <row r="103" spans="1:3" x14ac:dyDescent="0.3">
      <c r="A103" t="s">
        <v>112</v>
      </c>
      <c r="B103" s="308">
        <v>272.39999999999998</v>
      </c>
      <c r="C103" s="437">
        <v>45295</v>
      </c>
    </row>
    <row r="104" spans="1:3" x14ac:dyDescent="0.3">
      <c r="A104" t="s">
        <v>289</v>
      </c>
      <c r="B104" s="308">
        <v>281</v>
      </c>
      <c r="C104" s="437">
        <v>45295</v>
      </c>
    </row>
    <row r="105" spans="1:3" x14ac:dyDescent="0.3">
      <c r="A105" t="s">
        <v>291</v>
      </c>
      <c r="B105" s="319">
        <v>175</v>
      </c>
      <c r="C105" s="437">
        <v>45295</v>
      </c>
    </row>
    <row r="106" spans="1:3" x14ac:dyDescent="0.3">
      <c r="A106" t="s">
        <v>7</v>
      </c>
      <c r="B106" s="103">
        <v>59.1</v>
      </c>
      <c r="C106" s="437">
        <v>45296</v>
      </c>
    </row>
    <row r="107" spans="1:3" x14ac:dyDescent="0.3">
      <c r="A107" t="s">
        <v>8</v>
      </c>
      <c r="B107" s="63">
        <f>238.2+57.8</f>
        <v>296</v>
      </c>
      <c r="C107" s="437">
        <v>45296</v>
      </c>
    </row>
    <row r="108" spans="1:3" x14ac:dyDescent="0.3">
      <c r="A108" t="s">
        <v>9</v>
      </c>
      <c r="B108" s="63">
        <v>233</v>
      </c>
      <c r="C108" s="437">
        <v>45296</v>
      </c>
    </row>
    <row r="109" spans="1:3" x14ac:dyDescent="0.3">
      <c r="A109" t="s">
        <v>10</v>
      </c>
      <c r="B109" s="63">
        <v>155.30000000000001</v>
      </c>
      <c r="C109" s="437">
        <v>45296</v>
      </c>
    </row>
    <row r="110" spans="1:3" x14ac:dyDescent="0.3">
      <c r="A110" t="s">
        <v>11</v>
      </c>
      <c r="B110" s="82">
        <v>52.3</v>
      </c>
      <c r="C110" s="437">
        <v>45296</v>
      </c>
    </row>
    <row r="111" spans="1:3" x14ac:dyDescent="0.3">
      <c r="A111" t="s">
        <v>12</v>
      </c>
      <c r="B111" s="82">
        <v>99.3</v>
      </c>
      <c r="C111" s="437">
        <v>45296</v>
      </c>
    </row>
    <row r="112" spans="1:3" x14ac:dyDescent="0.3">
      <c r="A112" t="s">
        <v>13</v>
      </c>
      <c r="B112" s="63">
        <v>385.1</v>
      </c>
      <c r="C112" s="437">
        <v>45296</v>
      </c>
    </row>
    <row r="113" spans="1:3" x14ac:dyDescent="0.3">
      <c r="A113" t="s">
        <v>14</v>
      </c>
      <c r="B113" s="82">
        <v>288.7</v>
      </c>
      <c r="C113" s="437">
        <v>45296</v>
      </c>
    </row>
    <row r="114" spans="1:3" x14ac:dyDescent="0.3">
      <c r="A114" t="s">
        <v>17</v>
      </c>
      <c r="B114" s="63">
        <v>443.8</v>
      </c>
      <c r="C114" s="437">
        <v>45296</v>
      </c>
    </row>
    <row r="115" spans="1:3" x14ac:dyDescent="0.3">
      <c r="A115" t="s">
        <v>18</v>
      </c>
      <c r="B115" s="63">
        <v>530.9</v>
      </c>
      <c r="C115" s="437">
        <v>45296</v>
      </c>
    </row>
    <row r="116" spans="1:3" x14ac:dyDescent="0.3">
      <c r="A116" t="s">
        <v>110</v>
      </c>
      <c r="B116" s="63">
        <v>153.1</v>
      </c>
      <c r="C116" s="437">
        <v>45296</v>
      </c>
    </row>
    <row r="117" spans="1:3" x14ac:dyDescent="0.3">
      <c r="A117" t="s">
        <v>20</v>
      </c>
      <c r="B117" s="63">
        <v>451.9</v>
      </c>
      <c r="C117" s="437">
        <v>45296</v>
      </c>
    </row>
    <row r="118" spans="1:3" x14ac:dyDescent="0.3">
      <c r="A118" t="s">
        <v>22</v>
      </c>
      <c r="B118" s="63">
        <v>522.9</v>
      </c>
      <c r="C118" s="437">
        <v>45296</v>
      </c>
    </row>
    <row r="119" spans="1:3" x14ac:dyDescent="0.3">
      <c r="A119" t="s">
        <v>23</v>
      </c>
      <c r="B119" s="63">
        <v>547</v>
      </c>
      <c r="C119" s="437">
        <v>45296</v>
      </c>
    </row>
    <row r="120" spans="1:3" x14ac:dyDescent="0.3">
      <c r="A120" t="s">
        <v>24</v>
      </c>
      <c r="B120" s="63">
        <v>438.7</v>
      </c>
      <c r="C120" s="437">
        <v>45296</v>
      </c>
    </row>
    <row r="121" spans="1:3" x14ac:dyDescent="0.3">
      <c r="A121" t="s">
        <v>25</v>
      </c>
      <c r="B121" s="63">
        <v>533</v>
      </c>
      <c r="C121" s="437">
        <v>45296</v>
      </c>
    </row>
    <row r="122" spans="1:3" x14ac:dyDescent="0.3">
      <c r="A122" t="s">
        <v>26</v>
      </c>
      <c r="B122" s="63">
        <v>427.2</v>
      </c>
      <c r="C122" s="437">
        <v>45296</v>
      </c>
    </row>
    <row r="123" spans="1:3" x14ac:dyDescent="0.3">
      <c r="A123" t="s">
        <v>28</v>
      </c>
      <c r="B123" s="63">
        <v>586.79999999999995</v>
      </c>
      <c r="C123" s="437">
        <v>45296</v>
      </c>
    </row>
    <row r="124" spans="1:3" x14ac:dyDescent="0.3">
      <c r="A124" t="s">
        <v>29</v>
      </c>
      <c r="B124" s="63">
        <v>511.4</v>
      </c>
      <c r="C124" s="437">
        <v>45296</v>
      </c>
    </row>
    <row r="125" spans="1:3" x14ac:dyDescent="0.3">
      <c r="A125" t="s">
        <v>30</v>
      </c>
      <c r="B125" s="63">
        <v>1970</v>
      </c>
      <c r="C125" s="437">
        <v>45296</v>
      </c>
    </row>
    <row r="126" spans="1:3" x14ac:dyDescent="0.3">
      <c r="A126" t="s">
        <v>111</v>
      </c>
      <c r="B126" s="63">
        <v>583.20000000000005</v>
      </c>
      <c r="C126" s="437">
        <v>45296</v>
      </c>
    </row>
    <row r="127" spans="1:3" x14ac:dyDescent="0.3">
      <c r="A127" t="s">
        <v>32</v>
      </c>
      <c r="B127" s="63">
        <v>508.3</v>
      </c>
      <c r="C127" s="437">
        <v>45296</v>
      </c>
    </row>
    <row r="128" spans="1:3" x14ac:dyDescent="0.3">
      <c r="A128" t="s">
        <v>288</v>
      </c>
      <c r="B128" s="63">
        <v>384.1</v>
      </c>
      <c r="C128" s="437">
        <v>45296</v>
      </c>
    </row>
    <row r="129" spans="1:3" x14ac:dyDescent="0.3">
      <c r="A129" t="s">
        <v>112</v>
      </c>
      <c r="B129" s="63">
        <v>368.4</v>
      </c>
      <c r="C129" s="437">
        <v>45296</v>
      </c>
    </row>
    <row r="130" spans="1:3" x14ac:dyDescent="0.3">
      <c r="A130" t="s">
        <v>289</v>
      </c>
      <c r="B130" s="63">
        <v>376.7</v>
      </c>
      <c r="C130" s="437">
        <v>45296</v>
      </c>
    </row>
    <row r="131" spans="1:3" x14ac:dyDescent="0.3">
      <c r="A131" t="s">
        <v>291</v>
      </c>
      <c r="B131" s="319">
        <v>320</v>
      </c>
      <c r="C131" s="437">
        <v>45296</v>
      </c>
    </row>
    <row r="132" spans="1:3" x14ac:dyDescent="0.3">
      <c r="A132" t="s">
        <v>7</v>
      </c>
      <c r="B132" s="331">
        <v>60.2</v>
      </c>
      <c r="C132" s="437">
        <v>45297</v>
      </c>
    </row>
    <row r="133" spans="1:3" x14ac:dyDescent="0.3">
      <c r="A133" t="s">
        <v>8</v>
      </c>
      <c r="B133" s="283">
        <f>54.5+237.7</f>
        <v>292.2</v>
      </c>
      <c r="C133" s="437">
        <v>45297</v>
      </c>
    </row>
    <row r="134" spans="1:3" x14ac:dyDescent="0.3">
      <c r="A134" t="s">
        <v>9</v>
      </c>
      <c r="B134" s="283">
        <v>242.3</v>
      </c>
      <c r="C134" s="437">
        <v>45297</v>
      </c>
    </row>
    <row r="135" spans="1:3" x14ac:dyDescent="0.3">
      <c r="A135" t="s">
        <v>10</v>
      </c>
      <c r="B135" s="283">
        <v>157.9</v>
      </c>
      <c r="C135" s="437">
        <v>45297</v>
      </c>
    </row>
    <row r="136" spans="1:3" x14ac:dyDescent="0.3">
      <c r="A136" t="s">
        <v>11</v>
      </c>
      <c r="B136" s="308">
        <v>47.8</v>
      </c>
      <c r="C136" s="437">
        <v>45297</v>
      </c>
    </row>
    <row r="137" spans="1:3" x14ac:dyDescent="0.3">
      <c r="A137" t="s">
        <v>12</v>
      </c>
      <c r="B137" s="63">
        <v>92</v>
      </c>
      <c r="C137" s="437">
        <v>45297</v>
      </c>
    </row>
    <row r="138" spans="1:3" x14ac:dyDescent="0.3">
      <c r="A138" t="s">
        <v>13</v>
      </c>
      <c r="B138" s="283">
        <v>392</v>
      </c>
      <c r="C138" s="437">
        <v>45297</v>
      </c>
    </row>
    <row r="139" spans="1:3" x14ac:dyDescent="0.3">
      <c r="A139" t="s">
        <v>14</v>
      </c>
      <c r="B139" s="308">
        <v>270.10000000000002</v>
      </c>
      <c r="C139" s="437">
        <v>45297</v>
      </c>
    </row>
    <row r="140" spans="1:3" x14ac:dyDescent="0.3">
      <c r="A140" t="s">
        <v>17</v>
      </c>
      <c r="B140" s="283">
        <v>430.9</v>
      </c>
      <c r="C140" s="437">
        <v>45297</v>
      </c>
    </row>
    <row r="141" spans="1:3" x14ac:dyDescent="0.3">
      <c r="A141" t="s">
        <v>18</v>
      </c>
      <c r="B141" s="283">
        <v>518.4</v>
      </c>
      <c r="C141" s="437">
        <v>45297</v>
      </c>
    </row>
    <row r="142" spans="1:3" x14ac:dyDescent="0.3">
      <c r="A142" t="s">
        <v>110</v>
      </c>
      <c r="B142" s="283">
        <v>148.6</v>
      </c>
      <c r="C142" s="437">
        <v>45297</v>
      </c>
    </row>
    <row r="143" spans="1:3" x14ac:dyDescent="0.3">
      <c r="A143" t="s">
        <v>20</v>
      </c>
      <c r="B143" s="63">
        <v>464.3</v>
      </c>
      <c r="C143" s="437">
        <v>45297</v>
      </c>
    </row>
    <row r="144" spans="1:3" x14ac:dyDescent="0.3">
      <c r="A144" t="s">
        <v>22</v>
      </c>
      <c r="B144" s="82">
        <v>534</v>
      </c>
      <c r="C144" s="437">
        <v>45297</v>
      </c>
    </row>
    <row r="145" spans="1:3" x14ac:dyDescent="0.3">
      <c r="A145" t="s">
        <v>23</v>
      </c>
      <c r="B145" s="63">
        <v>554.6</v>
      </c>
      <c r="C145" s="437">
        <v>45297</v>
      </c>
    </row>
    <row r="146" spans="1:3" x14ac:dyDescent="0.3">
      <c r="A146" t="s">
        <v>24</v>
      </c>
      <c r="B146" s="63">
        <v>463.1</v>
      </c>
      <c r="C146" s="437">
        <v>45297</v>
      </c>
    </row>
    <row r="147" spans="1:3" x14ac:dyDescent="0.3">
      <c r="A147" t="s">
        <v>25</v>
      </c>
      <c r="B147" s="63">
        <v>582.70000000000005</v>
      </c>
      <c r="C147" s="437">
        <v>45297</v>
      </c>
    </row>
    <row r="148" spans="1:3" x14ac:dyDescent="0.3">
      <c r="A148" t="s">
        <v>26</v>
      </c>
      <c r="B148" s="63">
        <v>464.6</v>
      </c>
      <c r="C148" s="437">
        <v>45297</v>
      </c>
    </row>
    <row r="149" spans="1:3" x14ac:dyDescent="0.3">
      <c r="A149" t="s">
        <v>28</v>
      </c>
      <c r="B149" s="63">
        <v>620.79999999999995</v>
      </c>
      <c r="C149" s="437">
        <v>45297</v>
      </c>
    </row>
    <row r="150" spans="1:3" x14ac:dyDescent="0.3">
      <c r="A150" t="s">
        <v>29</v>
      </c>
      <c r="B150" s="63">
        <v>535.5</v>
      </c>
      <c r="C150" s="437">
        <v>45297</v>
      </c>
    </row>
    <row r="151" spans="1:3" x14ac:dyDescent="0.3">
      <c r="A151" t="s">
        <v>30</v>
      </c>
      <c r="B151" s="63">
        <v>2000</v>
      </c>
      <c r="C151" s="437">
        <v>45297</v>
      </c>
    </row>
    <row r="152" spans="1:3" x14ac:dyDescent="0.3">
      <c r="A152" t="s">
        <v>111</v>
      </c>
      <c r="B152" s="63">
        <v>421.3</v>
      </c>
      <c r="C152" s="437">
        <v>45297</v>
      </c>
    </row>
    <row r="153" spans="1:3" x14ac:dyDescent="0.3">
      <c r="A153" t="s">
        <v>32</v>
      </c>
      <c r="B153" s="283">
        <v>450.3</v>
      </c>
      <c r="C153" s="437">
        <v>45297</v>
      </c>
    </row>
    <row r="154" spans="1:3" x14ac:dyDescent="0.3">
      <c r="A154" t="s">
        <v>288</v>
      </c>
      <c r="B154" s="283">
        <v>541</v>
      </c>
      <c r="C154" s="437">
        <v>45297</v>
      </c>
    </row>
    <row r="155" spans="1:3" x14ac:dyDescent="0.3">
      <c r="A155" t="s">
        <v>112</v>
      </c>
      <c r="B155" s="283">
        <v>492.5</v>
      </c>
      <c r="C155" s="437">
        <v>45297</v>
      </c>
    </row>
    <row r="156" spans="1:3" x14ac:dyDescent="0.3">
      <c r="A156" t="s">
        <v>289</v>
      </c>
      <c r="B156" s="82">
        <v>535.1</v>
      </c>
      <c r="C156" s="437">
        <v>45297</v>
      </c>
    </row>
    <row r="157" spans="1:3" x14ac:dyDescent="0.3">
      <c r="A157" t="s">
        <v>291</v>
      </c>
      <c r="B157" s="82">
        <v>450</v>
      </c>
      <c r="C157" s="437">
        <v>45297</v>
      </c>
    </row>
    <row r="158" spans="1:3" x14ac:dyDescent="0.3">
      <c r="A158" t="s">
        <v>7</v>
      </c>
      <c r="B158" s="103">
        <v>47.6</v>
      </c>
      <c r="C158" s="437">
        <v>45298</v>
      </c>
    </row>
    <row r="159" spans="1:3" x14ac:dyDescent="0.3">
      <c r="A159" t="s">
        <v>8</v>
      </c>
      <c r="B159" s="63">
        <f>48.2+211.1</f>
        <v>259.3</v>
      </c>
      <c r="C159" s="437">
        <v>45298</v>
      </c>
    </row>
    <row r="160" spans="1:3" x14ac:dyDescent="0.3">
      <c r="A160" t="s">
        <v>9</v>
      </c>
      <c r="B160" s="63">
        <v>201.8</v>
      </c>
      <c r="C160" s="437">
        <v>45298</v>
      </c>
    </row>
    <row r="161" spans="1:3" x14ac:dyDescent="0.3">
      <c r="A161" t="s">
        <v>10</v>
      </c>
      <c r="B161" s="63">
        <v>132</v>
      </c>
      <c r="C161" s="437">
        <v>45298</v>
      </c>
    </row>
    <row r="162" spans="1:3" x14ac:dyDescent="0.3">
      <c r="A162" t="s">
        <v>11</v>
      </c>
      <c r="B162" s="63">
        <v>43.4</v>
      </c>
      <c r="C162" s="437">
        <v>45298</v>
      </c>
    </row>
    <row r="163" spans="1:3" x14ac:dyDescent="0.3">
      <c r="A163" t="s">
        <v>12</v>
      </c>
      <c r="B163" s="63">
        <v>82</v>
      </c>
      <c r="C163" s="437">
        <v>45298</v>
      </c>
    </row>
    <row r="164" spans="1:3" x14ac:dyDescent="0.3">
      <c r="A164" t="s">
        <v>13</v>
      </c>
      <c r="B164" s="283">
        <v>335</v>
      </c>
      <c r="C164" s="437">
        <v>45298</v>
      </c>
    </row>
    <row r="165" spans="1:3" x14ac:dyDescent="0.3">
      <c r="A165" t="s">
        <v>14</v>
      </c>
      <c r="B165" s="82">
        <v>248.8</v>
      </c>
      <c r="C165" s="437">
        <v>45298</v>
      </c>
    </row>
    <row r="166" spans="1:3" x14ac:dyDescent="0.3">
      <c r="A166" t="s">
        <v>17</v>
      </c>
      <c r="B166" s="63">
        <v>378.9</v>
      </c>
      <c r="C166" s="437">
        <v>45298</v>
      </c>
    </row>
    <row r="167" spans="1:3" x14ac:dyDescent="0.3">
      <c r="A167" t="s">
        <v>18</v>
      </c>
      <c r="B167" s="283">
        <v>449.9</v>
      </c>
      <c r="C167" s="437">
        <v>45298</v>
      </c>
    </row>
    <row r="168" spans="1:3" x14ac:dyDescent="0.3">
      <c r="A168" t="s">
        <v>110</v>
      </c>
      <c r="B168" s="283">
        <v>126.8</v>
      </c>
      <c r="C168" s="437">
        <v>45298</v>
      </c>
    </row>
    <row r="169" spans="1:3" x14ac:dyDescent="0.3">
      <c r="A169" t="s">
        <v>20</v>
      </c>
      <c r="B169" s="63">
        <v>475.3</v>
      </c>
      <c r="C169" s="437">
        <v>45298</v>
      </c>
    </row>
    <row r="170" spans="1:3" x14ac:dyDescent="0.3">
      <c r="A170" t="s">
        <v>22</v>
      </c>
      <c r="B170" s="82">
        <v>465.8</v>
      </c>
      <c r="C170" s="437">
        <v>45298</v>
      </c>
    </row>
    <row r="171" spans="1:3" x14ac:dyDescent="0.3">
      <c r="A171" t="s">
        <v>23</v>
      </c>
      <c r="B171" s="63">
        <v>506.7</v>
      </c>
      <c r="C171" s="437">
        <v>45298</v>
      </c>
    </row>
    <row r="172" spans="1:3" x14ac:dyDescent="0.3">
      <c r="A172" t="s">
        <v>24</v>
      </c>
      <c r="B172" s="283">
        <v>383.9</v>
      </c>
      <c r="C172" s="437">
        <v>45298</v>
      </c>
    </row>
    <row r="173" spans="1:3" x14ac:dyDescent="0.3">
      <c r="A173" t="s">
        <v>25</v>
      </c>
      <c r="B173" s="283">
        <v>480.4</v>
      </c>
      <c r="C173" s="437">
        <v>45298</v>
      </c>
    </row>
    <row r="174" spans="1:3" x14ac:dyDescent="0.3">
      <c r="A174" t="s">
        <v>26</v>
      </c>
      <c r="B174" s="283">
        <v>363</v>
      </c>
      <c r="C174" s="437">
        <v>45298</v>
      </c>
    </row>
    <row r="175" spans="1:3" x14ac:dyDescent="0.3">
      <c r="A175" t="s">
        <v>28</v>
      </c>
      <c r="B175" s="63">
        <v>554</v>
      </c>
      <c r="C175" s="437">
        <v>45298</v>
      </c>
    </row>
    <row r="176" spans="1:3" x14ac:dyDescent="0.3">
      <c r="A176" t="s">
        <v>29</v>
      </c>
      <c r="B176" s="63">
        <v>465</v>
      </c>
      <c r="C176" s="437">
        <v>45298</v>
      </c>
    </row>
    <row r="177" spans="1:3" x14ac:dyDescent="0.3">
      <c r="A177" t="s">
        <v>30</v>
      </c>
      <c r="B177" s="63">
        <v>1730</v>
      </c>
      <c r="C177" s="437">
        <v>45298</v>
      </c>
    </row>
    <row r="178" spans="1:3" x14ac:dyDescent="0.3">
      <c r="A178" t="s">
        <v>111</v>
      </c>
      <c r="B178" s="63">
        <v>591.1</v>
      </c>
      <c r="C178" s="437">
        <v>45298</v>
      </c>
    </row>
    <row r="179" spans="1:3" x14ac:dyDescent="0.3">
      <c r="A179" t="s">
        <v>32</v>
      </c>
      <c r="B179" s="63">
        <v>509.9</v>
      </c>
      <c r="C179" s="437">
        <v>45298</v>
      </c>
    </row>
    <row r="180" spans="1:3" x14ac:dyDescent="0.3">
      <c r="A180" t="s">
        <v>288</v>
      </c>
      <c r="B180" s="63">
        <v>498</v>
      </c>
      <c r="C180" s="437">
        <v>45298</v>
      </c>
    </row>
    <row r="181" spans="1:3" x14ac:dyDescent="0.3">
      <c r="A181" t="s">
        <v>112</v>
      </c>
      <c r="B181" s="63">
        <v>461.1</v>
      </c>
      <c r="C181" s="437">
        <v>45298</v>
      </c>
    </row>
    <row r="182" spans="1:3" x14ac:dyDescent="0.3">
      <c r="A182" t="s">
        <v>289</v>
      </c>
      <c r="B182" s="82">
        <v>482.2</v>
      </c>
      <c r="C182" s="437">
        <v>45298</v>
      </c>
    </row>
    <row r="183" spans="1:3" x14ac:dyDescent="0.3">
      <c r="A183" t="s">
        <v>291</v>
      </c>
      <c r="B183" s="308">
        <v>302</v>
      </c>
      <c r="C183" s="437">
        <v>45298</v>
      </c>
    </row>
    <row r="184" spans="1:3" x14ac:dyDescent="0.3">
      <c r="A184" t="s">
        <v>7</v>
      </c>
      <c r="B184">
        <v>56.3</v>
      </c>
      <c r="C184" s="437">
        <v>45299</v>
      </c>
    </row>
    <row r="185" spans="1:3" x14ac:dyDescent="0.3">
      <c r="A185" t="s">
        <v>8</v>
      </c>
      <c r="B185">
        <v>262.40000000000003</v>
      </c>
      <c r="C185" s="437">
        <v>45299</v>
      </c>
    </row>
    <row r="186" spans="1:3" x14ac:dyDescent="0.3">
      <c r="A186" t="s">
        <v>9</v>
      </c>
      <c r="B186">
        <v>225.4</v>
      </c>
      <c r="C186" s="437">
        <v>45299</v>
      </c>
    </row>
    <row r="187" spans="1:3" x14ac:dyDescent="0.3">
      <c r="A187" t="s">
        <v>10</v>
      </c>
      <c r="B187">
        <v>146.4</v>
      </c>
      <c r="C187" s="437">
        <v>45299</v>
      </c>
    </row>
    <row r="188" spans="1:3" x14ac:dyDescent="0.3">
      <c r="A188" t="s">
        <v>11</v>
      </c>
      <c r="B188">
        <v>50.1</v>
      </c>
      <c r="C188" s="437">
        <v>45299</v>
      </c>
    </row>
    <row r="189" spans="1:3" x14ac:dyDescent="0.3">
      <c r="A189" t="s">
        <v>12</v>
      </c>
      <c r="B189">
        <v>97.1</v>
      </c>
      <c r="C189" s="437">
        <v>45299</v>
      </c>
    </row>
    <row r="190" spans="1:3" x14ac:dyDescent="0.3">
      <c r="A190" t="s">
        <v>13</v>
      </c>
      <c r="B190">
        <v>361.8</v>
      </c>
      <c r="C190" s="437">
        <v>45299</v>
      </c>
    </row>
    <row r="191" spans="1:3" x14ac:dyDescent="0.3">
      <c r="A191" t="s">
        <v>14</v>
      </c>
      <c r="B191">
        <v>310.8</v>
      </c>
      <c r="C191" s="437">
        <v>45299</v>
      </c>
    </row>
    <row r="192" spans="1:3" x14ac:dyDescent="0.3">
      <c r="A192" t="s">
        <v>17</v>
      </c>
      <c r="B192">
        <v>462.5</v>
      </c>
      <c r="C192" s="437">
        <v>45299</v>
      </c>
    </row>
    <row r="193" spans="1:3" x14ac:dyDescent="0.3">
      <c r="A193" t="s">
        <v>18</v>
      </c>
      <c r="B193">
        <v>494.6</v>
      </c>
      <c r="C193" s="437">
        <v>45299</v>
      </c>
    </row>
    <row r="194" spans="1:3" x14ac:dyDescent="0.3">
      <c r="A194" t="s">
        <v>110</v>
      </c>
      <c r="B194">
        <v>142.6</v>
      </c>
      <c r="C194" s="437">
        <v>45299</v>
      </c>
    </row>
    <row r="195" spans="1:3" x14ac:dyDescent="0.3">
      <c r="A195" t="s">
        <v>20</v>
      </c>
      <c r="B195">
        <v>449.9</v>
      </c>
      <c r="C195" s="437">
        <v>45299</v>
      </c>
    </row>
    <row r="196" spans="1:3" x14ac:dyDescent="0.3">
      <c r="A196" t="s">
        <v>22</v>
      </c>
      <c r="B196">
        <v>538.9</v>
      </c>
      <c r="C196" s="437">
        <v>45299</v>
      </c>
    </row>
    <row r="197" spans="1:3" x14ac:dyDescent="0.3">
      <c r="A197" t="s">
        <v>23</v>
      </c>
      <c r="B197">
        <v>567.70000000000005</v>
      </c>
      <c r="C197" s="437">
        <v>45299</v>
      </c>
    </row>
    <row r="198" spans="1:3" x14ac:dyDescent="0.3">
      <c r="A198" t="s">
        <v>24</v>
      </c>
      <c r="B198">
        <v>437.4</v>
      </c>
      <c r="C198" s="437">
        <v>45299</v>
      </c>
    </row>
    <row r="199" spans="1:3" x14ac:dyDescent="0.3">
      <c r="A199" t="s">
        <v>25</v>
      </c>
      <c r="B199">
        <v>528.1</v>
      </c>
      <c r="C199" s="437">
        <v>45299</v>
      </c>
    </row>
    <row r="200" spans="1:3" x14ac:dyDescent="0.3">
      <c r="A200" t="s">
        <v>26</v>
      </c>
      <c r="B200">
        <v>419.4</v>
      </c>
      <c r="C200" s="437">
        <v>45299</v>
      </c>
    </row>
    <row r="201" spans="1:3" x14ac:dyDescent="0.3">
      <c r="A201" t="s">
        <v>28</v>
      </c>
      <c r="B201">
        <v>569.6</v>
      </c>
      <c r="C201" s="437">
        <v>45299</v>
      </c>
    </row>
    <row r="202" spans="1:3" x14ac:dyDescent="0.3">
      <c r="A202" t="s">
        <v>29</v>
      </c>
      <c r="B202">
        <v>506.6</v>
      </c>
      <c r="C202" s="437">
        <v>45299</v>
      </c>
    </row>
    <row r="203" spans="1:3" x14ac:dyDescent="0.3">
      <c r="A203" t="s">
        <v>30</v>
      </c>
      <c r="B203">
        <v>1807.1</v>
      </c>
      <c r="C203" s="437">
        <v>45299</v>
      </c>
    </row>
    <row r="204" spans="1:3" x14ac:dyDescent="0.3">
      <c r="A204" t="s">
        <v>111</v>
      </c>
      <c r="B204">
        <v>575.79999999999995</v>
      </c>
      <c r="C204" s="437">
        <v>45299</v>
      </c>
    </row>
    <row r="205" spans="1:3" x14ac:dyDescent="0.3">
      <c r="A205" t="s">
        <v>32</v>
      </c>
      <c r="B205">
        <v>523.29999999999995</v>
      </c>
      <c r="C205" s="437">
        <v>45299</v>
      </c>
    </row>
    <row r="206" spans="1:3" x14ac:dyDescent="0.3">
      <c r="A206" t="s">
        <v>288</v>
      </c>
      <c r="B206">
        <v>479.4</v>
      </c>
      <c r="C206" s="437">
        <v>45299</v>
      </c>
    </row>
    <row r="207" spans="1:3" x14ac:dyDescent="0.3">
      <c r="A207" t="s">
        <v>112</v>
      </c>
      <c r="B207">
        <v>494.4</v>
      </c>
      <c r="C207" s="437">
        <v>45299</v>
      </c>
    </row>
    <row r="208" spans="1:3" x14ac:dyDescent="0.3">
      <c r="A208" t="s">
        <v>289</v>
      </c>
      <c r="B208">
        <v>503.8</v>
      </c>
      <c r="C208" s="437">
        <v>45299</v>
      </c>
    </row>
    <row r="209" spans="1:3" x14ac:dyDescent="0.3">
      <c r="A209" t="s">
        <v>291</v>
      </c>
      <c r="B209">
        <v>453.9</v>
      </c>
      <c r="C209" s="437">
        <v>45299</v>
      </c>
    </row>
    <row r="210" spans="1:3" x14ac:dyDescent="0.3">
      <c r="A210" t="s">
        <v>7</v>
      </c>
      <c r="B210" s="103">
        <v>52.5</v>
      </c>
      <c r="C210" s="437">
        <v>45300</v>
      </c>
    </row>
    <row r="211" spans="1:3" x14ac:dyDescent="0.3">
      <c r="A211" t="s">
        <v>8</v>
      </c>
      <c r="B211" s="63">
        <v>0</v>
      </c>
      <c r="C211" s="437">
        <v>45300</v>
      </c>
    </row>
    <row r="212" spans="1:3" x14ac:dyDescent="0.3">
      <c r="A212" t="s">
        <v>9</v>
      </c>
      <c r="B212" s="283">
        <v>221.1</v>
      </c>
      <c r="C212" s="437">
        <v>45300</v>
      </c>
    </row>
    <row r="213" spans="1:3" x14ac:dyDescent="0.3">
      <c r="A213" t="s">
        <v>10</v>
      </c>
      <c r="B213" s="283">
        <v>150.19999999999999</v>
      </c>
      <c r="C213" s="437">
        <v>45300</v>
      </c>
    </row>
    <row r="214" spans="1:3" x14ac:dyDescent="0.3">
      <c r="A214" t="s">
        <v>11</v>
      </c>
      <c r="B214" s="63">
        <v>47.2</v>
      </c>
      <c r="C214" s="437">
        <v>45300</v>
      </c>
    </row>
    <row r="215" spans="1:3" x14ac:dyDescent="0.3">
      <c r="A215" t="s">
        <v>12</v>
      </c>
      <c r="B215" s="63">
        <v>91.3</v>
      </c>
      <c r="C215" s="437">
        <v>45300</v>
      </c>
    </row>
    <row r="216" spans="1:3" x14ac:dyDescent="0.3">
      <c r="A216" t="s">
        <v>13</v>
      </c>
      <c r="B216" s="63">
        <v>419.9</v>
      </c>
      <c r="C216" s="437">
        <v>45300</v>
      </c>
    </row>
    <row r="217" spans="1:3" x14ac:dyDescent="0.3">
      <c r="A217" t="s">
        <v>14</v>
      </c>
      <c r="B217" s="82">
        <v>275.8</v>
      </c>
      <c r="C217" s="437">
        <v>45300</v>
      </c>
    </row>
    <row r="218" spans="1:3" x14ac:dyDescent="0.3">
      <c r="A218" t="s">
        <v>17</v>
      </c>
      <c r="B218" s="63">
        <v>434.8</v>
      </c>
      <c r="C218" s="437">
        <v>45300</v>
      </c>
    </row>
    <row r="219" spans="1:3" x14ac:dyDescent="0.3">
      <c r="A219" t="s">
        <v>18</v>
      </c>
      <c r="B219" s="63">
        <v>556.5</v>
      </c>
      <c r="C219" s="437">
        <v>45300</v>
      </c>
    </row>
    <row r="220" spans="1:3" x14ac:dyDescent="0.3">
      <c r="A220" t="s">
        <v>110</v>
      </c>
      <c r="B220" s="63">
        <v>153.30000000000001</v>
      </c>
      <c r="C220" s="437">
        <v>45300</v>
      </c>
    </row>
    <row r="221" spans="1:3" x14ac:dyDescent="0.3">
      <c r="A221" t="s">
        <v>20</v>
      </c>
      <c r="B221" s="63">
        <v>482.8</v>
      </c>
      <c r="C221" s="437">
        <v>45300</v>
      </c>
    </row>
    <row r="222" spans="1:3" x14ac:dyDescent="0.3">
      <c r="A222" t="s">
        <v>22</v>
      </c>
      <c r="B222" s="63">
        <v>444.4</v>
      </c>
      <c r="C222" s="437">
        <v>45300</v>
      </c>
    </row>
    <row r="223" spans="1:3" x14ac:dyDescent="0.3">
      <c r="A223" t="s">
        <v>23</v>
      </c>
      <c r="B223" s="63">
        <v>474.7</v>
      </c>
      <c r="C223" s="437">
        <v>45300</v>
      </c>
    </row>
    <row r="224" spans="1:3" x14ac:dyDescent="0.3">
      <c r="A224" t="s">
        <v>24</v>
      </c>
      <c r="B224" s="63">
        <v>371.7</v>
      </c>
      <c r="C224" s="437">
        <v>45300</v>
      </c>
    </row>
    <row r="225" spans="1:3" x14ac:dyDescent="0.3">
      <c r="A225" t="s">
        <v>25</v>
      </c>
      <c r="B225" s="63">
        <v>466.8</v>
      </c>
      <c r="C225" s="437">
        <v>45300</v>
      </c>
    </row>
    <row r="226" spans="1:3" x14ac:dyDescent="0.3">
      <c r="A226" t="s">
        <v>26</v>
      </c>
      <c r="B226" s="283">
        <v>358.6</v>
      </c>
      <c r="C226" s="437">
        <v>45300</v>
      </c>
    </row>
    <row r="227" spans="1:3" x14ac:dyDescent="0.3">
      <c r="A227" t="s">
        <v>28</v>
      </c>
      <c r="B227" s="63">
        <v>599</v>
      </c>
      <c r="C227" s="437">
        <v>45300</v>
      </c>
    </row>
    <row r="228" spans="1:3" x14ac:dyDescent="0.3">
      <c r="A228" t="s">
        <v>29</v>
      </c>
      <c r="B228" s="63">
        <v>528.29999999999995</v>
      </c>
      <c r="C228" s="437">
        <v>45300</v>
      </c>
    </row>
    <row r="229" spans="1:3" x14ac:dyDescent="0.3">
      <c r="A229" t="s">
        <v>30</v>
      </c>
      <c r="B229" s="63">
        <v>1945</v>
      </c>
      <c r="C229" s="437">
        <v>45300</v>
      </c>
    </row>
    <row r="230" spans="1:3" x14ac:dyDescent="0.3">
      <c r="A230" t="s">
        <v>111</v>
      </c>
      <c r="B230" s="63">
        <v>555.70000000000005</v>
      </c>
      <c r="C230" s="437">
        <v>45300</v>
      </c>
    </row>
    <row r="231" spans="1:3" x14ac:dyDescent="0.3">
      <c r="A231" t="s">
        <v>32</v>
      </c>
      <c r="B231" s="63">
        <v>508.8</v>
      </c>
      <c r="C231" s="437">
        <v>45300</v>
      </c>
    </row>
    <row r="232" spans="1:3" x14ac:dyDescent="0.3">
      <c r="A232" t="s">
        <v>288</v>
      </c>
      <c r="B232" s="63">
        <v>518.9</v>
      </c>
      <c r="C232" s="437">
        <v>45300</v>
      </c>
    </row>
    <row r="233" spans="1:3" x14ac:dyDescent="0.3">
      <c r="A233" t="s">
        <v>112</v>
      </c>
      <c r="B233" s="63">
        <v>500.4</v>
      </c>
      <c r="C233" s="437">
        <v>45300</v>
      </c>
    </row>
    <row r="234" spans="1:3" x14ac:dyDescent="0.3">
      <c r="A234" t="s">
        <v>289</v>
      </c>
      <c r="B234" s="63">
        <v>515.4</v>
      </c>
      <c r="C234" s="437">
        <v>45300</v>
      </c>
    </row>
    <row r="235" spans="1:3" x14ac:dyDescent="0.3">
      <c r="A235" t="s">
        <v>291</v>
      </c>
      <c r="B235" s="283">
        <v>427.5</v>
      </c>
      <c r="C235" s="437">
        <v>45300</v>
      </c>
    </row>
    <row r="236" spans="1:3" x14ac:dyDescent="0.3">
      <c r="A236" t="s">
        <v>7</v>
      </c>
      <c r="B236" s="103">
        <v>55.8</v>
      </c>
      <c r="C236" s="437">
        <v>45301</v>
      </c>
    </row>
    <row r="237" spans="1:3" x14ac:dyDescent="0.3">
      <c r="A237" t="s">
        <v>8</v>
      </c>
      <c r="B237" s="63">
        <v>24.2</v>
      </c>
      <c r="C237" s="437">
        <v>45301</v>
      </c>
    </row>
    <row r="238" spans="1:3" x14ac:dyDescent="0.3">
      <c r="A238" t="s">
        <v>9</v>
      </c>
      <c r="B238" s="283">
        <v>229.6</v>
      </c>
      <c r="C238" s="437">
        <v>45301</v>
      </c>
    </row>
    <row r="239" spans="1:3" x14ac:dyDescent="0.3">
      <c r="A239" t="s">
        <v>10</v>
      </c>
      <c r="B239" s="283">
        <v>154.80000000000001</v>
      </c>
      <c r="C239" s="437">
        <v>45301</v>
      </c>
    </row>
    <row r="240" spans="1:3" x14ac:dyDescent="0.3">
      <c r="A240" t="s">
        <v>11</v>
      </c>
      <c r="B240" s="63">
        <v>50.5</v>
      </c>
      <c r="C240" s="437">
        <v>45301</v>
      </c>
    </row>
    <row r="241" spans="1:3" x14ac:dyDescent="0.3">
      <c r="A241" t="s">
        <v>12</v>
      </c>
      <c r="B241" s="63">
        <v>98.5</v>
      </c>
      <c r="C241" s="437">
        <v>45301</v>
      </c>
    </row>
    <row r="242" spans="1:3" x14ac:dyDescent="0.3">
      <c r="A242" t="s">
        <v>13</v>
      </c>
      <c r="B242" s="63">
        <v>356.9</v>
      </c>
      <c r="C242" s="437">
        <v>45301</v>
      </c>
    </row>
    <row r="243" spans="1:3" x14ac:dyDescent="0.3">
      <c r="A243" t="s">
        <v>14</v>
      </c>
      <c r="B243" s="82">
        <v>317.39999999999998</v>
      </c>
      <c r="C243" s="437">
        <v>45301</v>
      </c>
    </row>
    <row r="244" spans="1:3" x14ac:dyDescent="0.3">
      <c r="A244" t="s">
        <v>17</v>
      </c>
      <c r="B244" s="63">
        <v>525.20000000000005</v>
      </c>
      <c r="C244" s="437">
        <v>45301</v>
      </c>
    </row>
    <row r="245" spans="1:3" x14ac:dyDescent="0.3">
      <c r="A245" t="s">
        <v>18</v>
      </c>
      <c r="B245" s="63">
        <v>491.2</v>
      </c>
      <c r="C245" s="437">
        <v>45301</v>
      </c>
    </row>
    <row r="246" spans="1:3" x14ac:dyDescent="0.3">
      <c r="A246" t="s">
        <v>110</v>
      </c>
      <c r="B246" s="63">
        <v>131.69999999999999</v>
      </c>
      <c r="C246" s="437">
        <v>45301</v>
      </c>
    </row>
    <row r="247" spans="1:3" x14ac:dyDescent="0.3">
      <c r="A247" t="s">
        <v>20</v>
      </c>
      <c r="B247" s="63">
        <v>515.1</v>
      </c>
      <c r="C247" s="437">
        <v>45301</v>
      </c>
    </row>
    <row r="248" spans="1:3" x14ac:dyDescent="0.3">
      <c r="A248" t="s">
        <v>22</v>
      </c>
      <c r="B248" s="63">
        <v>518.20000000000005</v>
      </c>
      <c r="C248" s="437">
        <v>45301</v>
      </c>
    </row>
    <row r="249" spans="1:3" x14ac:dyDescent="0.3">
      <c r="A249" t="s">
        <v>23</v>
      </c>
      <c r="B249" s="316">
        <v>534.6</v>
      </c>
      <c r="C249" s="437">
        <v>45301</v>
      </c>
    </row>
    <row r="250" spans="1:3" x14ac:dyDescent="0.3">
      <c r="A250" t="s">
        <v>24</v>
      </c>
      <c r="B250" s="63">
        <v>375.6</v>
      </c>
      <c r="C250" s="437">
        <v>45301</v>
      </c>
    </row>
    <row r="251" spans="1:3" x14ac:dyDescent="0.3">
      <c r="A251" t="s">
        <v>25</v>
      </c>
      <c r="B251" s="63">
        <v>325.3</v>
      </c>
      <c r="C251" s="437">
        <v>45301</v>
      </c>
    </row>
    <row r="252" spans="1:3" x14ac:dyDescent="0.3">
      <c r="A252" t="s">
        <v>26</v>
      </c>
      <c r="B252" s="63">
        <v>244.7</v>
      </c>
      <c r="C252" s="437">
        <v>45301</v>
      </c>
    </row>
    <row r="253" spans="1:3" x14ac:dyDescent="0.3">
      <c r="A253" t="s">
        <v>28</v>
      </c>
      <c r="B253" s="63">
        <v>569.79999999999995</v>
      </c>
      <c r="C253" s="437">
        <v>45301</v>
      </c>
    </row>
    <row r="254" spans="1:3" x14ac:dyDescent="0.3">
      <c r="A254" t="s">
        <v>29</v>
      </c>
      <c r="B254" s="63">
        <v>481.9</v>
      </c>
      <c r="C254" s="437">
        <v>45301</v>
      </c>
    </row>
    <row r="255" spans="1:3" x14ac:dyDescent="0.3">
      <c r="A255" t="s">
        <v>30</v>
      </c>
      <c r="B255" s="63">
        <v>1750</v>
      </c>
      <c r="C255" s="437">
        <v>45301</v>
      </c>
    </row>
    <row r="256" spans="1:3" x14ac:dyDescent="0.3">
      <c r="A256" t="s">
        <v>111</v>
      </c>
      <c r="B256" s="63">
        <v>610.4</v>
      </c>
      <c r="C256" s="437">
        <v>45301</v>
      </c>
    </row>
    <row r="257" spans="1:3" x14ac:dyDescent="0.3">
      <c r="A257" t="s">
        <v>32</v>
      </c>
      <c r="B257" s="63">
        <v>533.70000000000005</v>
      </c>
      <c r="C257" s="437">
        <v>45301</v>
      </c>
    </row>
    <row r="258" spans="1:3" x14ac:dyDescent="0.3">
      <c r="A258" t="s">
        <v>288</v>
      </c>
      <c r="B258" s="63">
        <v>488.1</v>
      </c>
      <c r="C258" s="437">
        <v>45301</v>
      </c>
    </row>
    <row r="259" spans="1:3" x14ac:dyDescent="0.3">
      <c r="A259" t="s">
        <v>112</v>
      </c>
      <c r="B259" s="63">
        <v>490</v>
      </c>
      <c r="C259" s="437">
        <v>45301</v>
      </c>
    </row>
    <row r="260" spans="1:3" x14ac:dyDescent="0.3">
      <c r="A260" t="s">
        <v>289</v>
      </c>
      <c r="B260" s="63">
        <v>497.9</v>
      </c>
      <c r="C260" s="437">
        <v>45301</v>
      </c>
    </row>
    <row r="261" spans="1:3" x14ac:dyDescent="0.3">
      <c r="A261" t="s">
        <v>291</v>
      </c>
      <c r="B261" s="283">
        <v>410</v>
      </c>
      <c r="C261" s="437">
        <v>45301</v>
      </c>
    </row>
    <row r="262" spans="1:3" x14ac:dyDescent="0.3">
      <c r="A262" t="s">
        <v>7</v>
      </c>
      <c r="B262" s="283">
        <v>49.8</v>
      </c>
      <c r="C262" s="437">
        <v>45302</v>
      </c>
    </row>
    <row r="263" spans="1:3" x14ac:dyDescent="0.3">
      <c r="A263" t="s">
        <v>8</v>
      </c>
      <c r="B263" s="283">
        <v>57.9</v>
      </c>
      <c r="C263" s="437">
        <v>45302</v>
      </c>
    </row>
    <row r="264" spans="1:3" x14ac:dyDescent="0.3">
      <c r="A264" t="s">
        <v>9</v>
      </c>
      <c r="B264" s="283">
        <v>183.2</v>
      </c>
      <c r="C264" s="437">
        <v>45302</v>
      </c>
    </row>
    <row r="265" spans="1:3" x14ac:dyDescent="0.3">
      <c r="A265" t="s">
        <v>10</v>
      </c>
      <c r="B265" s="283">
        <v>120.1</v>
      </c>
      <c r="C265" s="437">
        <v>45302</v>
      </c>
    </row>
    <row r="266" spans="1:3" x14ac:dyDescent="0.3">
      <c r="A266" t="s">
        <v>11</v>
      </c>
      <c r="B266" s="63">
        <v>47.3</v>
      </c>
      <c r="C266" s="437">
        <v>45302</v>
      </c>
    </row>
    <row r="267" spans="1:3" x14ac:dyDescent="0.3">
      <c r="A267" t="s">
        <v>12</v>
      </c>
      <c r="B267" s="63">
        <v>92.2</v>
      </c>
      <c r="C267" s="437">
        <v>45302</v>
      </c>
    </row>
    <row r="268" spans="1:3" x14ac:dyDescent="0.3">
      <c r="A268" t="s">
        <v>13</v>
      </c>
      <c r="B268" s="63">
        <v>278.39999999999998</v>
      </c>
      <c r="C268" s="437">
        <v>45302</v>
      </c>
    </row>
    <row r="269" spans="1:3" x14ac:dyDescent="0.3">
      <c r="A269" t="s">
        <v>14</v>
      </c>
      <c r="B269" s="82">
        <v>267.10000000000002</v>
      </c>
      <c r="C269" s="437">
        <v>45302</v>
      </c>
    </row>
    <row r="270" spans="1:3" x14ac:dyDescent="0.3">
      <c r="A270" t="s">
        <v>17</v>
      </c>
      <c r="B270" s="63">
        <v>446.2</v>
      </c>
      <c r="C270" s="437">
        <v>45302</v>
      </c>
    </row>
    <row r="271" spans="1:3" x14ac:dyDescent="0.3">
      <c r="A271" t="s">
        <v>18</v>
      </c>
      <c r="B271" s="63">
        <v>391.8</v>
      </c>
      <c r="C271" s="437">
        <v>45302</v>
      </c>
    </row>
    <row r="272" spans="1:3" x14ac:dyDescent="0.3">
      <c r="A272" t="s">
        <v>110</v>
      </c>
      <c r="B272" s="63">
        <v>112</v>
      </c>
      <c r="C272" s="437">
        <v>45302</v>
      </c>
    </row>
    <row r="273" spans="1:3" x14ac:dyDescent="0.3">
      <c r="A273" t="s">
        <v>20</v>
      </c>
      <c r="B273" s="63">
        <v>323.3</v>
      </c>
      <c r="C273" s="437">
        <v>45302</v>
      </c>
    </row>
    <row r="274" spans="1:3" x14ac:dyDescent="0.3">
      <c r="A274" t="s">
        <v>22</v>
      </c>
      <c r="B274" s="63">
        <v>434.9</v>
      </c>
      <c r="C274" s="437">
        <v>45302</v>
      </c>
    </row>
    <row r="275" spans="1:3" x14ac:dyDescent="0.3">
      <c r="A275" t="s">
        <v>23</v>
      </c>
      <c r="B275" s="63">
        <v>443.5</v>
      </c>
      <c r="C275" s="437">
        <v>45302</v>
      </c>
    </row>
    <row r="276" spans="1:3" x14ac:dyDescent="0.3">
      <c r="A276" t="s">
        <v>24</v>
      </c>
      <c r="B276" s="63">
        <v>397.3</v>
      </c>
      <c r="C276" s="437">
        <v>45302</v>
      </c>
    </row>
    <row r="277" spans="1:3" x14ac:dyDescent="0.3">
      <c r="A277" t="s">
        <v>25</v>
      </c>
      <c r="B277" s="316">
        <v>409.7</v>
      </c>
      <c r="C277" s="437">
        <v>45302</v>
      </c>
    </row>
    <row r="278" spans="1:3" x14ac:dyDescent="0.3">
      <c r="A278" t="s">
        <v>26</v>
      </c>
      <c r="B278" s="63">
        <v>508.7</v>
      </c>
      <c r="C278" s="437">
        <v>45302</v>
      </c>
    </row>
    <row r="279" spans="1:3" x14ac:dyDescent="0.3">
      <c r="A279" t="s">
        <v>28</v>
      </c>
      <c r="B279" s="63">
        <v>472.1</v>
      </c>
      <c r="C279" s="437">
        <v>45302</v>
      </c>
    </row>
    <row r="280" spans="1:3" x14ac:dyDescent="0.3">
      <c r="A280" t="s">
        <v>29</v>
      </c>
      <c r="B280" s="63">
        <v>427.5</v>
      </c>
      <c r="C280" s="437">
        <v>45302</v>
      </c>
    </row>
    <row r="281" spans="1:3" x14ac:dyDescent="0.3">
      <c r="A281" t="s">
        <v>30</v>
      </c>
      <c r="B281" s="63">
        <v>1490</v>
      </c>
      <c r="C281" s="437">
        <v>45302</v>
      </c>
    </row>
    <row r="282" spans="1:3" x14ac:dyDescent="0.3">
      <c r="A282" t="s">
        <v>111</v>
      </c>
      <c r="B282" s="63">
        <v>561.79999999999995</v>
      </c>
      <c r="C282" s="437">
        <v>45302</v>
      </c>
    </row>
    <row r="283" spans="1:3" x14ac:dyDescent="0.3">
      <c r="A283" t="s">
        <v>32</v>
      </c>
      <c r="B283" s="63">
        <v>312.10000000000002</v>
      </c>
      <c r="C283" s="437">
        <v>45302</v>
      </c>
    </row>
    <row r="284" spans="1:3" x14ac:dyDescent="0.3">
      <c r="A284" t="s">
        <v>288</v>
      </c>
      <c r="B284" s="63">
        <v>356.4</v>
      </c>
      <c r="C284" s="437">
        <v>45302</v>
      </c>
    </row>
    <row r="285" spans="1:3" x14ac:dyDescent="0.3">
      <c r="A285" t="s">
        <v>112</v>
      </c>
      <c r="B285" s="63">
        <v>394.5</v>
      </c>
      <c r="C285" s="437">
        <v>45302</v>
      </c>
    </row>
    <row r="286" spans="1:3" x14ac:dyDescent="0.3">
      <c r="A286" t="s">
        <v>289</v>
      </c>
      <c r="B286" s="63">
        <v>388.3</v>
      </c>
      <c r="C286" s="437">
        <v>45302</v>
      </c>
    </row>
    <row r="287" spans="1:3" x14ac:dyDescent="0.3">
      <c r="A287" t="s">
        <v>291</v>
      </c>
      <c r="B287" s="283">
        <v>350</v>
      </c>
      <c r="C287" s="437">
        <v>45302</v>
      </c>
    </row>
    <row r="288" spans="1:3" x14ac:dyDescent="0.3">
      <c r="A288" t="s">
        <v>7</v>
      </c>
      <c r="B288" s="103">
        <v>41.6</v>
      </c>
      <c r="C288" s="437">
        <v>45303</v>
      </c>
    </row>
    <row r="289" spans="1:3" x14ac:dyDescent="0.3">
      <c r="A289" t="s">
        <v>8</v>
      </c>
      <c r="B289" s="63">
        <v>5.6</v>
      </c>
      <c r="C289" s="437">
        <v>45303</v>
      </c>
    </row>
    <row r="290" spans="1:3" x14ac:dyDescent="0.3">
      <c r="A290" t="s">
        <v>9</v>
      </c>
      <c r="B290" s="283">
        <v>160.4</v>
      </c>
      <c r="C290" s="437">
        <v>45303</v>
      </c>
    </row>
    <row r="291" spans="1:3" x14ac:dyDescent="0.3">
      <c r="A291" t="s">
        <v>10</v>
      </c>
      <c r="B291" s="63">
        <v>108.3</v>
      </c>
      <c r="C291" s="437">
        <v>45303</v>
      </c>
    </row>
    <row r="292" spans="1:3" x14ac:dyDescent="0.3">
      <c r="A292" t="s">
        <v>11</v>
      </c>
      <c r="B292" s="63">
        <v>41.3</v>
      </c>
      <c r="C292" s="437">
        <v>45303</v>
      </c>
    </row>
    <row r="293" spans="1:3" x14ac:dyDescent="0.3">
      <c r="A293" t="s">
        <v>12</v>
      </c>
      <c r="B293" s="63">
        <v>80</v>
      </c>
      <c r="C293" s="437">
        <v>45303</v>
      </c>
    </row>
    <row r="294" spans="1:3" x14ac:dyDescent="0.3">
      <c r="A294" t="s">
        <v>13</v>
      </c>
      <c r="B294" s="63">
        <v>306.89999999999998</v>
      </c>
      <c r="C294" s="437">
        <v>45303</v>
      </c>
    </row>
    <row r="295" spans="1:3" x14ac:dyDescent="0.3">
      <c r="A295" t="s">
        <v>14</v>
      </c>
      <c r="B295" s="82">
        <v>250.5</v>
      </c>
      <c r="C295" s="437">
        <v>45303</v>
      </c>
    </row>
    <row r="296" spans="1:3" x14ac:dyDescent="0.3">
      <c r="A296" t="s">
        <v>17</v>
      </c>
      <c r="B296" s="63">
        <v>432.9</v>
      </c>
      <c r="C296" s="437">
        <v>45303</v>
      </c>
    </row>
    <row r="297" spans="1:3" x14ac:dyDescent="0.3">
      <c r="A297" t="s">
        <v>18</v>
      </c>
      <c r="B297" s="63">
        <v>416.2</v>
      </c>
      <c r="C297" s="437">
        <v>45303</v>
      </c>
    </row>
    <row r="298" spans="1:3" x14ac:dyDescent="0.3">
      <c r="A298" t="s">
        <v>110</v>
      </c>
      <c r="B298" s="63">
        <v>114.7</v>
      </c>
      <c r="C298" s="437">
        <v>45303</v>
      </c>
    </row>
    <row r="299" spans="1:3" x14ac:dyDescent="0.3">
      <c r="A299" t="s">
        <v>20</v>
      </c>
      <c r="B299" s="63">
        <v>313.39999999999998</v>
      </c>
      <c r="C299" s="437">
        <v>45303</v>
      </c>
    </row>
    <row r="300" spans="1:3" x14ac:dyDescent="0.3">
      <c r="A300" t="s">
        <v>22</v>
      </c>
      <c r="B300" s="63">
        <v>464.7</v>
      </c>
      <c r="C300" s="437">
        <v>45303</v>
      </c>
    </row>
    <row r="301" spans="1:3" x14ac:dyDescent="0.3">
      <c r="A301" t="s">
        <v>23</v>
      </c>
      <c r="B301" s="63">
        <v>485.4</v>
      </c>
      <c r="C301" s="437">
        <v>45303</v>
      </c>
    </row>
    <row r="302" spans="1:3" x14ac:dyDescent="0.3">
      <c r="A302" t="s">
        <v>24</v>
      </c>
      <c r="B302" s="63">
        <v>408.5</v>
      </c>
      <c r="C302" s="437">
        <v>45303</v>
      </c>
    </row>
    <row r="303" spans="1:3" x14ac:dyDescent="0.3">
      <c r="A303" t="s">
        <v>25</v>
      </c>
      <c r="B303" s="63">
        <v>539.20000000000005</v>
      </c>
      <c r="C303" s="437">
        <v>45303</v>
      </c>
    </row>
    <row r="304" spans="1:3" x14ac:dyDescent="0.3">
      <c r="A304" t="s">
        <v>26</v>
      </c>
      <c r="B304" s="63">
        <v>421.6</v>
      </c>
      <c r="C304" s="437">
        <v>45303</v>
      </c>
    </row>
    <row r="305" spans="1:3" x14ac:dyDescent="0.3">
      <c r="A305" t="s">
        <v>28</v>
      </c>
      <c r="B305" s="63">
        <v>471.8</v>
      </c>
      <c r="C305" s="437">
        <v>45303</v>
      </c>
    </row>
    <row r="306" spans="1:3" x14ac:dyDescent="0.3">
      <c r="A306" t="s">
        <v>29</v>
      </c>
      <c r="B306" s="316">
        <v>415.4</v>
      </c>
      <c r="C306" s="437">
        <v>45303</v>
      </c>
    </row>
    <row r="307" spans="1:3" x14ac:dyDescent="0.3">
      <c r="A307" t="s">
        <v>30</v>
      </c>
      <c r="B307" s="63">
        <v>1495</v>
      </c>
      <c r="C307" s="437">
        <v>45303</v>
      </c>
    </row>
    <row r="308" spans="1:3" x14ac:dyDescent="0.3">
      <c r="A308" t="s">
        <v>111</v>
      </c>
      <c r="B308" s="63">
        <v>411.4</v>
      </c>
      <c r="C308" s="437">
        <v>45303</v>
      </c>
    </row>
    <row r="309" spans="1:3" x14ac:dyDescent="0.3">
      <c r="A309" t="s">
        <v>32</v>
      </c>
      <c r="B309" s="63">
        <v>327.10000000000002</v>
      </c>
      <c r="C309" s="437">
        <v>45303</v>
      </c>
    </row>
    <row r="310" spans="1:3" x14ac:dyDescent="0.3">
      <c r="A310" t="s">
        <v>288</v>
      </c>
      <c r="B310" s="63">
        <v>400.7</v>
      </c>
      <c r="C310" s="437">
        <v>45303</v>
      </c>
    </row>
    <row r="311" spans="1:3" x14ac:dyDescent="0.3">
      <c r="A311" t="s">
        <v>112</v>
      </c>
      <c r="B311" s="63">
        <v>425.2</v>
      </c>
      <c r="C311" s="437">
        <v>45303</v>
      </c>
    </row>
    <row r="312" spans="1:3" x14ac:dyDescent="0.3">
      <c r="A312" t="s">
        <v>289</v>
      </c>
      <c r="B312" s="63">
        <v>425.1</v>
      </c>
      <c r="C312" s="437">
        <v>45303</v>
      </c>
    </row>
    <row r="313" spans="1:3" x14ac:dyDescent="0.3">
      <c r="A313" t="s">
        <v>291</v>
      </c>
      <c r="B313" s="283">
        <v>380</v>
      </c>
      <c r="C313" s="437">
        <v>45303</v>
      </c>
    </row>
    <row r="314" spans="1:3" x14ac:dyDescent="0.3">
      <c r="A314" t="s">
        <v>7</v>
      </c>
      <c r="B314" s="103">
        <v>30.7</v>
      </c>
      <c r="C314" s="437">
        <v>45304</v>
      </c>
    </row>
    <row r="315" spans="1:3" x14ac:dyDescent="0.3">
      <c r="A315" t="s">
        <v>8</v>
      </c>
      <c r="B315" s="63">
        <f>33.5+12.2</f>
        <v>45.7</v>
      </c>
      <c r="C315" s="437">
        <v>45304</v>
      </c>
    </row>
    <row r="316" spans="1:3" x14ac:dyDescent="0.3">
      <c r="A316" t="s">
        <v>9</v>
      </c>
      <c r="B316" s="283">
        <v>125.2</v>
      </c>
      <c r="C316" s="437">
        <v>45304</v>
      </c>
    </row>
    <row r="317" spans="1:3" x14ac:dyDescent="0.3">
      <c r="A317" t="s">
        <v>10</v>
      </c>
      <c r="B317" s="63">
        <v>84.8</v>
      </c>
      <c r="C317" s="437">
        <v>45304</v>
      </c>
    </row>
    <row r="318" spans="1:3" x14ac:dyDescent="0.3">
      <c r="A318" t="s">
        <v>11</v>
      </c>
      <c r="B318" s="63">
        <v>32.299999999999997</v>
      </c>
      <c r="C318" s="437">
        <v>45304</v>
      </c>
    </row>
    <row r="319" spans="1:3" x14ac:dyDescent="0.3">
      <c r="A319" t="s">
        <v>12</v>
      </c>
      <c r="B319" s="63">
        <v>60.8</v>
      </c>
      <c r="C319" s="437">
        <v>45304</v>
      </c>
    </row>
    <row r="320" spans="1:3" x14ac:dyDescent="0.3">
      <c r="A320" t="s">
        <v>13</v>
      </c>
      <c r="B320" s="63">
        <v>303.39999999999998</v>
      </c>
      <c r="C320" s="437">
        <v>45304</v>
      </c>
    </row>
    <row r="321" spans="1:3" x14ac:dyDescent="0.3">
      <c r="A321" t="s">
        <v>14</v>
      </c>
      <c r="B321" s="82">
        <v>167.3</v>
      </c>
      <c r="C321" s="437">
        <v>45304</v>
      </c>
    </row>
    <row r="322" spans="1:3" x14ac:dyDescent="0.3">
      <c r="A322" t="s">
        <v>17</v>
      </c>
      <c r="B322" s="63">
        <v>277.8</v>
      </c>
      <c r="C322" s="437">
        <v>45304</v>
      </c>
    </row>
    <row r="323" spans="1:3" x14ac:dyDescent="0.3">
      <c r="A323" t="s">
        <v>18</v>
      </c>
      <c r="B323" s="63">
        <v>393.7</v>
      </c>
      <c r="C323" s="437">
        <v>45304</v>
      </c>
    </row>
    <row r="324" spans="1:3" x14ac:dyDescent="0.3">
      <c r="A324" t="s">
        <v>110</v>
      </c>
      <c r="B324" s="63">
        <v>115.8</v>
      </c>
      <c r="C324" s="437">
        <v>45304</v>
      </c>
    </row>
    <row r="325" spans="1:3" x14ac:dyDescent="0.3">
      <c r="A325" t="s">
        <v>20</v>
      </c>
      <c r="B325" s="283">
        <v>340.3</v>
      </c>
      <c r="C325" s="437">
        <v>45304</v>
      </c>
    </row>
    <row r="326" spans="1:3" x14ac:dyDescent="0.3">
      <c r="A326" t="s">
        <v>22</v>
      </c>
      <c r="B326" s="283">
        <v>382.4</v>
      </c>
      <c r="C326" s="437">
        <v>45304</v>
      </c>
    </row>
    <row r="327" spans="1:3" x14ac:dyDescent="0.3">
      <c r="A327" t="s">
        <v>23</v>
      </c>
      <c r="B327" s="63">
        <v>405.8</v>
      </c>
      <c r="C327" s="437">
        <v>45304</v>
      </c>
    </row>
    <row r="328" spans="1:3" x14ac:dyDescent="0.3">
      <c r="A328" t="s">
        <v>24</v>
      </c>
      <c r="B328" s="63">
        <v>345.6</v>
      </c>
      <c r="C328" s="437">
        <v>45304</v>
      </c>
    </row>
    <row r="329" spans="1:3" x14ac:dyDescent="0.3">
      <c r="A329" t="s">
        <v>25</v>
      </c>
      <c r="B329" s="63">
        <v>432.4</v>
      </c>
      <c r="C329" s="437">
        <v>45304</v>
      </c>
    </row>
    <row r="330" spans="1:3" x14ac:dyDescent="0.3">
      <c r="A330" t="s">
        <v>26</v>
      </c>
      <c r="B330" s="63">
        <v>346.5</v>
      </c>
      <c r="C330" s="437">
        <v>45304</v>
      </c>
    </row>
    <row r="331" spans="1:3" x14ac:dyDescent="0.3">
      <c r="A331" t="s">
        <v>28</v>
      </c>
      <c r="B331" s="63">
        <v>433</v>
      </c>
      <c r="C331" s="437">
        <v>45304</v>
      </c>
    </row>
    <row r="332" spans="1:3" x14ac:dyDescent="0.3">
      <c r="A332" t="s">
        <v>29</v>
      </c>
      <c r="B332" s="63">
        <v>379.6</v>
      </c>
      <c r="C332" s="437">
        <v>45304</v>
      </c>
    </row>
    <row r="333" spans="1:3" x14ac:dyDescent="0.3">
      <c r="A333" t="s">
        <v>30</v>
      </c>
      <c r="B333" s="63">
        <v>1400</v>
      </c>
      <c r="C333" s="437">
        <v>45304</v>
      </c>
    </row>
    <row r="334" spans="1:3" x14ac:dyDescent="0.3">
      <c r="A334" t="s">
        <v>111</v>
      </c>
      <c r="B334" s="63">
        <v>310</v>
      </c>
      <c r="C334" s="437">
        <v>45304</v>
      </c>
    </row>
    <row r="335" spans="1:3" x14ac:dyDescent="0.3">
      <c r="A335" t="s">
        <v>32</v>
      </c>
      <c r="B335" s="63">
        <v>299.60000000000002</v>
      </c>
      <c r="C335" s="437">
        <v>45304</v>
      </c>
    </row>
    <row r="336" spans="1:3" x14ac:dyDescent="0.3">
      <c r="A336" t="s">
        <v>288</v>
      </c>
      <c r="B336" s="63">
        <v>230.6</v>
      </c>
      <c r="C336" s="437">
        <v>45304</v>
      </c>
    </row>
    <row r="337" spans="1:3" x14ac:dyDescent="0.3">
      <c r="A337" t="s">
        <v>112</v>
      </c>
      <c r="B337" s="63">
        <v>240</v>
      </c>
      <c r="C337" s="437">
        <v>45304</v>
      </c>
    </row>
    <row r="338" spans="1:3" x14ac:dyDescent="0.3">
      <c r="A338" t="s">
        <v>289</v>
      </c>
      <c r="B338" s="63">
        <v>239.8</v>
      </c>
      <c r="C338" s="437">
        <v>45304</v>
      </c>
    </row>
    <row r="339" spans="1:3" x14ac:dyDescent="0.3">
      <c r="A339" t="s">
        <v>291</v>
      </c>
      <c r="B339" s="283">
        <v>200</v>
      </c>
      <c r="C339" s="437">
        <v>45304</v>
      </c>
    </row>
    <row r="340" spans="1:3" x14ac:dyDescent="0.3">
      <c r="A340" t="s">
        <v>7</v>
      </c>
      <c r="B340" s="331">
        <v>26.6</v>
      </c>
      <c r="C340" s="437">
        <v>45305</v>
      </c>
    </row>
    <row r="341" spans="1:3" x14ac:dyDescent="0.3">
      <c r="A341" t="s">
        <v>8</v>
      </c>
      <c r="B341" s="283">
        <f>27.9+117.93</f>
        <v>145.83000000000001</v>
      </c>
      <c r="C341" s="437">
        <v>45305</v>
      </c>
    </row>
    <row r="342" spans="1:3" x14ac:dyDescent="0.3">
      <c r="A342" t="s">
        <v>9</v>
      </c>
      <c r="B342" s="283">
        <v>109.8</v>
      </c>
      <c r="C342" s="437">
        <v>45305</v>
      </c>
    </row>
    <row r="343" spans="1:3" x14ac:dyDescent="0.3">
      <c r="A343" t="s">
        <v>10</v>
      </c>
      <c r="B343" s="283">
        <v>75.8</v>
      </c>
      <c r="C343" s="437">
        <v>45305</v>
      </c>
    </row>
    <row r="344" spans="1:3" x14ac:dyDescent="0.3">
      <c r="A344" t="s">
        <v>11</v>
      </c>
      <c r="B344" s="283">
        <v>26.6</v>
      </c>
      <c r="C344" s="437">
        <v>45305</v>
      </c>
    </row>
    <row r="345" spans="1:3" x14ac:dyDescent="0.3">
      <c r="A345" t="s">
        <v>12</v>
      </c>
      <c r="B345" s="283">
        <v>50.7</v>
      </c>
      <c r="C345" s="437">
        <v>45305</v>
      </c>
    </row>
    <row r="346" spans="1:3" x14ac:dyDescent="0.3">
      <c r="A346" t="s">
        <v>13</v>
      </c>
      <c r="B346" s="283">
        <v>199.1</v>
      </c>
      <c r="C346" s="437">
        <v>45305</v>
      </c>
    </row>
    <row r="347" spans="1:3" x14ac:dyDescent="0.3">
      <c r="A347" t="s">
        <v>14</v>
      </c>
      <c r="B347" s="308">
        <v>149.19999999999999</v>
      </c>
      <c r="C347" s="437">
        <v>45305</v>
      </c>
    </row>
    <row r="348" spans="1:3" x14ac:dyDescent="0.3">
      <c r="A348" t="s">
        <v>17</v>
      </c>
      <c r="B348" s="283">
        <v>251.8</v>
      </c>
      <c r="C348" s="437">
        <v>45305</v>
      </c>
    </row>
    <row r="349" spans="1:3" x14ac:dyDescent="0.3">
      <c r="A349" t="s">
        <v>18</v>
      </c>
      <c r="B349" s="283">
        <v>236.8</v>
      </c>
      <c r="C349" s="437">
        <v>45305</v>
      </c>
    </row>
    <row r="350" spans="1:3" x14ac:dyDescent="0.3">
      <c r="A350" t="s">
        <v>110</v>
      </c>
      <c r="B350" s="283">
        <v>71.8</v>
      </c>
      <c r="C350" s="437">
        <v>45305</v>
      </c>
    </row>
    <row r="351" spans="1:3" x14ac:dyDescent="0.3">
      <c r="A351" t="s">
        <v>20</v>
      </c>
      <c r="B351" s="283">
        <v>213.7</v>
      </c>
      <c r="C351" s="437">
        <v>45305</v>
      </c>
    </row>
    <row r="352" spans="1:3" x14ac:dyDescent="0.3">
      <c r="A352" t="s">
        <v>22</v>
      </c>
      <c r="B352" s="283">
        <v>244.6</v>
      </c>
      <c r="C352" s="437">
        <v>45305</v>
      </c>
    </row>
    <row r="353" spans="1:3" x14ac:dyDescent="0.3">
      <c r="A353" t="s">
        <v>23</v>
      </c>
      <c r="B353" s="283">
        <v>267.2</v>
      </c>
      <c r="C353" s="437">
        <v>45305</v>
      </c>
    </row>
    <row r="354" spans="1:3" x14ac:dyDescent="0.3">
      <c r="A354" t="s">
        <v>24</v>
      </c>
      <c r="B354" s="283">
        <v>208.2</v>
      </c>
      <c r="C354" s="437">
        <v>45305</v>
      </c>
    </row>
    <row r="355" spans="1:3" x14ac:dyDescent="0.3">
      <c r="A355" t="s">
        <v>25</v>
      </c>
      <c r="B355" s="283">
        <v>274.2</v>
      </c>
      <c r="C355" s="437">
        <v>45305</v>
      </c>
    </row>
    <row r="356" spans="1:3" x14ac:dyDescent="0.3">
      <c r="A356" t="s">
        <v>26</v>
      </c>
      <c r="B356" s="283">
        <v>204.7</v>
      </c>
      <c r="C356" s="437">
        <v>45305</v>
      </c>
    </row>
    <row r="357" spans="1:3" x14ac:dyDescent="0.3">
      <c r="A357" t="s">
        <v>28</v>
      </c>
      <c r="B357" s="283">
        <v>327</v>
      </c>
      <c r="C357" s="437">
        <v>45305</v>
      </c>
    </row>
    <row r="358" spans="1:3" x14ac:dyDescent="0.3">
      <c r="A358" t="s">
        <v>29</v>
      </c>
      <c r="B358" s="283">
        <v>252.7</v>
      </c>
      <c r="C358" s="437">
        <v>45305</v>
      </c>
    </row>
    <row r="359" spans="1:3" x14ac:dyDescent="0.3">
      <c r="A359" t="s">
        <v>30</v>
      </c>
      <c r="B359" s="283">
        <v>983.8</v>
      </c>
      <c r="C359" s="437">
        <v>45305</v>
      </c>
    </row>
    <row r="360" spans="1:3" x14ac:dyDescent="0.3">
      <c r="A360" t="s">
        <v>111</v>
      </c>
      <c r="B360" s="283">
        <v>467.7</v>
      </c>
      <c r="C360" s="437">
        <v>45305</v>
      </c>
    </row>
    <row r="361" spans="1:3" x14ac:dyDescent="0.3">
      <c r="A361" t="s">
        <v>32</v>
      </c>
      <c r="B361" s="283">
        <v>278.7</v>
      </c>
      <c r="C361" s="437">
        <v>45305</v>
      </c>
    </row>
    <row r="362" spans="1:3" x14ac:dyDescent="0.3">
      <c r="A362" t="s">
        <v>288</v>
      </c>
      <c r="B362" s="283">
        <v>355.8</v>
      </c>
      <c r="C362" s="437">
        <v>45305</v>
      </c>
    </row>
    <row r="363" spans="1:3" x14ac:dyDescent="0.3">
      <c r="A363" t="s">
        <v>112</v>
      </c>
      <c r="B363" s="283">
        <v>304</v>
      </c>
      <c r="C363" s="437">
        <v>45305</v>
      </c>
    </row>
    <row r="364" spans="1:3" x14ac:dyDescent="0.3">
      <c r="A364" t="s">
        <v>289</v>
      </c>
      <c r="B364" s="283">
        <v>332.9</v>
      </c>
      <c r="C364" s="437">
        <v>45305</v>
      </c>
    </row>
    <row r="365" spans="1:3" x14ac:dyDescent="0.3">
      <c r="A365" t="s">
        <v>291</v>
      </c>
      <c r="B365" s="283">
        <v>230</v>
      </c>
      <c r="C365" s="437">
        <v>45305</v>
      </c>
    </row>
    <row r="366" spans="1:3" x14ac:dyDescent="0.3">
      <c r="A366" t="s">
        <v>7</v>
      </c>
      <c r="B366" s="103">
        <v>35.1</v>
      </c>
      <c r="C366" s="437">
        <v>45306</v>
      </c>
    </row>
    <row r="367" spans="1:3" x14ac:dyDescent="0.3">
      <c r="A367" t="s">
        <v>8</v>
      </c>
      <c r="B367" s="63">
        <f>38.4+167.5</f>
        <v>205.9</v>
      </c>
      <c r="C367" s="437">
        <v>45306</v>
      </c>
    </row>
    <row r="368" spans="1:3" x14ac:dyDescent="0.3">
      <c r="A368" t="s">
        <v>9</v>
      </c>
      <c r="B368" s="283">
        <v>148.69999999999999</v>
      </c>
      <c r="C368" s="437">
        <v>45306</v>
      </c>
    </row>
    <row r="369" spans="1:3" x14ac:dyDescent="0.3">
      <c r="A369" t="s">
        <v>10</v>
      </c>
      <c r="B369" s="63">
        <v>101.5</v>
      </c>
      <c r="C369" s="437">
        <v>45306</v>
      </c>
    </row>
    <row r="370" spans="1:3" x14ac:dyDescent="0.3">
      <c r="A370" t="s">
        <v>11</v>
      </c>
      <c r="B370" s="308">
        <v>38</v>
      </c>
      <c r="C370" s="437">
        <v>45306</v>
      </c>
    </row>
    <row r="371" spans="1:3" x14ac:dyDescent="0.3">
      <c r="A371" t="s">
        <v>12</v>
      </c>
      <c r="B371" s="308">
        <v>70.8</v>
      </c>
      <c r="C371" s="437">
        <v>45306</v>
      </c>
    </row>
    <row r="372" spans="1:3" x14ac:dyDescent="0.3">
      <c r="A372" t="s">
        <v>13</v>
      </c>
      <c r="B372" s="63">
        <v>258.39999999999998</v>
      </c>
      <c r="C372" s="437">
        <v>45306</v>
      </c>
    </row>
    <row r="373" spans="1:3" x14ac:dyDescent="0.3">
      <c r="A373" t="s">
        <v>14</v>
      </c>
      <c r="B373" s="308">
        <v>200.3</v>
      </c>
      <c r="C373" s="437">
        <v>45306</v>
      </c>
    </row>
    <row r="374" spans="1:3" x14ac:dyDescent="0.3">
      <c r="A374" t="s">
        <v>17</v>
      </c>
      <c r="B374" s="308">
        <v>329.7</v>
      </c>
      <c r="C374" s="437">
        <v>45306</v>
      </c>
    </row>
    <row r="375" spans="1:3" x14ac:dyDescent="0.3">
      <c r="A375" t="s">
        <v>18</v>
      </c>
      <c r="B375" s="63">
        <v>360.5</v>
      </c>
      <c r="C375" s="437">
        <v>45306</v>
      </c>
    </row>
    <row r="376" spans="1:3" x14ac:dyDescent="0.3">
      <c r="A376" t="s">
        <v>110</v>
      </c>
      <c r="B376" s="63">
        <v>101.4</v>
      </c>
      <c r="C376" s="437">
        <v>45306</v>
      </c>
    </row>
    <row r="377" spans="1:3" x14ac:dyDescent="0.3">
      <c r="A377" t="s">
        <v>20</v>
      </c>
      <c r="B377" s="63">
        <v>334.9</v>
      </c>
      <c r="C377" s="437">
        <v>45306</v>
      </c>
    </row>
    <row r="378" spans="1:3" x14ac:dyDescent="0.3">
      <c r="A378" t="s">
        <v>22</v>
      </c>
      <c r="B378" s="63">
        <v>384.7</v>
      </c>
      <c r="C378" s="437">
        <v>45306</v>
      </c>
    </row>
    <row r="379" spans="1:3" x14ac:dyDescent="0.3">
      <c r="A379" t="s">
        <v>23</v>
      </c>
      <c r="B379" s="63">
        <v>424.1</v>
      </c>
      <c r="C379" s="437">
        <v>45306</v>
      </c>
    </row>
    <row r="380" spans="1:3" x14ac:dyDescent="0.3">
      <c r="A380" t="s">
        <v>24</v>
      </c>
      <c r="B380" s="63">
        <v>304.10000000000002</v>
      </c>
      <c r="C380" s="437">
        <v>45306</v>
      </c>
    </row>
    <row r="381" spans="1:3" x14ac:dyDescent="0.3">
      <c r="A381" t="s">
        <v>25</v>
      </c>
      <c r="B381" s="63">
        <v>376.4</v>
      </c>
      <c r="C381" s="437">
        <v>45306</v>
      </c>
    </row>
    <row r="382" spans="1:3" x14ac:dyDescent="0.3">
      <c r="A382" t="s">
        <v>26</v>
      </c>
      <c r="B382" s="63">
        <v>288.3</v>
      </c>
      <c r="C382" s="437">
        <v>45306</v>
      </c>
    </row>
    <row r="383" spans="1:3" x14ac:dyDescent="0.3">
      <c r="A383" t="s">
        <v>28</v>
      </c>
      <c r="B383" s="63">
        <v>436</v>
      </c>
      <c r="C383" s="437">
        <v>45306</v>
      </c>
    </row>
    <row r="384" spans="1:3" x14ac:dyDescent="0.3">
      <c r="A384" t="s">
        <v>29</v>
      </c>
      <c r="B384" s="63">
        <v>360</v>
      </c>
      <c r="C384" s="437">
        <v>45306</v>
      </c>
    </row>
    <row r="385" spans="1:3" x14ac:dyDescent="0.3">
      <c r="A385" t="s">
        <v>30</v>
      </c>
      <c r="B385" s="63">
        <v>1400</v>
      </c>
      <c r="C385" s="437">
        <v>45306</v>
      </c>
    </row>
    <row r="386" spans="1:3" x14ac:dyDescent="0.3">
      <c r="A386" t="s">
        <v>111</v>
      </c>
      <c r="B386" s="63">
        <v>564.4</v>
      </c>
      <c r="C386" s="437">
        <v>45306</v>
      </c>
    </row>
    <row r="387" spans="1:3" x14ac:dyDescent="0.3">
      <c r="A387" t="s">
        <v>32</v>
      </c>
      <c r="B387" s="63">
        <v>359</v>
      </c>
      <c r="C387" s="437">
        <v>45306</v>
      </c>
    </row>
    <row r="388" spans="1:3" x14ac:dyDescent="0.3">
      <c r="A388" t="s">
        <v>288</v>
      </c>
      <c r="B388" s="63">
        <v>283.5</v>
      </c>
      <c r="C388" s="437">
        <v>45306</v>
      </c>
    </row>
    <row r="389" spans="1:3" x14ac:dyDescent="0.3">
      <c r="A389" t="s">
        <v>112</v>
      </c>
      <c r="B389" s="63">
        <v>291.8</v>
      </c>
      <c r="C389" s="437">
        <v>45306</v>
      </c>
    </row>
    <row r="390" spans="1:3" x14ac:dyDescent="0.3">
      <c r="A390" t="s">
        <v>289</v>
      </c>
      <c r="B390" s="63">
        <v>288.10000000000002</v>
      </c>
      <c r="C390" s="437">
        <v>45306</v>
      </c>
    </row>
    <row r="391" spans="1:3" x14ac:dyDescent="0.3">
      <c r="A391" t="s">
        <v>291</v>
      </c>
      <c r="B391" s="283">
        <v>410</v>
      </c>
      <c r="C391" s="437">
        <v>45306</v>
      </c>
    </row>
    <row r="392" spans="1:3" x14ac:dyDescent="0.3">
      <c r="A392" t="s">
        <v>7</v>
      </c>
      <c r="B392" s="103">
        <v>61.2</v>
      </c>
      <c r="C392" s="437">
        <v>45307</v>
      </c>
    </row>
    <row r="393" spans="1:3" x14ac:dyDescent="0.3">
      <c r="A393" t="s">
        <v>8</v>
      </c>
      <c r="B393" s="63">
        <f>63.6+277.49</f>
        <v>341.09000000000003</v>
      </c>
      <c r="C393" s="437">
        <v>45307</v>
      </c>
    </row>
    <row r="394" spans="1:3" x14ac:dyDescent="0.3">
      <c r="A394" t="s">
        <v>9</v>
      </c>
      <c r="B394" s="283">
        <v>253.8</v>
      </c>
      <c r="C394" s="437">
        <v>45307</v>
      </c>
    </row>
    <row r="395" spans="1:3" x14ac:dyDescent="0.3">
      <c r="A395" t="s">
        <v>10</v>
      </c>
      <c r="B395" s="63">
        <v>168.5</v>
      </c>
      <c r="C395" s="437">
        <v>45307</v>
      </c>
    </row>
    <row r="396" spans="1:3" x14ac:dyDescent="0.3">
      <c r="A396" t="s">
        <v>11</v>
      </c>
      <c r="B396" s="63">
        <v>57</v>
      </c>
      <c r="C396" s="437">
        <v>45307</v>
      </c>
    </row>
    <row r="397" spans="1:3" x14ac:dyDescent="0.3">
      <c r="A397" t="s">
        <v>12</v>
      </c>
      <c r="B397" s="63">
        <v>106</v>
      </c>
      <c r="C397" s="437">
        <v>45307</v>
      </c>
    </row>
    <row r="398" spans="1:3" x14ac:dyDescent="0.3">
      <c r="A398" t="s">
        <v>13</v>
      </c>
      <c r="B398" s="63">
        <v>424.9</v>
      </c>
      <c r="C398" s="437">
        <v>45307</v>
      </c>
    </row>
    <row r="399" spans="1:3" x14ac:dyDescent="0.3">
      <c r="A399" t="s">
        <v>14</v>
      </c>
      <c r="B399" s="82">
        <v>368.9</v>
      </c>
      <c r="C399" s="437">
        <v>45307</v>
      </c>
    </row>
    <row r="400" spans="1:3" x14ac:dyDescent="0.3">
      <c r="A400" t="s">
        <v>17</v>
      </c>
      <c r="B400" s="63">
        <v>582</v>
      </c>
      <c r="C400" s="437">
        <v>45307</v>
      </c>
    </row>
    <row r="401" spans="1:3" x14ac:dyDescent="0.3">
      <c r="A401" t="s">
        <v>18</v>
      </c>
      <c r="B401" s="63">
        <v>581.1</v>
      </c>
      <c r="C401" s="437">
        <v>45307</v>
      </c>
    </row>
    <row r="402" spans="1:3" x14ac:dyDescent="0.3">
      <c r="A402" t="s">
        <v>110</v>
      </c>
      <c r="B402" s="63">
        <v>163.9</v>
      </c>
      <c r="C402" s="437">
        <v>45307</v>
      </c>
    </row>
    <row r="403" spans="1:3" x14ac:dyDescent="0.3">
      <c r="A403" t="s">
        <v>20</v>
      </c>
      <c r="B403" s="63">
        <v>553.9</v>
      </c>
      <c r="C403" s="437">
        <v>45307</v>
      </c>
    </row>
    <row r="404" spans="1:3" x14ac:dyDescent="0.3">
      <c r="A404" t="s">
        <v>22</v>
      </c>
      <c r="B404" s="63">
        <v>535.9</v>
      </c>
      <c r="C404" s="437">
        <v>45307</v>
      </c>
    </row>
    <row r="405" spans="1:3" x14ac:dyDescent="0.3">
      <c r="A405" t="s">
        <v>23</v>
      </c>
      <c r="B405" s="63">
        <v>570.6</v>
      </c>
      <c r="C405" s="437">
        <v>45307</v>
      </c>
    </row>
    <row r="406" spans="1:3" x14ac:dyDescent="0.3">
      <c r="A406" t="s">
        <v>24</v>
      </c>
      <c r="B406" s="63">
        <v>344.4</v>
      </c>
      <c r="C406" s="437">
        <v>45307</v>
      </c>
    </row>
    <row r="407" spans="1:3" x14ac:dyDescent="0.3">
      <c r="A407" t="s">
        <v>25</v>
      </c>
      <c r="B407" s="63">
        <v>394</v>
      </c>
      <c r="C407" s="437">
        <v>45307</v>
      </c>
    </row>
    <row r="408" spans="1:3" x14ac:dyDescent="0.3">
      <c r="A408" t="s">
        <v>26</v>
      </c>
      <c r="B408" s="63">
        <v>323.3</v>
      </c>
      <c r="C408" s="437">
        <v>45307</v>
      </c>
    </row>
    <row r="409" spans="1:3" x14ac:dyDescent="0.3">
      <c r="A409" t="s">
        <v>28</v>
      </c>
      <c r="B409" s="63">
        <v>658.3</v>
      </c>
      <c r="C409" s="437">
        <v>45307</v>
      </c>
    </row>
    <row r="410" spans="1:3" x14ac:dyDescent="0.3">
      <c r="A410" t="s">
        <v>29</v>
      </c>
      <c r="B410" s="63">
        <v>576.6</v>
      </c>
      <c r="C410" s="437">
        <v>45307</v>
      </c>
    </row>
    <row r="411" spans="1:3" x14ac:dyDescent="0.3">
      <c r="A411" t="s">
        <v>30</v>
      </c>
      <c r="B411" s="63">
        <v>2046.6</v>
      </c>
      <c r="C411" s="437">
        <v>45307</v>
      </c>
    </row>
    <row r="412" spans="1:3" x14ac:dyDescent="0.3">
      <c r="A412" t="s">
        <v>111</v>
      </c>
      <c r="B412" s="63">
        <v>636.6</v>
      </c>
      <c r="C412" s="437">
        <v>45307</v>
      </c>
    </row>
    <row r="413" spans="1:3" x14ac:dyDescent="0.3">
      <c r="A413" t="s">
        <v>32</v>
      </c>
      <c r="B413" s="63">
        <v>549.5</v>
      </c>
      <c r="C413" s="437">
        <v>45307</v>
      </c>
    </row>
    <row r="414" spans="1:3" x14ac:dyDescent="0.3">
      <c r="A414" t="s">
        <v>288</v>
      </c>
      <c r="B414" s="63">
        <v>541.70000000000005</v>
      </c>
      <c r="C414" s="437">
        <v>45307</v>
      </c>
    </row>
    <row r="415" spans="1:3" x14ac:dyDescent="0.3">
      <c r="A415" t="s">
        <v>112</v>
      </c>
      <c r="B415" s="63">
        <v>533.5</v>
      </c>
      <c r="C415" s="437">
        <v>45307</v>
      </c>
    </row>
    <row r="416" spans="1:3" x14ac:dyDescent="0.3">
      <c r="A416" t="s">
        <v>289</v>
      </c>
      <c r="B416" s="63">
        <v>561</v>
      </c>
      <c r="C416" s="437">
        <v>45307</v>
      </c>
    </row>
    <row r="417" spans="1:3" x14ac:dyDescent="0.3">
      <c r="A417" t="s">
        <v>291</v>
      </c>
      <c r="B417" s="283">
        <v>460</v>
      </c>
      <c r="C417" s="437">
        <v>45307</v>
      </c>
    </row>
    <row r="418" spans="1:3" x14ac:dyDescent="0.3">
      <c r="A418" t="s">
        <v>7</v>
      </c>
      <c r="B418" s="103">
        <v>52.1</v>
      </c>
      <c r="C418" s="437">
        <v>45308</v>
      </c>
    </row>
    <row r="419" spans="1:3" x14ac:dyDescent="0.3">
      <c r="A419" t="s">
        <v>8</v>
      </c>
      <c r="B419" s="63">
        <f>61.7+267.79</f>
        <v>329.49</v>
      </c>
      <c r="C419" s="437">
        <v>45308</v>
      </c>
    </row>
    <row r="420" spans="1:3" x14ac:dyDescent="0.3">
      <c r="A420" t="s">
        <v>9</v>
      </c>
      <c r="B420" s="283">
        <v>199.2</v>
      </c>
      <c r="C420" s="437">
        <v>45308</v>
      </c>
    </row>
    <row r="421" spans="1:3" x14ac:dyDescent="0.3">
      <c r="A421" t="s">
        <v>10</v>
      </c>
      <c r="B421" s="63">
        <v>130.80000000000001</v>
      </c>
      <c r="C421" s="437">
        <v>45308</v>
      </c>
    </row>
    <row r="422" spans="1:3" x14ac:dyDescent="0.3">
      <c r="A422" t="s">
        <v>11</v>
      </c>
      <c r="B422" s="63">
        <v>50.5</v>
      </c>
      <c r="C422" s="437">
        <v>45308</v>
      </c>
    </row>
    <row r="423" spans="1:3" x14ac:dyDescent="0.3">
      <c r="A423" t="s">
        <v>12</v>
      </c>
      <c r="B423" s="63">
        <v>94.3</v>
      </c>
      <c r="C423" s="437">
        <v>45308</v>
      </c>
    </row>
    <row r="424" spans="1:3" x14ac:dyDescent="0.3">
      <c r="A424" t="s">
        <v>13</v>
      </c>
      <c r="B424" s="63">
        <v>366.9</v>
      </c>
      <c r="C424" s="437">
        <v>45308</v>
      </c>
    </row>
    <row r="425" spans="1:3" x14ac:dyDescent="0.3">
      <c r="A425" t="s">
        <v>14</v>
      </c>
      <c r="B425" s="82">
        <v>305.60000000000002</v>
      </c>
      <c r="C425" s="437">
        <v>45308</v>
      </c>
    </row>
    <row r="426" spans="1:3" x14ac:dyDescent="0.3">
      <c r="A426" t="s">
        <v>17</v>
      </c>
      <c r="B426" s="63">
        <v>517.6</v>
      </c>
      <c r="C426" s="437">
        <v>45308</v>
      </c>
    </row>
    <row r="427" spans="1:3" x14ac:dyDescent="0.3">
      <c r="A427" t="s">
        <v>18</v>
      </c>
      <c r="B427" s="63">
        <v>544.1</v>
      </c>
      <c r="C427" s="437">
        <v>45308</v>
      </c>
    </row>
    <row r="428" spans="1:3" x14ac:dyDescent="0.3">
      <c r="A428" t="s">
        <v>110</v>
      </c>
      <c r="B428" s="63">
        <v>148.19999999999999</v>
      </c>
      <c r="C428" s="437">
        <v>45308</v>
      </c>
    </row>
    <row r="429" spans="1:3" x14ac:dyDescent="0.3">
      <c r="A429" t="s">
        <v>20</v>
      </c>
      <c r="B429" s="382">
        <v>477</v>
      </c>
      <c r="C429" s="437">
        <v>45308</v>
      </c>
    </row>
    <row r="430" spans="1:3" x14ac:dyDescent="0.3">
      <c r="A430" t="s">
        <v>22</v>
      </c>
      <c r="B430" s="63">
        <v>472.5</v>
      </c>
      <c r="C430" s="437">
        <v>45308</v>
      </c>
    </row>
    <row r="431" spans="1:3" x14ac:dyDescent="0.3">
      <c r="A431" t="s">
        <v>23</v>
      </c>
      <c r="B431" s="63">
        <v>479.4</v>
      </c>
      <c r="C431" s="437">
        <v>45308</v>
      </c>
    </row>
    <row r="432" spans="1:3" x14ac:dyDescent="0.3">
      <c r="A432" t="s">
        <v>24</v>
      </c>
      <c r="B432" s="63">
        <v>412.2</v>
      </c>
      <c r="C432" s="437">
        <v>45308</v>
      </c>
    </row>
    <row r="433" spans="1:3" x14ac:dyDescent="0.3">
      <c r="A433" t="s">
        <v>25</v>
      </c>
      <c r="B433" s="283">
        <v>535.4</v>
      </c>
      <c r="C433" s="437">
        <v>45308</v>
      </c>
    </row>
    <row r="434" spans="1:3" x14ac:dyDescent="0.3">
      <c r="A434" t="s">
        <v>26</v>
      </c>
      <c r="B434" s="282">
        <v>333.1</v>
      </c>
      <c r="C434" s="437">
        <v>45308</v>
      </c>
    </row>
    <row r="435" spans="1:3" x14ac:dyDescent="0.3">
      <c r="A435" t="s">
        <v>28</v>
      </c>
      <c r="B435" s="63">
        <v>597.5</v>
      </c>
      <c r="C435" s="437">
        <v>45308</v>
      </c>
    </row>
    <row r="436" spans="1:3" x14ac:dyDescent="0.3">
      <c r="A436" t="s">
        <v>29</v>
      </c>
      <c r="B436" s="63">
        <v>532.20000000000005</v>
      </c>
      <c r="C436" s="437">
        <v>45308</v>
      </c>
    </row>
    <row r="437" spans="1:3" x14ac:dyDescent="0.3">
      <c r="A437" t="s">
        <v>30</v>
      </c>
      <c r="B437" s="63">
        <v>1816.6</v>
      </c>
      <c r="C437" s="437">
        <v>45308</v>
      </c>
    </row>
    <row r="438" spans="1:3" x14ac:dyDescent="0.3">
      <c r="A438" t="s">
        <v>111</v>
      </c>
      <c r="B438" s="63">
        <v>460.1</v>
      </c>
      <c r="C438" s="437">
        <v>45308</v>
      </c>
    </row>
    <row r="439" spans="1:3" x14ac:dyDescent="0.3">
      <c r="A439" t="s">
        <v>32</v>
      </c>
      <c r="B439" s="63">
        <v>473.4</v>
      </c>
      <c r="C439" s="437">
        <v>45308</v>
      </c>
    </row>
    <row r="440" spans="1:3" x14ac:dyDescent="0.3">
      <c r="A440" t="s">
        <v>288</v>
      </c>
      <c r="B440" s="283">
        <v>461.6</v>
      </c>
      <c r="C440" s="437">
        <v>45308</v>
      </c>
    </row>
    <row r="441" spans="1:3" x14ac:dyDescent="0.3">
      <c r="A441" t="s">
        <v>112</v>
      </c>
      <c r="B441" s="283">
        <v>472.4</v>
      </c>
      <c r="C441" s="437">
        <v>45308</v>
      </c>
    </row>
    <row r="442" spans="1:3" x14ac:dyDescent="0.3">
      <c r="A442" t="s">
        <v>289</v>
      </c>
      <c r="B442" s="283">
        <v>480.7</v>
      </c>
      <c r="C442" s="437">
        <v>45308</v>
      </c>
    </row>
    <row r="443" spans="1:3" x14ac:dyDescent="0.3">
      <c r="A443" t="s">
        <v>291</v>
      </c>
      <c r="B443" s="283">
        <v>410</v>
      </c>
      <c r="C443" s="437">
        <v>45308</v>
      </c>
    </row>
    <row r="444" spans="1:3" x14ac:dyDescent="0.3">
      <c r="A444" t="s">
        <v>7</v>
      </c>
      <c r="B444" s="103">
        <v>59</v>
      </c>
      <c r="C444" s="437">
        <v>45309</v>
      </c>
    </row>
    <row r="445" spans="1:3" x14ac:dyDescent="0.3">
      <c r="A445" t="s">
        <v>8</v>
      </c>
      <c r="B445" s="63">
        <f>67.7+286.1</f>
        <v>353.8</v>
      </c>
      <c r="C445" s="437">
        <v>45309</v>
      </c>
    </row>
    <row r="446" spans="1:3" x14ac:dyDescent="0.3">
      <c r="A446" t="s">
        <v>9</v>
      </c>
      <c r="B446" s="63">
        <v>225.4</v>
      </c>
      <c r="C446" s="437">
        <v>45309</v>
      </c>
    </row>
    <row r="447" spans="1:3" x14ac:dyDescent="0.3">
      <c r="A447" t="s">
        <v>10</v>
      </c>
      <c r="B447" s="63">
        <v>150.69999999999999</v>
      </c>
      <c r="C447" s="437">
        <v>45309</v>
      </c>
    </row>
    <row r="448" spans="1:3" x14ac:dyDescent="0.3">
      <c r="A448" t="s">
        <v>11</v>
      </c>
      <c r="B448" s="63">
        <v>54.8</v>
      </c>
      <c r="C448" s="437">
        <v>45309</v>
      </c>
    </row>
    <row r="449" spans="1:3" x14ac:dyDescent="0.3">
      <c r="A449" t="s">
        <v>12</v>
      </c>
      <c r="B449" s="63">
        <v>101.7</v>
      </c>
      <c r="C449" s="437">
        <v>45309</v>
      </c>
    </row>
    <row r="450" spans="1:3" x14ac:dyDescent="0.3">
      <c r="A450" t="s">
        <v>13</v>
      </c>
      <c r="B450" s="63">
        <v>376.7</v>
      </c>
      <c r="C450" s="437">
        <v>45309</v>
      </c>
    </row>
    <row r="451" spans="1:3" x14ac:dyDescent="0.3">
      <c r="A451" t="s">
        <v>14</v>
      </c>
      <c r="B451" s="82">
        <v>336.2</v>
      </c>
      <c r="C451" s="437">
        <v>45309</v>
      </c>
    </row>
    <row r="452" spans="1:3" x14ac:dyDescent="0.3">
      <c r="A452" t="s">
        <v>17</v>
      </c>
      <c r="B452" s="63">
        <v>544.29999999999995</v>
      </c>
      <c r="C452" s="437">
        <v>45309</v>
      </c>
    </row>
    <row r="453" spans="1:3" x14ac:dyDescent="0.3">
      <c r="A453" t="s">
        <v>18</v>
      </c>
      <c r="B453" s="63">
        <v>514</v>
      </c>
      <c r="C453" s="437">
        <v>45309</v>
      </c>
    </row>
    <row r="454" spans="1:3" x14ac:dyDescent="0.3">
      <c r="A454" t="s">
        <v>110</v>
      </c>
      <c r="B454" s="63">
        <v>141.9</v>
      </c>
      <c r="C454" s="437">
        <v>45309</v>
      </c>
    </row>
    <row r="455" spans="1:3" x14ac:dyDescent="0.3">
      <c r="A455" t="s">
        <v>20</v>
      </c>
      <c r="B455" s="63">
        <v>416.2</v>
      </c>
      <c r="C455" s="437">
        <v>45309</v>
      </c>
    </row>
    <row r="456" spans="1:3" x14ac:dyDescent="0.3">
      <c r="A456" t="s">
        <v>22</v>
      </c>
      <c r="B456" s="63">
        <v>500.9</v>
      </c>
      <c r="C456" s="437">
        <v>45309</v>
      </c>
    </row>
    <row r="457" spans="1:3" x14ac:dyDescent="0.3">
      <c r="A457" t="s">
        <v>23</v>
      </c>
      <c r="B457" s="63">
        <v>521</v>
      </c>
      <c r="C457" s="437">
        <v>45309</v>
      </c>
    </row>
    <row r="458" spans="1:3" x14ac:dyDescent="0.3">
      <c r="A458" t="s">
        <v>24</v>
      </c>
      <c r="B458" s="63">
        <v>427.5</v>
      </c>
      <c r="C458" s="437">
        <v>45309</v>
      </c>
    </row>
    <row r="459" spans="1:3" x14ac:dyDescent="0.3">
      <c r="A459" t="s">
        <v>25</v>
      </c>
      <c r="B459" s="63">
        <v>543.5</v>
      </c>
      <c r="C459" s="437">
        <v>45309</v>
      </c>
    </row>
    <row r="460" spans="1:3" x14ac:dyDescent="0.3">
      <c r="A460" t="s">
        <v>26</v>
      </c>
      <c r="B460" s="282">
        <v>211.9</v>
      </c>
      <c r="C460" s="437">
        <v>45309</v>
      </c>
    </row>
    <row r="461" spans="1:3" x14ac:dyDescent="0.3">
      <c r="A461" t="s">
        <v>28</v>
      </c>
      <c r="B461" s="63">
        <v>542.79999999999995</v>
      </c>
      <c r="C461" s="437">
        <v>45309</v>
      </c>
    </row>
    <row r="462" spans="1:3" x14ac:dyDescent="0.3">
      <c r="A462" t="s">
        <v>29</v>
      </c>
      <c r="B462" s="63">
        <v>482.1</v>
      </c>
      <c r="C462" s="437">
        <v>45309</v>
      </c>
    </row>
    <row r="463" spans="1:3" x14ac:dyDescent="0.3">
      <c r="A463" t="s">
        <v>30</v>
      </c>
      <c r="B463" s="63">
        <v>1680</v>
      </c>
      <c r="C463" s="437">
        <v>45309</v>
      </c>
    </row>
    <row r="464" spans="1:3" x14ac:dyDescent="0.3">
      <c r="A464" t="s">
        <v>111</v>
      </c>
      <c r="B464" s="63">
        <v>489.1</v>
      </c>
      <c r="C464" s="437">
        <v>45309</v>
      </c>
    </row>
    <row r="465" spans="1:3" x14ac:dyDescent="0.3">
      <c r="A465" t="s">
        <v>32</v>
      </c>
      <c r="B465" s="63">
        <v>398.3</v>
      </c>
      <c r="C465" s="437">
        <v>45309</v>
      </c>
    </row>
    <row r="466" spans="1:3" x14ac:dyDescent="0.3">
      <c r="A466" t="s">
        <v>288</v>
      </c>
      <c r="B466" s="283">
        <v>393.8</v>
      </c>
      <c r="C466" s="437">
        <v>45309</v>
      </c>
    </row>
    <row r="467" spans="1:3" x14ac:dyDescent="0.3">
      <c r="A467" t="s">
        <v>112</v>
      </c>
      <c r="B467" s="283">
        <v>407.8</v>
      </c>
      <c r="C467" s="437">
        <v>45309</v>
      </c>
    </row>
    <row r="468" spans="1:3" x14ac:dyDescent="0.3">
      <c r="A468" t="s">
        <v>289</v>
      </c>
      <c r="B468" s="283">
        <v>419</v>
      </c>
      <c r="C468" s="437">
        <v>45309</v>
      </c>
    </row>
    <row r="469" spans="1:3" x14ac:dyDescent="0.3">
      <c r="A469" t="s">
        <v>291</v>
      </c>
      <c r="B469" s="283">
        <v>380</v>
      </c>
      <c r="C469" s="437">
        <v>45309</v>
      </c>
    </row>
    <row r="470" spans="1:3" x14ac:dyDescent="0.3">
      <c r="A470" t="s">
        <v>7</v>
      </c>
      <c r="B470" s="103">
        <v>29.5</v>
      </c>
      <c r="C470" s="437">
        <v>45310</v>
      </c>
    </row>
    <row r="471" spans="1:3" x14ac:dyDescent="0.3">
      <c r="A471" t="s">
        <v>8</v>
      </c>
      <c r="B471" s="63">
        <f>34.4+140</f>
        <v>174.4</v>
      </c>
      <c r="C471" s="437">
        <v>45310</v>
      </c>
    </row>
    <row r="472" spans="1:3" x14ac:dyDescent="0.3">
      <c r="A472" t="s">
        <v>9</v>
      </c>
      <c r="B472" s="283">
        <v>126.3</v>
      </c>
      <c r="C472" s="437">
        <v>45310</v>
      </c>
    </row>
    <row r="473" spans="1:3" x14ac:dyDescent="0.3">
      <c r="A473" t="s">
        <v>10</v>
      </c>
      <c r="B473" s="63">
        <v>86.7</v>
      </c>
      <c r="C473" s="437">
        <v>45310</v>
      </c>
    </row>
    <row r="474" spans="1:3" x14ac:dyDescent="0.3">
      <c r="A474" t="s">
        <v>11</v>
      </c>
      <c r="B474" s="63">
        <v>28</v>
      </c>
      <c r="C474" s="437">
        <v>45310</v>
      </c>
    </row>
    <row r="475" spans="1:3" x14ac:dyDescent="0.3">
      <c r="A475" t="s">
        <v>12</v>
      </c>
      <c r="B475" s="63">
        <v>50.9</v>
      </c>
      <c r="C475" s="437">
        <v>45310</v>
      </c>
    </row>
    <row r="476" spans="1:3" x14ac:dyDescent="0.3">
      <c r="A476" t="s">
        <v>13</v>
      </c>
      <c r="B476" s="283">
        <v>234.9</v>
      </c>
      <c r="C476" s="437">
        <v>45310</v>
      </c>
    </row>
    <row r="477" spans="1:3" x14ac:dyDescent="0.3">
      <c r="A477" t="s">
        <v>14</v>
      </c>
      <c r="B477" s="82">
        <v>164.8</v>
      </c>
      <c r="C477" s="437">
        <v>45310</v>
      </c>
    </row>
    <row r="478" spans="1:3" x14ac:dyDescent="0.3">
      <c r="A478" t="s">
        <v>17</v>
      </c>
      <c r="B478" s="63">
        <v>267.2</v>
      </c>
      <c r="C478" s="437">
        <v>45310</v>
      </c>
    </row>
    <row r="479" spans="1:3" x14ac:dyDescent="0.3">
      <c r="A479" t="s">
        <v>18</v>
      </c>
      <c r="B479" s="283">
        <v>306.89999999999998</v>
      </c>
      <c r="C479" s="437">
        <v>45310</v>
      </c>
    </row>
    <row r="480" spans="1:3" x14ac:dyDescent="0.3">
      <c r="A480" t="s">
        <v>110</v>
      </c>
      <c r="B480" s="283">
        <v>86.1</v>
      </c>
      <c r="C480" s="437">
        <v>45310</v>
      </c>
    </row>
    <row r="481" spans="1:3" x14ac:dyDescent="0.3">
      <c r="A481" t="s">
        <v>20</v>
      </c>
      <c r="B481" s="63">
        <v>264.8</v>
      </c>
      <c r="C481" s="437">
        <v>45310</v>
      </c>
    </row>
    <row r="482" spans="1:3" x14ac:dyDescent="0.3">
      <c r="A482" t="s">
        <v>22</v>
      </c>
      <c r="B482" s="63">
        <v>285.5</v>
      </c>
      <c r="C482" s="437">
        <v>45310</v>
      </c>
    </row>
    <row r="483" spans="1:3" x14ac:dyDescent="0.3">
      <c r="A483" t="s">
        <v>23</v>
      </c>
      <c r="B483" s="63">
        <v>314.2</v>
      </c>
      <c r="C483" s="437">
        <v>45310</v>
      </c>
    </row>
    <row r="484" spans="1:3" x14ac:dyDescent="0.3">
      <c r="A484" t="s">
        <v>24</v>
      </c>
      <c r="B484" s="283">
        <v>241.5</v>
      </c>
      <c r="C484" s="437">
        <v>45310</v>
      </c>
    </row>
    <row r="485" spans="1:3" x14ac:dyDescent="0.3">
      <c r="A485" t="s">
        <v>25</v>
      </c>
      <c r="B485" s="283">
        <v>311.89999999999998</v>
      </c>
      <c r="C485" s="437">
        <v>45310</v>
      </c>
    </row>
    <row r="486" spans="1:3" x14ac:dyDescent="0.3">
      <c r="A486" t="s">
        <v>26</v>
      </c>
      <c r="B486" s="282">
        <v>125.3</v>
      </c>
      <c r="C486" s="437">
        <v>45310</v>
      </c>
    </row>
    <row r="487" spans="1:3" x14ac:dyDescent="0.3">
      <c r="A487" t="s">
        <v>28</v>
      </c>
      <c r="B487" s="63">
        <v>381.7</v>
      </c>
      <c r="C487" s="437">
        <v>45310</v>
      </c>
    </row>
    <row r="488" spans="1:3" x14ac:dyDescent="0.3">
      <c r="A488" t="s">
        <v>29</v>
      </c>
      <c r="B488" s="63">
        <v>307</v>
      </c>
      <c r="C488" s="437">
        <v>45310</v>
      </c>
    </row>
    <row r="489" spans="1:3" x14ac:dyDescent="0.3">
      <c r="A489" t="s">
        <v>30</v>
      </c>
      <c r="B489" s="63">
        <v>1185</v>
      </c>
      <c r="C489" s="437">
        <v>45310</v>
      </c>
    </row>
    <row r="490" spans="1:3" x14ac:dyDescent="0.3">
      <c r="A490" t="s">
        <v>111</v>
      </c>
      <c r="B490" s="283">
        <v>365.6</v>
      </c>
      <c r="C490" s="437">
        <v>45310</v>
      </c>
    </row>
    <row r="491" spans="1:3" x14ac:dyDescent="0.3">
      <c r="A491" t="s">
        <v>32</v>
      </c>
      <c r="B491" s="283">
        <v>350.1</v>
      </c>
      <c r="C491" s="437">
        <v>45310</v>
      </c>
    </row>
    <row r="492" spans="1:3" x14ac:dyDescent="0.3">
      <c r="A492" t="s">
        <v>288</v>
      </c>
      <c r="B492" s="283">
        <v>243.3</v>
      </c>
      <c r="C492" s="437">
        <v>45310</v>
      </c>
    </row>
    <row r="493" spans="1:3" x14ac:dyDescent="0.3">
      <c r="A493" t="s">
        <v>112</v>
      </c>
      <c r="B493" s="283">
        <v>228.4</v>
      </c>
      <c r="C493" s="437">
        <v>45310</v>
      </c>
    </row>
    <row r="494" spans="1:3" x14ac:dyDescent="0.3">
      <c r="A494" t="s">
        <v>289</v>
      </c>
      <c r="B494" s="283">
        <v>233.9</v>
      </c>
      <c r="C494" s="437">
        <v>45310</v>
      </c>
    </row>
    <row r="495" spans="1:3" x14ac:dyDescent="0.3">
      <c r="A495" t="s">
        <v>291</v>
      </c>
      <c r="B495" s="283">
        <v>200</v>
      </c>
      <c r="C495" s="437">
        <v>45310</v>
      </c>
    </row>
    <row r="496" spans="1:3" x14ac:dyDescent="0.3">
      <c r="A496" t="s">
        <v>7</v>
      </c>
      <c r="B496" s="331">
        <v>43.3</v>
      </c>
      <c r="C496" s="437">
        <v>45311</v>
      </c>
    </row>
    <row r="497" spans="1:3" x14ac:dyDescent="0.3">
      <c r="A497" t="s">
        <v>8</v>
      </c>
      <c r="B497" s="283">
        <f>47.5+200.4</f>
        <v>247.9</v>
      </c>
      <c r="C497" s="437">
        <v>45311</v>
      </c>
    </row>
    <row r="498" spans="1:3" x14ac:dyDescent="0.3">
      <c r="A498" t="s">
        <v>9</v>
      </c>
      <c r="B498" s="283">
        <v>161.1</v>
      </c>
      <c r="C498" s="437">
        <v>45311</v>
      </c>
    </row>
    <row r="499" spans="1:3" x14ac:dyDescent="0.3">
      <c r="A499" t="s">
        <v>10</v>
      </c>
      <c r="B499" s="283">
        <v>108.3</v>
      </c>
      <c r="C499" s="437">
        <v>45311</v>
      </c>
    </row>
    <row r="500" spans="1:3" x14ac:dyDescent="0.3">
      <c r="A500" t="s">
        <v>11</v>
      </c>
      <c r="B500" s="283">
        <v>43.8</v>
      </c>
      <c r="C500" s="437">
        <v>45311</v>
      </c>
    </row>
    <row r="501" spans="1:3" x14ac:dyDescent="0.3">
      <c r="A501" t="s">
        <v>12</v>
      </c>
      <c r="B501" s="283">
        <v>79.599999999999994</v>
      </c>
      <c r="C501" s="437">
        <v>45311</v>
      </c>
    </row>
    <row r="502" spans="1:3" x14ac:dyDescent="0.3">
      <c r="A502" t="s">
        <v>13</v>
      </c>
      <c r="B502" s="283">
        <v>345.6</v>
      </c>
      <c r="C502" s="437">
        <v>45311</v>
      </c>
    </row>
    <row r="503" spans="1:3" x14ac:dyDescent="0.3">
      <c r="A503" t="s">
        <v>14</v>
      </c>
      <c r="B503" s="308">
        <v>263.7</v>
      </c>
      <c r="C503" s="437">
        <v>45311</v>
      </c>
    </row>
    <row r="504" spans="1:3" x14ac:dyDescent="0.3">
      <c r="A504" t="s">
        <v>17</v>
      </c>
      <c r="B504" s="283">
        <v>445.4</v>
      </c>
      <c r="C504" s="437">
        <v>45311</v>
      </c>
    </row>
    <row r="505" spans="1:3" x14ac:dyDescent="0.3">
      <c r="A505" t="s">
        <v>18</v>
      </c>
      <c r="B505" s="283">
        <v>467.8</v>
      </c>
      <c r="C505" s="437">
        <v>45311</v>
      </c>
    </row>
    <row r="506" spans="1:3" x14ac:dyDescent="0.3">
      <c r="A506" t="s">
        <v>110</v>
      </c>
      <c r="B506" s="283">
        <v>130.69999999999999</v>
      </c>
      <c r="C506" s="437">
        <v>45311</v>
      </c>
    </row>
    <row r="507" spans="1:3" x14ac:dyDescent="0.3">
      <c r="A507" t="s">
        <v>20</v>
      </c>
      <c r="B507" s="283">
        <v>429.3</v>
      </c>
      <c r="C507" s="437">
        <v>45311</v>
      </c>
    </row>
    <row r="508" spans="1:3" x14ac:dyDescent="0.3">
      <c r="A508" t="s">
        <v>22</v>
      </c>
      <c r="B508" s="283">
        <v>477.4</v>
      </c>
      <c r="C508" s="437">
        <v>45311</v>
      </c>
    </row>
    <row r="509" spans="1:3" x14ac:dyDescent="0.3">
      <c r="A509" t="s">
        <v>23</v>
      </c>
      <c r="B509" s="283">
        <v>498.3</v>
      </c>
      <c r="C509" s="437">
        <v>45311</v>
      </c>
    </row>
    <row r="510" spans="1:3" x14ac:dyDescent="0.3">
      <c r="A510" t="s">
        <v>24</v>
      </c>
      <c r="B510" s="283">
        <v>422.5</v>
      </c>
      <c r="C510" s="437">
        <v>45311</v>
      </c>
    </row>
    <row r="511" spans="1:3" x14ac:dyDescent="0.3">
      <c r="A511" t="s">
        <v>25</v>
      </c>
      <c r="B511" s="283">
        <v>533.9</v>
      </c>
      <c r="C511" s="437">
        <v>45311</v>
      </c>
    </row>
    <row r="512" spans="1:3" x14ac:dyDescent="0.3">
      <c r="A512" t="s">
        <v>26</v>
      </c>
      <c r="B512" s="282">
        <v>182.1</v>
      </c>
      <c r="C512" s="437">
        <v>45311</v>
      </c>
    </row>
    <row r="513" spans="1:3" x14ac:dyDescent="0.3">
      <c r="A513" t="s">
        <v>28</v>
      </c>
      <c r="B513" s="283">
        <v>274.10000000000002</v>
      </c>
      <c r="C513" s="437">
        <v>45311</v>
      </c>
    </row>
    <row r="514" spans="1:3" x14ac:dyDescent="0.3">
      <c r="A514" t="s">
        <v>29</v>
      </c>
      <c r="B514" s="283">
        <v>464.1</v>
      </c>
      <c r="C514" s="437">
        <v>45311</v>
      </c>
    </row>
    <row r="515" spans="1:3" x14ac:dyDescent="0.3">
      <c r="A515" t="s">
        <v>30</v>
      </c>
      <c r="B515" s="283">
        <v>1706.1</v>
      </c>
      <c r="C515" s="437">
        <v>45311</v>
      </c>
    </row>
    <row r="516" spans="1:3" x14ac:dyDescent="0.3">
      <c r="A516" t="s">
        <v>111</v>
      </c>
      <c r="B516" s="283">
        <v>455.7</v>
      </c>
      <c r="C516" s="437">
        <v>45311</v>
      </c>
    </row>
    <row r="517" spans="1:3" x14ac:dyDescent="0.3">
      <c r="A517" t="s">
        <v>32</v>
      </c>
      <c r="B517" s="283">
        <v>457.5</v>
      </c>
      <c r="C517" s="437">
        <v>45311</v>
      </c>
    </row>
    <row r="518" spans="1:3" x14ac:dyDescent="0.3">
      <c r="A518" t="s">
        <v>288</v>
      </c>
      <c r="B518" s="283">
        <v>329.4</v>
      </c>
      <c r="C518" s="437">
        <v>45311</v>
      </c>
    </row>
    <row r="519" spans="1:3" x14ac:dyDescent="0.3">
      <c r="A519" t="s">
        <v>112</v>
      </c>
      <c r="B519" s="283">
        <v>375.1</v>
      </c>
      <c r="C519" s="437">
        <v>45311</v>
      </c>
    </row>
    <row r="520" spans="1:3" x14ac:dyDescent="0.3">
      <c r="A520" t="s">
        <v>289</v>
      </c>
      <c r="B520" s="283">
        <v>347.3</v>
      </c>
      <c r="C520" s="437">
        <v>45311</v>
      </c>
    </row>
    <row r="521" spans="1:3" x14ac:dyDescent="0.3">
      <c r="A521" t="s">
        <v>291</v>
      </c>
      <c r="B521" s="283">
        <v>378.3</v>
      </c>
      <c r="C521" s="437">
        <v>45311</v>
      </c>
    </row>
    <row r="522" spans="1:3" x14ac:dyDescent="0.3">
      <c r="A522" t="s">
        <v>7</v>
      </c>
      <c r="B522" s="103">
        <v>43.3</v>
      </c>
      <c r="C522" s="437">
        <v>45312</v>
      </c>
    </row>
    <row r="523" spans="1:3" x14ac:dyDescent="0.3">
      <c r="A523" t="s">
        <v>8</v>
      </c>
      <c r="B523" s="63">
        <f>44.8+184.29</f>
        <v>229.08999999999997</v>
      </c>
      <c r="C523" s="437">
        <v>45312</v>
      </c>
    </row>
    <row r="524" spans="1:3" x14ac:dyDescent="0.3">
      <c r="A524" t="s">
        <v>9</v>
      </c>
      <c r="B524" s="283">
        <v>183.3</v>
      </c>
      <c r="C524" s="437">
        <v>45312</v>
      </c>
    </row>
    <row r="525" spans="1:3" x14ac:dyDescent="0.3">
      <c r="A525" t="s">
        <v>10</v>
      </c>
      <c r="B525" s="63">
        <v>103.9</v>
      </c>
      <c r="C525" s="437">
        <v>45312</v>
      </c>
    </row>
    <row r="526" spans="1:3" x14ac:dyDescent="0.3">
      <c r="A526" t="s">
        <v>11</v>
      </c>
      <c r="B526" s="63">
        <v>36.799999999999997</v>
      </c>
      <c r="C526" s="437">
        <v>45312</v>
      </c>
    </row>
    <row r="527" spans="1:3" x14ac:dyDescent="0.3">
      <c r="A527" t="s">
        <v>12</v>
      </c>
      <c r="B527" s="63">
        <v>65.7</v>
      </c>
      <c r="C527" s="437">
        <v>45312</v>
      </c>
    </row>
    <row r="528" spans="1:3" x14ac:dyDescent="0.3">
      <c r="A528" t="s">
        <v>13</v>
      </c>
      <c r="B528" s="63">
        <v>272.5</v>
      </c>
      <c r="C528" s="437">
        <v>45312</v>
      </c>
    </row>
    <row r="529" spans="1:3" x14ac:dyDescent="0.3">
      <c r="A529" t="s">
        <v>14</v>
      </c>
      <c r="B529" s="82">
        <v>202.6</v>
      </c>
      <c r="C529" s="437">
        <v>45312</v>
      </c>
    </row>
    <row r="530" spans="1:3" x14ac:dyDescent="0.3">
      <c r="A530" t="s">
        <v>17</v>
      </c>
      <c r="B530" s="63">
        <v>321.5</v>
      </c>
      <c r="C530" s="437">
        <v>45312</v>
      </c>
    </row>
    <row r="531" spans="1:3" x14ac:dyDescent="0.3">
      <c r="A531" t="s">
        <v>18</v>
      </c>
      <c r="B531" s="63">
        <v>386.9</v>
      </c>
      <c r="C531" s="437">
        <v>45312</v>
      </c>
    </row>
    <row r="532" spans="1:3" x14ac:dyDescent="0.3">
      <c r="A532" t="s">
        <v>110</v>
      </c>
      <c r="B532" s="63">
        <v>110.3</v>
      </c>
      <c r="C532" s="437">
        <v>45312</v>
      </c>
    </row>
    <row r="533" spans="1:3" x14ac:dyDescent="0.3">
      <c r="A533" t="s">
        <v>20</v>
      </c>
      <c r="B533" s="63">
        <v>340.4</v>
      </c>
      <c r="C533" s="437">
        <v>45312</v>
      </c>
    </row>
    <row r="534" spans="1:3" x14ac:dyDescent="0.3">
      <c r="A534" t="s">
        <v>22</v>
      </c>
      <c r="B534" s="63">
        <v>370.8</v>
      </c>
      <c r="C534" s="437">
        <v>45312</v>
      </c>
    </row>
    <row r="535" spans="1:3" x14ac:dyDescent="0.3">
      <c r="A535" t="s">
        <v>23</v>
      </c>
      <c r="B535" s="63">
        <v>412.8</v>
      </c>
      <c r="C535" s="437">
        <v>45312</v>
      </c>
    </row>
    <row r="536" spans="1:3" x14ac:dyDescent="0.3">
      <c r="A536" t="s">
        <v>24</v>
      </c>
      <c r="B536" s="316">
        <v>305.89999999999998</v>
      </c>
      <c r="C536" s="437">
        <v>45312</v>
      </c>
    </row>
    <row r="537" spans="1:3" x14ac:dyDescent="0.3">
      <c r="A537" t="s">
        <v>25</v>
      </c>
      <c r="B537" s="283">
        <v>385.2</v>
      </c>
      <c r="C537" s="437">
        <v>45312</v>
      </c>
    </row>
    <row r="538" spans="1:3" x14ac:dyDescent="0.3">
      <c r="A538" t="s">
        <v>26</v>
      </c>
      <c r="B538" s="282">
        <v>160.69999999999999</v>
      </c>
      <c r="C538" s="437">
        <v>45312</v>
      </c>
    </row>
    <row r="539" spans="1:3" x14ac:dyDescent="0.3">
      <c r="A539" t="s">
        <v>28</v>
      </c>
      <c r="B539" s="63">
        <v>194.7</v>
      </c>
      <c r="C539" s="437">
        <v>45312</v>
      </c>
    </row>
    <row r="540" spans="1:3" x14ac:dyDescent="0.3">
      <c r="A540" t="s">
        <v>29</v>
      </c>
      <c r="B540" s="63">
        <v>423.9</v>
      </c>
      <c r="C540" s="437">
        <v>45312</v>
      </c>
    </row>
    <row r="541" spans="1:3" x14ac:dyDescent="0.3">
      <c r="A541" t="s">
        <v>30</v>
      </c>
      <c r="B541" s="63">
        <v>1647.4</v>
      </c>
      <c r="C541" s="437">
        <v>45312</v>
      </c>
    </row>
    <row r="542" spans="1:3" x14ac:dyDescent="0.3">
      <c r="A542" t="s">
        <v>111</v>
      </c>
      <c r="B542" s="63">
        <v>517.20000000000005</v>
      </c>
      <c r="C542" s="437">
        <v>45312</v>
      </c>
    </row>
    <row r="543" spans="1:3" x14ac:dyDescent="0.3">
      <c r="A543" t="s">
        <v>32</v>
      </c>
      <c r="B543" s="63">
        <v>454.5</v>
      </c>
      <c r="C543" s="437">
        <v>45312</v>
      </c>
    </row>
    <row r="544" spans="1:3" x14ac:dyDescent="0.3">
      <c r="A544" t="s">
        <v>288</v>
      </c>
      <c r="B544" s="283">
        <v>363.4</v>
      </c>
      <c r="C544" s="437">
        <v>45312</v>
      </c>
    </row>
    <row r="545" spans="1:3" x14ac:dyDescent="0.3">
      <c r="A545" t="s">
        <v>112</v>
      </c>
      <c r="B545" s="283">
        <v>342.2</v>
      </c>
      <c r="C545" s="437">
        <v>45312</v>
      </c>
    </row>
    <row r="546" spans="1:3" x14ac:dyDescent="0.3">
      <c r="A546" t="s">
        <v>289</v>
      </c>
      <c r="B546" s="283">
        <v>357.6</v>
      </c>
      <c r="C546" s="437">
        <v>45312</v>
      </c>
    </row>
    <row r="547" spans="1:3" x14ac:dyDescent="0.3">
      <c r="A547" t="s">
        <v>291</v>
      </c>
      <c r="B547" s="63">
        <v>395</v>
      </c>
      <c r="C547" s="437">
        <v>45312</v>
      </c>
    </row>
    <row r="548" spans="1:3" x14ac:dyDescent="0.3">
      <c r="A548" t="s">
        <v>7</v>
      </c>
      <c r="B548" s="103">
        <v>59.1</v>
      </c>
      <c r="C548" s="437">
        <v>45313</v>
      </c>
    </row>
    <row r="549" spans="1:3" x14ac:dyDescent="0.3">
      <c r="A549" t="s">
        <v>8</v>
      </c>
      <c r="B549" s="63">
        <f>270.9+64.4</f>
        <v>335.29999999999995</v>
      </c>
      <c r="C549" s="437">
        <v>45313</v>
      </c>
    </row>
    <row r="550" spans="1:3" x14ac:dyDescent="0.3">
      <c r="A550" t="s">
        <v>9</v>
      </c>
      <c r="B550" s="283">
        <v>252.2</v>
      </c>
      <c r="C550" s="437">
        <v>45313</v>
      </c>
    </row>
    <row r="551" spans="1:3" x14ac:dyDescent="0.3">
      <c r="A551" t="s">
        <v>10</v>
      </c>
      <c r="B551" s="283">
        <v>140</v>
      </c>
      <c r="C551" s="437">
        <v>45313</v>
      </c>
    </row>
    <row r="552" spans="1:3" x14ac:dyDescent="0.3">
      <c r="A552" t="s">
        <v>11</v>
      </c>
      <c r="B552" s="63">
        <v>46.5</v>
      </c>
      <c r="C552" s="437">
        <v>45313</v>
      </c>
    </row>
    <row r="553" spans="1:3" x14ac:dyDescent="0.3">
      <c r="A553" t="s">
        <v>12</v>
      </c>
      <c r="B553" s="63">
        <v>83.7</v>
      </c>
      <c r="C553" s="437">
        <v>45313</v>
      </c>
    </row>
    <row r="554" spans="1:3" x14ac:dyDescent="0.3">
      <c r="A554" t="s">
        <v>13</v>
      </c>
      <c r="B554" s="63">
        <v>413.1</v>
      </c>
      <c r="C554" s="437">
        <v>45313</v>
      </c>
    </row>
    <row r="555" spans="1:3" x14ac:dyDescent="0.3">
      <c r="A555" t="s">
        <v>14</v>
      </c>
      <c r="B555" s="82">
        <v>280</v>
      </c>
      <c r="C555" s="437">
        <v>45313</v>
      </c>
    </row>
    <row r="556" spans="1:3" x14ac:dyDescent="0.3">
      <c r="A556" t="s">
        <v>17</v>
      </c>
      <c r="B556" s="63">
        <v>445</v>
      </c>
      <c r="C556" s="437">
        <v>45313</v>
      </c>
    </row>
    <row r="557" spans="1:3" x14ac:dyDescent="0.3">
      <c r="A557" t="s">
        <v>18</v>
      </c>
      <c r="B557" s="63">
        <v>523.29999999999995</v>
      </c>
      <c r="C557" s="437">
        <v>45313</v>
      </c>
    </row>
    <row r="558" spans="1:3" x14ac:dyDescent="0.3">
      <c r="A558" t="s">
        <v>110</v>
      </c>
      <c r="B558" s="63">
        <v>157.5</v>
      </c>
      <c r="C558" s="437">
        <v>45313</v>
      </c>
    </row>
    <row r="559" spans="1:3" x14ac:dyDescent="0.3">
      <c r="A559" t="s">
        <v>20</v>
      </c>
      <c r="B559" s="63">
        <v>485.8</v>
      </c>
      <c r="C559" s="437">
        <v>45313</v>
      </c>
    </row>
    <row r="560" spans="1:3" x14ac:dyDescent="0.3">
      <c r="A560" t="s">
        <v>22</v>
      </c>
      <c r="B560" s="63">
        <v>391.9</v>
      </c>
      <c r="C560" s="437">
        <v>45313</v>
      </c>
    </row>
    <row r="561" spans="1:3" x14ac:dyDescent="0.3">
      <c r="A561" t="s">
        <v>23</v>
      </c>
      <c r="B561" s="63">
        <v>405.8</v>
      </c>
      <c r="C561" s="437">
        <v>45313</v>
      </c>
    </row>
    <row r="562" spans="1:3" x14ac:dyDescent="0.3">
      <c r="A562" t="s">
        <v>24</v>
      </c>
      <c r="B562" s="316">
        <v>352</v>
      </c>
      <c r="C562" s="437">
        <v>45313</v>
      </c>
    </row>
    <row r="563" spans="1:3" x14ac:dyDescent="0.3">
      <c r="A563" t="s">
        <v>25</v>
      </c>
      <c r="B563" s="63">
        <v>457.7</v>
      </c>
      <c r="C563" s="437">
        <v>45313</v>
      </c>
    </row>
    <row r="564" spans="1:3" x14ac:dyDescent="0.3">
      <c r="A564" t="s">
        <v>26</v>
      </c>
      <c r="B564" s="282">
        <v>226.1</v>
      </c>
      <c r="C564" s="437">
        <v>45313</v>
      </c>
    </row>
    <row r="565" spans="1:3" x14ac:dyDescent="0.3">
      <c r="A565" t="s">
        <v>28</v>
      </c>
      <c r="B565" s="63">
        <v>621.6</v>
      </c>
      <c r="C565" s="437">
        <v>45313</v>
      </c>
    </row>
    <row r="566" spans="1:3" x14ac:dyDescent="0.3">
      <c r="A566" t="s">
        <v>29</v>
      </c>
      <c r="B566" s="63">
        <v>530.5</v>
      </c>
      <c r="C566" s="437">
        <v>45313</v>
      </c>
    </row>
    <row r="567" spans="1:3" x14ac:dyDescent="0.3">
      <c r="A567" t="s">
        <v>30</v>
      </c>
      <c r="B567" s="63">
        <v>2060</v>
      </c>
      <c r="C567" s="437">
        <v>45313</v>
      </c>
    </row>
    <row r="568" spans="1:3" x14ac:dyDescent="0.3">
      <c r="A568" t="s">
        <v>111</v>
      </c>
      <c r="B568" s="63">
        <v>430.1</v>
      </c>
      <c r="C568" s="437">
        <v>45313</v>
      </c>
    </row>
    <row r="569" spans="1:3" x14ac:dyDescent="0.3">
      <c r="A569" t="s">
        <v>32</v>
      </c>
      <c r="B569" s="63">
        <v>539.6</v>
      </c>
      <c r="C569" s="437">
        <v>45313</v>
      </c>
    </row>
    <row r="570" spans="1:3" x14ac:dyDescent="0.3">
      <c r="A570" t="s">
        <v>288</v>
      </c>
      <c r="B570" s="63">
        <v>335.5</v>
      </c>
      <c r="C570" s="437">
        <v>45313</v>
      </c>
    </row>
    <row r="571" spans="1:3" x14ac:dyDescent="0.3">
      <c r="A571" t="s">
        <v>112</v>
      </c>
      <c r="B571" s="63">
        <v>317.39999999999998</v>
      </c>
      <c r="C571" s="437">
        <v>45313</v>
      </c>
    </row>
    <row r="572" spans="1:3" x14ac:dyDescent="0.3">
      <c r="A572" t="s">
        <v>289</v>
      </c>
      <c r="B572" s="63">
        <v>328.9</v>
      </c>
      <c r="C572" s="437">
        <v>45313</v>
      </c>
    </row>
    <row r="573" spans="1:3" x14ac:dyDescent="0.3">
      <c r="A573" t="s">
        <v>291</v>
      </c>
      <c r="B573" s="320">
        <v>325.8</v>
      </c>
      <c r="C573" s="437">
        <v>45313</v>
      </c>
    </row>
    <row r="574" spans="1:3" x14ac:dyDescent="0.3">
      <c r="A574" t="s">
        <v>7</v>
      </c>
      <c r="B574" s="385">
        <v>27.7</v>
      </c>
      <c r="C574" s="437">
        <v>45314</v>
      </c>
    </row>
    <row r="575" spans="1:3" x14ac:dyDescent="0.3">
      <c r="A575" t="s">
        <v>8</v>
      </c>
      <c r="B575" s="207">
        <f>32.2+132</f>
        <v>164.2</v>
      </c>
      <c r="C575" s="437">
        <v>45314</v>
      </c>
    </row>
    <row r="576" spans="1:3" x14ac:dyDescent="0.3">
      <c r="A576" t="s">
        <v>9</v>
      </c>
      <c r="B576" s="207">
        <v>123.6</v>
      </c>
      <c r="C576" s="437">
        <v>45314</v>
      </c>
    </row>
    <row r="577" spans="1:3" x14ac:dyDescent="0.3">
      <c r="A577" t="s">
        <v>10</v>
      </c>
      <c r="B577" s="207">
        <v>69.8</v>
      </c>
      <c r="C577" s="437">
        <v>45314</v>
      </c>
    </row>
    <row r="578" spans="1:3" x14ac:dyDescent="0.3">
      <c r="A578" t="s">
        <v>11</v>
      </c>
      <c r="B578" s="384">
        <v>27</v>
      </c>
      <c r="C578" s="437">
        <v>45314</v>
      </c>
    </row>
    <row r="579" spans="1:3" x14ac:dyDescent="0.3">
      <c r="A579" t="s">
        <v>12</v>
      </c>
      <c r="B579" s="207">
        <v>51.6</v>
      </c>
      <c r="C579" s="437">
        <v>45314</v>
      </c>
    </row>
    <row r="580" spans="1:3" x14ac:dyDescent="0.3">
      <c r="A580" t="s">
        <v>13</v>
      </c>
      <c r="B580" s="207">
        <v>211.7</v>
      </c>
      <c r="C580" s="437">
        <v>45314</v>
      </c>
    </row>
    <row r="581" spans="1:3" x14ac:dyDescent="0.3">
      <c r="A581" t="s">
        <v>14</v>
      </c>
      <c r="B581" s="210">
        <v>148.19999999999999</v>
      </c>
      <c r="C581" s="437">
        <v>45314</v>
      </c>
    </row>
    <row r="582" spans="1:3" x14ac:dyDescent="0.3">
      <c r="A582" t="s">
        <v>17</v>
      </c>
      <c r="B582" s="207">
        <v>247.4</v>
      </c>
      <c r="C582" s="437">
        <v>45314</v>
      </c>
    </row>
    <row r="583" spans="1:3" x14ac:dyDescent="0.3">
      <c r="A583" t="s">
        <v>18</v>
      </c>
      <c r="B583" s="207">
        <v>284</v>
      </c>
      <c r="C583" s="437">
        <v>45314</v>
      </c>
    </row>
    <row r="584" spans="1:3" x14ac:dyDescent="0.3">
      <c r="A584" t="s">
        <v>110</v>
      </c>
      <c r="B584" s="207">
        <v>76.099999999999994</v>
      </c>
      <c r="C584" s="437">
        <v>45314</v>
      </c>
    </row>
    <row r="585" spans="1:3" x14ac:dyDescent="0.3">
      <c r="A585" t="s">
        <v>20</v>
      </c>
      <c r="B585" s="207">
        <v>246.1</v>
      </c>
      <c r="C585" s="437">
        <v>45314</v>
      </c>
    </row>
    <row r="586" spans="1:3" x14ac:dyDescent="0.3">
      <c r="A586" t="s">
        <v>22</v>
      </c>
      <c r="B586" s="207">
        <v>251.8</v>
      </c>
      <c r="C586" s="437">
        <v>45314</v>
      </c>
    </row>
    <row r="587" spans="1:3" x14ac:dyDescent="0.3">
      <c r="A587" t="s">
        <v>23</v>
      </c>
      <c r="B587" s="207">
        <v>274.7</v>
      </c>
      <c r="C587" s="437">
        <v>45314</v>
      </c>
    </row>
    <row r="588" spans="1:3" x14ac:dyDescent="0.3">
      <c r="A588" t="s">
        <v>24</v>
      </c>
      <c r="B588" s="207">
        <v>238.7</v>
      </c>
      <c r="C588" s="437">
        <v>45314</v>
      </c>
    </row>
    <row r="589" spans="1:3" x14ac:dyDescent="0.3">
      <c r="A589" t="s">
        <v>25</v>
      </c>
      <c r="B589" s="207">
        <v>316.8</v>
      </c>
      <c r="C589" s="437">
        <v>45314</v>
      </c>
    </row>
    <row r="590" spans="1:3" x14ac:dyDescent="0.3">
      <c r="A590" t="s">
        <v>26</v>
      </c>
      <c r="B590" s="208">
        <v>139</v>
      </c>
      <c r="C590" s="437">
        <v>45314</v>
      </c>
    </row>
    <row r="591" spans="1:3" x14ac:dyDescent="0.3">
      <c r="A591" t="s">
        <v>28</v>
      </c>
      <c r="B591" s="207">
        <v>329.1</v>
      </c>
      <c r="C591" s="437">
        <v>45314</v>
      </c>
    </row>
    <row r="592" spans="1:3" x14ac:dyDescent="0.3">
      <c r="A592" t="s">
        <v>29</v>
      </c>
      <c r="B592" s="207">
        <v>260</v>
      </c>
      <c r="C592" s="437">
        <v>45314</v>
      </c>
    </row>
    <row r="593" spans="1:3" x14ac:dyDescent="0.3">
      <c r="A593" t="s">
        <v>30</v>
      </c>
      <c r="B593" s="207">
        <v>1010</v>
      </c>
      <c r="C593" s="437">
        <v>45314</v>
      </c>
    </row>
    <row r="594" spans="1:3" x14ac:dyDescent="0.3">
      <c r="A594" t="s">
        <v>111</v>
      </c>
      <c r="B594" s="383">
        <v>86.1</v>
      </c>
      <c r="C594" s="437">
        <v>45314</v>
      </c>
    </row>
    <row r="595" spans="1:3" x14ac:dyDescent="0.3">
      <c r="A595" t="s">
        <v>32</v>
      </c>
      <c r="B595" s="230">
        <v>229.9</v>
      </c>
      <c r="C595" s="437">
        <v>45314</v>
      </c>
    </row>
    <row r="596" spans="1:3" x14ac:dyDescent="0.3">
      <c r="A596" t="s">
        <v>288</v>
      </c>
      <c r="B596" s="383">
        <v>96.8</v>
      </c>
      <c r="C596" s="437">
        <v>45314</v>
      </c>
    </row>
    <row r="597" spans="1:3" x14ac:dyDescent="0.3">
      <c r="A597" t="s">
        <v>112</v>
      </c>
      <c r="B597" s="383">
        <v>99.1</v>
      </c>
      <c r="C597" s="437">
        <v>45314</v>
      </c>
    </row>
    <row r="598" spans="1:3" x14ac:dyDescent="0.3">
      <c r="A598" t="s">
        <v>289</v>
      </c>
      <c r="B598" s="383">
        <v>91.4</v>
      </c>
      <c r="C598" s="437">
        <v>45314</v>
      </c>
    </row>
    <row r="599" spans="1:3" x14ac:dyDescent="0.3">
      <c r="A599" t="s">
        <v>291</v>
      </c>
      <c r="B599" s="386">
        <v>241.2</v>
      </c>
      <c r="C599" s="437">
        <v>45314</v>
      </c>
    </row>
    <row r="600" spans="1:3" x14ac:dyDescent="0.3">
      <c r="A600" t="s">
        <v>7</v>
      </c>
      <c r="B600" s="332">
        <v>25.2</v>
      </c>
      <c r="C600" s="437">
        <v>45315</v>
      </c>
    </row>
    <row r="601" spans="1:3" x14ac:dyDescent="0.3">
      <c r="A601" t="s">
        <v>8</v>
      </c>
      <c r="B601" s="18">
        <f>18.1+109.15</f>
        <v>127.25</v>
      </c>
      <c r="C601" s="437">
        <v>45315</v>
      </c>
    </row>
    <row r="602" spans="1:3" x14ac:dyDescent="0.3">
      <c r="A602" t="s">
        <v>9</v>
      </c>
      <c r="B602" s="18">
        <v>113.2</v>
      </c>
      <c r="C602" s="437">
        <v>45315</v>
      </c>
    </row>
    <row r="603" spans="1:3" x14ac:dyDescent="0.3">
      <c r="A603" t="s">
        <v>10</v>
      </c>
      <c r="B603" s="18">
        <v>63.7</v>
      </c>
      <c r="C603" s="437">
        <v>45315</v>
      </c>
    </row>
    <row r="604" spans="1:3" x14ac:dyDescent="0.3">
      <c r="A604" t="s">
        <v>11</v>
      </c>
      <c r="B604" s="18">
        <v>26</v>
      </c>
      <c r="C604" s="437">
        <v>45315</v>
      </c>
    </row>
    <row r="605" spans="1:3" x14ac:dyDescent="0.3">
      <c r="A605" t="s">
        <v>12</v>
      </c>
      <c r="B605" s="18">
        <v>54.1</v>
      </c>
      <c r="C605" s="437">
        <v>45315</v>
      </c>
    </row>
    <row r="606" spans="1:3" x14ac:dyDescent="0.3">
      <c r="A606" t="s">
        <v>13</v>
      </c>
      <c r="B606" s="18">
        <v>211.2</v>
      </c>
      <c r="C606" s="437">
        <v>45315</v>
      </c>
    </row>
    <row r="607" spans="1:3" x14ac:dyDescent="0.3">
      <c r="A607" t="s">
        <v>14</v>
      </c>
      <c r="B607" s="17">
        <v>144.69999999999999</v>
      </c>
      <c r="C607" s="437">
        <v>45315</v>
      </c>
    </row>
    <row r="608" spans="1:3" x14ac:dyDescent="0.3">
      <c r="A608" t="s">
        <v>17</v>
      </c>
      <c r="B608" s="18">
        <v>241.1</v>
      </c>
      <c r="C608" s="437">
        <v>45315</v>
      </c>
    </row>
    <row r="609" spans="1:3" x14ac:dyDescent="0.3">
      <c r="A609" t="s">
        <v>18</v>
      </c>
      <c r="B609" s="18">
        <v>280.2</v>
      </c>
      <c r="C609" s="437">
        <v>45315</v>
      </c>
    </row>
    <row r="610" spans="1:3" x14ac:dyDescent="0.3">
      <c r="A610" t="s">
        <v>110</v>
      </c>
      <c r="B610" s="18">
        <v>75.900000000000006</v>
      </c>
      <c r="C610" s="437">
        <v>45315</v>
      </c>
    </row>
    <row r="611" spans="1:3" x14ac:dyDescent="0.3">
      <c r="A611" t="s">
        <v>20</v>
      </c>
      <c r="B611" s="18">
        <v>253.8</v>
      </c>
      <c r="C611" s="437">
        <v>45315</v>
      </c>
    </row>
    <row r="612" spans="1:3" x14ac:dyDescent="0.3">
      <c r="A612" t="s">
        <v>22</v>
      </c>
      <c r="B612" s="18">
        <v>274.39999999999998</v>
      </c>
      <c r="C612" s="437">
        <v>45315</v>
      </c>
    </row>
    <row r="613" spans="1:3" x14ac:dyDescent="0.3">
      <c r="A613" t="s">
        <v>23</v>
      </c>
      <c r="B613" s="18">
        <v>302</v>
      </c>
      <c r="C613" s="437">
        <v>45315</v>
      </c>
    </row>
    <row r="614" spans="1:3" x14ac:dyDescent="0.3">
      <c r="A614" t="s">
        <v>24</v>
      </c>
      <c r="B614" s="18">
        <v>236.2</v>
      </c>
      <c r="C614" s="437">
        <v>45315</v>
      </c>
    </row>
    <row r="615" spans="1:3" x14ac:dyDescent="0.3">
      <c r="A615" t="s">
        <v>25</v>
      </c>
      <c r="B615" s="18">
        <v>313.5</v>
      </c>
      <c r="C615" s="437">
        <v>45315</v>
      </c>
    </row>
    <row r="616" spans="1:3" x14ac:dyDescent="0.3">
      <c r="A616" t="s">
        <v>26</v>
      </c>
      <c r="B616" s="321">
        <v>142.1</v>
      </c>
      <c r="C616" s="437">
        <v>45315</v>
      </c>
    </row>
    <row r="617" spans="1:3" x14ac:dyDescent="0.3">
      <c r="A617" t="s">
        <v>28</v>
      </c>
      <c r="B617" s="18">
        <v>420.8</v>
      </c>
      <c r="C617" s="437">
        <v>45315</v>
      </c>
    </row>
    <row r="618" spans="1:3" x14ac:dyDescent="0.3">
      <c r="A618" t="s">
        <v>29</v>
      </c>
      <c r="B618" s="18">
        <v>330.4</v>
      </c>
      <c r="C618" s="437">
        <v>45315</v>
      </c>
    </row>
    <row r="619" spans="1:3" x14ac:dyDescent="0.3">
      <c r="A619" t="s">
        <v>30</v>
      </c>
      <c r="B619" s="18">
        <v>1291.4000000000001</v>
      </c>
      <c r="C619" s="437">
        <v>45315</v>
      </c>
    </row>
    <row r="620" spans="1:3" x14ac:dyDescent="0.3">
      <c r="A620" t="s">
        <v>111</v>
      </c>
      <c r="B620" s="18">
        <v>367</v>
      </c>
      <c r="C620" s="437">
        <v>45315</v>
      </c>
    </row>
    <row r="621" spans="1:3" x14ac:dyDescent="0.3">
      <c r="A621" t="s">
        <v>32</v>
      </c>
      <c r="B621" s="320">
        <v>301.39999999999998</v>
      </c>
      <c r="C621" s="437">
        <v>45315</v>
      </c>
    </row>
    <row r="622" spans="1:3" x14ac:dyDescent="0.3">
      <c r="A622" t="s">
        <v>288</v>
      </c>
      <c r="B622" s="320">
        <v>0</v>
      </c>
      <c r="C622" s="437">
        <v>45315</v>
      </c>
    </row>
    <row r="623" spans="1:3" x14ac:dyDescent="0.3">
      <c r="A623" t="s">
        <v>112</v>
      </c>
      <c r="B623" s="320">
        <v>0</v>
      </c>
      <c r="C623" s="437">
        <v>45315</v>
      </c>
    </row>
    <row r="624" spans="1:3" x14ac:dyDescent="0.3">
      <c r="A624" t="s">
        <v>289</v>
      </c>
      <c r="B624" s="320">
        <v>0</v>
      </c>
      <c r="C624" s="437">
        <v>45315</v>
      </c>
    </row>
    <row r="625" spans="1:3" x14ac:dyDescent="0.3">
      <c r="A625" t="s">
        <v>291</v>
      </c>
      <c r="B625" s="320">
        <v>146.69999999999999</v>
      </c>
      <c r="C625" s="437">
        <v>45315</v>
      </c>
    </row>
    <row r="626" spans="1:3" x14ac:dyDescent="0.3">
      <c r="A626" t="s">
        <v>7</v>
      </c>
      <c r="B626" s="333">
        <v>48.1</v>
      </c>
      <c r="C626" s="437">
        <v>45316</v>
      </c>
    </row>
    <row r="627" spans="1:3" x14ac:dyDescent="0.3">
      <c r="A627" t="s">
        <v>8</v>
      </c>
      <c r="B627" s="20">
        <f>35+186</f>
        <v>221</v>
      </c>
      <c r="C627" s="437">
        <v>45316</v>
      </c>
    </row>
    <row r="628" spans="1:3" x14ac:dyDescent="0.3">
      <c r="A628" t="s">
        <v>9</v>
      </c>
      <c r="B628" s="323">
        <v>207</v>
      </c>
      <c r="C628" s="437">
        <v>45316</v>
      </c>
    </row>
    <row r="629" spans="1:3" x14ac:dyDescent="0.3">
      <c r="A629" t="s">
        <v>10</v>
      </c>
      <c r="B629" s="20">
        <v>115.4</v>
      </c>
      <c r="C629" s="437">
        <v>45316</v>
      </c>
    </row>
    <row r="630" spans="1:3" x14ac:dyDescent="0.3">
      <c r="A630" t="s">
        <v>11</v>
      </c>
      <c r="B630" s="323">
        <v>41.6</v>
      </c>
      <c r="C630" s="437">
        <v>45316</v>
      </c>
    </row>
    <row r="631" spans="1:3" x14ac:dyDescent="0.3">
      <c r="A631" t="s">
        <v>12</v>
      </c>
      <c r="B631" s="323">
        <v>85.9</v>
      </c>
      <c r="C631" s="437">
        <v>45316</v>
      </c>
    </row>
    <row r="632" spans="1:3" x14ac:dyDescent="0.3">
      <c r="A632" t="s">
        <v>13</v>
      </c>
      <c r="B632" s="323">
        <v>293.60000000000002</v>
      </c>
      <c r="C632" s="437">
        <v>45316</v>
      </c>
    </row>
    <row r="633" spans="1:3" x14ac:dyDescent="0.3">
      <c r="A633" t="s">
        <v>14</v>
      </c>
      <c r="B633" s="324">
        <v>226.1</v>
      </c>
      <c r="C633" s="437">
        <v>45316</v>
      </c>
    </row>
    <row r="634" spans="1:3" x14ac:dyDescent="0.3">
      <c r="A634" t="s">
        <v>17</v>
      </c>
      <c r="B634" s="323">
        <v>354.6</v>
      </c>
      <c r="C634" s="437">
        <v>45316</v>
      </c>
    </row>
    <row r="635" spans="1:3" x14ac:dyDescent="0.3">
      <c r="A635" t="s">
        <v>18</v>
      </c>
      <c r="B635" s="323">
        <v>389.3</v>
      </c>
      <c r="C635" s="437">
        <v>45316</v>
      </c>
    </row>
    <row r="636" spans="1:3" x14ac:dyDescent="0.3">
      <c r="A636" t="s">
        <v>110</v>
      </c>
      <c r="B636" s="323">
        <v>111.9</v>
      </c>
      <c r="C636" s="437">
        <v>45316</v>
      </c>
    </row>
    <row r="637" spans="1:3" x14ac:dyDescent="0.3">
      <c r="A637" t="s">
        <v>20</v>
      </c>
      <c r="B637" s="323">
        <v>442</v>
      </c>
      <c r="C637" s="437">
        <v>45316</v>
      </c>
    </row>
    <row r="638" spans="1:3" x14ac:dyDescent="0.3">
      <c r="A638" t="s">
        <v>22</v>
      </c>
      <c r="B638" s="20">
        <v>518.70000000000005</v>
      </c>
      <c r="C638" s="437">
        <v>45316</v>
      </c>
    </row>
    <row r="639" spans="1:3" x14ac:dyDescent="0.3">
      <c r="A639" t="s">
        <v>23</v>
      </c>
      <c r="B639" s="20">
        <v>558.29999999999995</v>
      </c>
      <c r="C639" s="437">
        <v>45316</v>
      </c>
    </row>
    <row r="640" spans="1:3" x14ac:dyDescent="0.3">
      <c r="A640" t="s">
        <v>24</v>
      </c>
      <c r="B640" s="20">
        <v>464.6</v>
      </c>
      <c r="C640" s="437">
        <v>45316</v>
      </c>
    </row>
    <row r="641" spans="1:3" x14ac:dyDescent="0.3">
      <c r="A641" t="s">
        <v>25</v>
      </c>
      <c r="B641" s="20">
        <v>583.4</v>
      </c>
      <c r="C641" s="437">
        <v>45316</v>
      </c>
    </row>
    <row r="642" spans="1:3" x14ac:dyDescent="0.3">
      <c r="A642" t="s">
        <v>26</v>
      </c>
      <c r="B642" s="366">
        <v>228.7</v>
      </c>
      <c r="C642" s="437">
        <v>45316</v>
      </c>
    </row>
    <row r="643" spans="1:3" x14ac:dyDescent="0.3">
      <c r="A643" t="s">
        <v>28</v>
      </c>
      <c r="B643" s="20">
        <v>594.79999999999995</v>
      </c>
      <c r="C643" s="437">
        <v>45316</v>
      </c>
    </row>
    <row r="644" spans="1:3" x14ac:dyDescent="0.3">
      <c r="A644" t="s">
        <v>29</v>
      </c>
      <c r="B644" s="20">
        <v>503.4</v>
      </c>
      <c r="C644" s="437">
        <v>45316</v>
      </c>
    </row>
    <row r="645" spans="1:3" x14ac:dyDescent="0.3">
      <c r="A645" t="s">
        <v>30</v>
      </c>
      <c r="B645" s="366">
        <v>826.8</v>
      </c>
      <c r="C645" s="437">
        <v>45316</v>
      </c>
    </row>
    <row r="646" spans="1:3" x14ac:dyDescent="0.3">
      <c r="A646" t="s">
        <v>111</v>
      </c>
      <c r="B646" s="20">
        <v>500.5</v>
      </c>
      <c r="C646" s="437">
        <v>45316</v>
      </c>
    </row>
    <row r="647" spans="1:3" x14ac:dyDescent="0.3">
      <c r="A647" t="s">
        <v>32</v>
      </c>
      <c r="B647" s="20">
        <v>470.8</v>
      </c>
      <c r="C647" s="437">
        <v>45316</v>
      </c>
    </row>
    <row r="648" spans="1:3" x14ac:dyDescent="0.3">
      <c r="A648" t="s">
        <v>288</v>
      </c>
      <c r="B648" s="323">
        <v>424</v>
      </c>
      <c r="C648" s="437">
        <v>45316</v>
      </c>
    </row>
    <row r="649" spans="1:3" x14ac:dyDescent="0.3">
      <c r="A649" t="s">
        <v>112</v>
      </c>
      <c r="B649" s="387">
        <v>419</v>
      </c>
      <c r="C649" s="437">
        <v>45316</v>
      </c>
    </row>
    <row r="650" spans="1:3" x14ac:dyDescent="0.3">
      <c r="A650" t="s">
        <v>289</v>
      </c>
      <c r="B650" s="323">
        <v>422.7</v>
      </c>
      <c r="C650" s="437">
        <v>45316</v>
      </c>
    </row>
    <row r="651" spans="1:3" x14ac:dyDescent="0.3">
      <c r="A651" t="s">
        <v>291</v>
      </c>
      <c r="B651" s="323">
        <v>469.2</v>
      </c>
      <c r="C651" s="437">
        <v>45316</v>
      </c>
    </row>
    <row r="652" spans="1:3" x14ac:dyDescent="0.3">
      <c r="A652" t="s">
        <v>7</v>
      </c>
      <c r="B652" s="104">
        <v>60.7</v>
      </c>
      <c r="C652" s="437">
        <v>45317</v>
      </c>
    </row>
    <row r="653" spans="1:3" x14ac:dyDescent="0.3">
      <c r="A653" t="s">
        <v>8</v>
      </c>
      <c r="B653" s="31">
        <f>61.5+255.1</f>
        <v>316.60000000000002</v>
      </c>
      <c r="C653" s="437">
        <v>45317</v>
      </c>
    </row>
    <row r="654" spans="1:3" x14ac:dyDescent="0.3">
      <c r="A654" t="s">
        <v>9</v>
      </c>
      <c r="B654" s="15">
        <v>254</v>
      </c>
      <c r="C654" s="437">
        <v>45317</v>
      </c>
    </row>
    <row r="655" spans="1:3" x14ac:dyDescent="0.3">
      <c r="A655" t="s">
        <v>10</v>
      </c>
      <c r="B655" s="15">
        <v>141.30000000000001</v>
      </c>
      <c r="C655" s="437">
        <v>45317</v>
      </c>
    </row>
    <row r="656" spans="1:3" x14ac:dyDescent="0.3">
      <c r="A656" t="s">
        <v>11</v>
      </c>
      <c r="B656" s="15">
        <v>50.2</v>
      </c>
      <c r="C656" s="437">
        <v>45317</v>
      </c>
    </row>
    <row r="657" spans="1:3" x14ac:dyDescent="0.3">
      <c r="A657" t="s">
        <v>12</v>
      </c>
      <c r="B657" s="15">
        <v>101.1</v>
      </c>
      <c r="C657" s="437">
        <v>45317</v>
      </c>
    </row>
    <row r="658" spans="1:3" x14ac:dyDescent="0.3">
      <c r="A658" t="s">
        <v>13</v>
      </c>
      <c r="B658" s="221">
        <v>361.1</v>
      </c>
      <c r="C658" s="437">
        <v>45317</v>
      </c>
    </row>
    <row r="659" spans="1:3" x14ac:dyDescent="0.3">
      <c r="A659" t="s">
        <v>14</v>
      </c>
      <c r="B659" s="16">
        <v>243.2</v>
      </c>
      <c r="C659" s="437">
        <v>45317</v>
      </c>
    </row>
    <row r="660" spans="1:3" x14ac:dyDescent="0.3">
      <c r="A660" t="s">
        <v>17</v>
      </c>
      <c r="B660" s="15">
        <v>425.1</v>
      </c>
      <c r="C660" s="437">
        <v>45317</v>
      </c>
    </row>
    <row r="661" spans="1:3" x14ac:dyDescent="0.3">
      <c r="A661" t="s">
        <v>18</v>
      </c>
      <c r="B661" s="221">
        <v>478.3</v>
      </c>
      <c r="C661" s="437">
        <v>45317</v>
      </c>
    </row>
    <row r="662" spans="1:3" x14ac:dyDescent="0.3">
      <c r="A662" t="s">
        <v>110</v>
      </c>
      <c r="B662" s="221">
        <v>143.4</v>
      </c>
      <c r="C662" s="437">
        <v>45317</v>
      </c>
    </row>
    <row r="663" spans="1:3" x14ac:dyDescent="0.3">
      <c r="A663" t="s">
        <v>20</v>
      </c>
      <c r="B663" s="15">
        <v>427.9</v>
      </c>
      <c r="C663" s="437">
        <v>45317</v>
      </c>
    </row>
    <row r="664" spans="1:3" x14ac:dyDescent="0.3">
      <c r="A664" t="s">
        <v>22</v>
      </c>
      <c r="B664" s="15">
        <v>573</v>
      </c>
      <c r="C664" s="437">
        <v>45317</v>
      </c>
    </row>
    <row r="665" spans="1:3" x14ac:dyDescent="0.3">
      <c r="A665" t="s">
        <v>23</v>
      </c>
      <c r="B665" s="15">
        <v>615.79999999999995</v>
      </c>
      <c r="C665" s="437">
        <v>45317</v>
      </c>
    </row>
    <row r="666" spans="1:3" x14ac:dyDescent="0.3">
      <c r="A666" t="s">
        <v>24</v>
      </c>
      <c r="B666" s="15">
        <v>493.6</v>
      </c>
      <c r="C666" s="437">
        <v>45317</v>
      </c>
    </row>
    <row r="667" spans="1:3" x14ac:dyDescent="0.3">
      <c r="A667" t="s">
        <v>25</v>
      </c>
      <c r="B667" s="15">
        <v>611.70000000000005</v>
      </c>
      <c r="C667" s="437">
        <v>45317</v>
      </c>
    </row>
    <row r="668" spans="1:3" x14ac:dyDescent="0.3">
      <c r="A668" t="s">
        <v>26</v>
      </c>
      <c r="B668" s="354">
        <v>218</v>
      </c>
      <c r="C668" s="437">
        <v>45317</v>
      </c>
    </row>
    <row r="669" spans="1:3" x14ac:dyDescent="0.3">
      <c r="A669" t="s">
        <v>28</v>
      </c>
      <c r="B669" s="15">
        <v>649.6</v>
      </c>
      <c r="C669" s="437">
        <v>45317</v>
      </c>
    </row>
    <row r="670" spans="1:3" x14ac:dyDescent="0.3">
      <c r="A670" t="s">
        <v>29</v>
      </c>
      <c r="B670" s="15">
        <v>563.1</v>
      </c>
      <c r="C670" s="437">
        <v>45317</v>
      </c>
    </row>
    <row r="671" spans="1:3" x14ac:dyDescent="0.3">
      <c r="A671" t="s">
        <v>30</v>
      </c>
      <c r="B671" s="354">
        <v>1.4</v>
      </c>
      <c r="C671" s="437">
        <v>45317</v>
      </c>
    </row>
    <row r="672" spans="1:3" x14ac:dyDescent="0.3">
      <c r="A672" t="s">
        <v>111</v>
      </c>
      <c r="B672" s="15">
        <v>585.20000000000005</v>
      </c>
      <c r="C672" s="437">
        <v>45317</v>
      </c>
    </row>
    <row r="673" spans="1:3" x14ac:dyDescent="0.3">
      <c r="A673" t="s">
        <v>32</v>
      </c>
      <c r="B673" s="15">
        <v>467</v>
      </c>
      <c r="C673" s="437">
        <v>45317</v>
      </c>
    </row>
    <row r="674" spans="1:3" x14ac:dyDescent="0.3">
      <c r="A674" t="s">
        <v>288</v>
      </c>
      <c r="B674" s="283">
        <v>356.5</v>
      </c>
      <c r="C674" s="437">
        <v>45317</v>
      </c>
    </row>
    <row r="675" spans="1:3" x14ac:dyDescent="0.3">
      <c r="A675" t="s">
        <v>112</v>
      </c>
      <c r="B675" s="355">
        <v>360</v>
      </c>
      <c r="C675" s="437">
        <v>45317</v>
      </c>
    </row>
    <row r="676" spans="1:3" x14ac:dyDescent="0.3">
      <c r="A676" t="s">
        <v>289</v>
      </c>
      <c r="B676" s="283">
        <v>347.2</v>
      </c>
      <c r="C676" s="437">
        <v>45317</v>
      </c>
    </row>
    <row r="677" spans="1:3" x14ac:dyDescent="0.3">
      <c r="A677" t="s">
        <v>291</v>
      </c>
      <c r="B677" s="15">
        <v>474</v>
      </c>
      <c r="C677" s="437">
        <v>45317</v>
      </c>
    </row>
    <row r="678" spans="1:3" x14ac:dyDescent="0.3">
      <c r="A678" t="s">
        <v>7</v>
      </c>
      <c r="B678" s="104">
        <v>40.4</v>
      </c>
      <c r="C678" s="437">
        <v>45318</v>
      </c>
    </row>
    <row r="679" spans="1:3" x14ac:dyDescent="0.3">
      <c r="A679" t="s">
        <v>8</v>
      </c>
      <c r="B679" s="15">
        <f>179.2+43.9</f>
        <v>223.1</v>
      </c>
      <c r="C679" s="437">
        <v>45318</v>
      </c>
    </row>
    <row r="680" spans="1:3" x14ac:dyDescent="0.3">
      <c r="A680" t="s">
        <v>9</v>
      </c>
      <c r="B680" s="15">
        <v>174.8</v>
      </c>
      <c r="C680" s="437">
        <v>45318</v>
      </c>
    </row>
    <row r="681" spans="1:3" x14ac:dyDescent="0.3">
      <c r="A681" t="s">
        <v>10</v>
      </c>
      <c r="B681" s="15">
        <v>100.3</v>
      </c>
      <c r="C681" s="437">
        <v>45318</v>
      </c>
    </row>
    <row r="682" spans="1:3" x14ac:dyDescent="0.3">
      <c r="A682" t="s">
        <v>11</v>
      </c>
      <c r="B682" s="15">
        <v>38.1</v>
      </c>
      <c r="C682" s="437">
        <v>45318</v>
      </c>
    </row>
    <row r="683" spans="1:3" x14ac:dyDescent="0.3">
      <c r="A683" t="s">
        <v>12</v>
      </c>
      <c r="B683" s="15">
        <v>76.099999999999994</v>
      </c>
      <c r="C683" s="437">
        <v>45318</v>
      </c>
    </row>
    <row r="684" spans="1:3" x14ac:dyDescent="0.3">
      <c r="A684" t="s">
        <v>13</v>
      </c>
      <c r="B684" s="15">
        <v>301</v>
      </c>
      <c r="C684" s="437">
        <v>45318</v>
      </c>
    </row>
    <row r="685" spans="1:3" x14ac:dyDescent="0.3">
      <c r="A685" t="s">
        <v>14</v>
      </c>
      <c r="B685" s="16">
        <v>197.2</v>
      </c>
      <c r="C685" s="437">
        <v>45318</v>
      </c>
    </row>
    <row r="686" spans="1:3" x14ac:dyDescent="0.3">
      <c r="A686" t="s">
        <v>17</v>
      </c>
      <c r="B686" s="15">
        <v>314.7</v>
      </c>
      <c r="C686" s="437">
        <v>45318</v>
      </c>
    </row>
    <row r="687" spans="1:3" x14ac:dyDescent="0.3">
      <c r="A687" t="s">
        <v>18</v>
      </c>
      <c r="B687" s="15">
        <v>396.2</v>
      </c>
      <c r="C687" s="437">
        <v>45318</v>
      </c>
    </row>
    <row r="688" spans="1:3" x14ac:dyDescent="0.3">
      <c r="A688" t="s">
        <v>110</v>
      </c>
      <c r="B688" s="221">
        <v>114.6</v>
      </c>
      <c r="C688" s="437">
        <v>45318</v>
      </c>
    </row>
    <row r="689" spans="1:3" x14ac:dyDescent="0.3">
      <c r="A689" t="s">
        <v>20</v>
      </c>
      <c r="B689" s="15">
        <v>374</v>
      </c>
      <c r="C689" s="437">
        <v>45318</v>
      </c>
    </row>
    <row r="690" spans="1:3" x14ac:dyDescent="0.3">
      <c r="A690" t="s">
        <v>22</v>
      </c>
      <c r="B690" s="283">
        <v>325</v>
      </c>
      <c r="C690" s="437">
        <v>45318</v>
      </c>
    </row>
    <row r="691" spans="1:3" x14ac:dyDescent="0.3">
      <c r="A691" t="s">
        <v>23</v>
      </c>
      <c r="B691" s="283">
        <v>365.3</v>
      </c>
      <c r="C691" s="437">
        <v>45318</v>
      </c>
    </row>
    <row r="692" spans="1:3" x14ac:dyDescent="0.3">
      <c r="A692" t="s">
        <v>24</v>
      </c>
      <c r="B692" s="283">
        <v>291.3</v>
      </c>
      <c r="C692" s="437">
        <v>45318</v>
      </c>
    </row>
    <row r="693" spans="1:3" x14ac:dyDescent="0.3">
      <c r="A693" t="s">
        <v>25</v>
      </c>
      <c r="B693" s="283">
        <v>379.2</v>
      </c>
      <c r="C693" s="437">
        <v>45318</v>
      </c>
    </row>
    <row r="694" spans="1:3" x14ac:dyDescent="0.3">
      <c r="A694" t="s">
        <v>26</v>
      </c>
      <c r="B694" s="282">
        <v>108.4</v>
      </c>
      <c r="C694" s="437">
        <v>45318</v>
      </c>
    </row>
    <row r="695" spans="1:3" x14ac:dyDescent="0.3">
      <c r="A695" t="s">
        <v>28</v>
      </c>
      <c r="B695" s="221">
        <v>455.8</v>
      </c>
      <c r="C695" s="437">
        <v>45318</v>
      </c>
    </row>
    <row r="696" spans="1:3" x14ac:dyDescent="0.3">
      <c r="A696" t="s">
        <v>29</v>
      </c>
      <c r="B696" s="15">
        <v>375.7</v>
      </c>
      <c r="C696" s="437">
        <v>45318</v>
      </c>
    </row>
    <row r="697" spans="1:3" x14ac:dyDescent="0.3">
      <c r="A697" t="s">
        <v>30</v>
      </c>
      <c r="B697" s="15">
        <v>1430</v>
      </c>
      <c r="C697" s="437">
        <v>45318</v>
      </c>
    </row>
    <row r="698" spans="1:3" x14ac:dyDescent="0.3">
      <c r="A698" t="s">
        <v>111</v>
      </c>
      <c r="B698" s="15">
        <v>458.8</v>
      </c>
      <c r="C698" s="437">
        <v>45318</v>
      </c>
    </row>
    <row r="699" spans="1:3" x14ac:dyDescent="0.3">
      <c r="A699" t="s">
        <v>32</v>
      </c>
      <c r="B699" s="221">
        <v>447.6</v>
      </c>
      <c r="C699" s="437">
        <v>45318</v>
      </c>
    </row>
    <row r="700" spans="1:3" x14ac:dyDescent="0.3">
      <c r="A700" t="s">
        <v>288</v>
      </c>
      <c r="B700" s="221">
        <v>398.4</v>
      </c>
      <c r="C700" s="437">
        <v>45318</v>
      </c>
    </row>
    <row r="701" spans="1:3" x14ac:dyDescent="0.3">
      <c r="A701" t="s">
        <v>112</v>
      </c>
      <c r="B701" s="388">
        <v>375</v>
      </c>
      <c r="C701" s="437">
        <v>45318</v>
      </c>
    </row>
    <row r="702" spans="1:3" x14ac:dyDescent="0.3">
      <c r="A702" t="s">
        <v>289</v>
      </c>
      <c r="B702" s="221">
        <v>397.5</v>
      </c>
      <c r="C702" s="437">
        <v>45318</v>
      </c>
    </row>
    <row r="703" spans="1:3" x14ac:dyDescent="0.3">
      <c r="A703" t="s">
        <v>291</v>
      </c>
      <c r="B703" s="221">
        <v>395.9</v>
      </c>
      <c r="C703" s="437">
        <v>45318</v>
      </c>
    </row>
    <row r="704" spans="1:3" x14ac:dyDescent="0.3">
      <c r="A704" t="s">
        <v>7</v>
      </c>
      <c r="B704" s="104">
        <v>41.6</v>
      </c>
      <c r="C704" s="437">
        <v>45319</v>
      </c>
    </row>
    <row r="705" spans="1:3" x14ac:dyDescent="0.3">
      <c r="A705" t="s">
        <v>8</v>
      </c>
      <c r="B705" s="15">
        <f>45.5+185.5</f>
        <v>231</v>
      </c>
      <c r="C705" s="437">
        <v>45319</v>
      </c>
    </row>
    <row r="706" spans="1:3" x14ac:dyDescent="0.3">
      <c r="A706" t="s">
        <v>9</v>
      </c>
      <c r="B706" s="15">
        <v>181.9</v>
      </c>
      <c r="C706" s="437">
        <v>45319</v>
      </c>
    </row>
    <row r="707" spans="1:3" x14ac:dyDescent="0.3">
      <c r="A707" t="s">
        <v>10</v>
      </c>
      <c r="B707" s="15">
        <v>102.7</v>
      </c>
      <c r="C707" s="437">
        <v>45319</v>
      </c>
    </row>
    <row r="708" spans="1:3" x14ac:dyDescent="0.3">
      <c r="A708" t="s">
        <v>11</v>
      </c>
      <c r="B708" s="15">
        <v>37.1</v>
      </c>
      <c r="C708" s="437">
        <v>45319</v>
      </c>
    </row>
    <row r="709" spans="1:3" x14ac:dyDescent="0.3">
      <c r="A709" t="s">
        <v>12</v>
      </c>
      <c r="B709" s="15">
        <v>75.8</v>
      </c>
      <c r="C709" s="437">
        <v>45319</v>
      </c>
    </row>
    <row r="710" spans="1:3" x14ac:dyDescent="0.3">
      <c r="A710" t="s">
        <v>13</v>
      </c>
      <c r="B710" s="221">
        <v>273.7</v>
      </c>
      <c r="C710" s="437">
        <v>45319</v>
      </c>
    </row>
    <row r="711" spans="1:3" x14ac:dyDescent="0.3">
      <c r="A711" t="s">
        <v>14</v>
      </c>
      <c r="B711" s="16">
        <v>208.9</v>
      </c>
      <c r="C711" s="437">
        <v>45319</v>
      </c>
    </row>
    <row r="712" spans="1:3" x14ac:dyDescent="0.3">
      <c r="A712" t="s">
        <v>17</v>
      </c>
      <c r="B712" s="15">
        <v>322.39999999999998</v>
      </c>
      <c r="C712" s="437">
        <v>45319</v>
      </c>
    </row>
    <row r="713" spans="1:3" x14ac:dyDescent="0.3">
      <c r="A713" t="s">
        <v>18</v>
      </c>
      <c r="B713" s="15">
        <v>359.8</v>
      </c>
      <c r="C713" s="437">
        <v>45319</v>
      </c>
    </row>
    <row r="714" spans="1:3" x14ac:dyDescent="0.3">
      <c r="A714" t="s">
        <v>110</v>
      </c>
      <c r="B714" s="15">
        <v>100</v>
      </c>
      <c r="C714" s="437">
        <v>45319</v>
      </c>
    </row>
    <row r="715" spans="1:3" x14ac:dyDescent="0.3">
      <c r="A715" t="s">
        <v>20</v>
      </c>
      <c r="B715" s="15">
        <v>350.4</v>
      </c>
      <c r="C715" s="437">
        <v>45319</v>
      </c>
    </row>
    <row r="716" spans="1:3" x14ac:dyDescent="0.3">
      <c r="A716" t="s">
        <v>22</v>
      </c>
      <c r="B716" s="15">
        <v>294.3</v>
      </c>
      <c r="C716" s="437">
        <v>45319</v>
      </c>
    </row>
    <row r="717" spans="1:3" x14ac:dyDescent="0.3">
      <c r="A717" t="s">
        <v>23</v>
      </c>
      <c r="B717" s="15">
        <v>331.9</v>
      </c>
      <c r="C717" s="437">
        <v>45319</v>
      </c>
    </row>
    <row r="718" spans="1:3" x14ac:dyDescent="0.3">
      <c r="A718" t="s">
        <v>24</v>
      </c>
      <c r="B718" s="221">
        <v>247.6</v>
      </c>
      <c r="C718" s="437">
        <v>45319</v>
      </c>
    </row>
    <row r="719" spans="1:3" x14ac:dyDescent="0.3">
      <c r="A719" t="s">
        <v>25</v>
      </c>
      <c r="B719" s="221">
        <v>316.89999999999998</v>
      </c>
      <c r="C719" s="437">
        <v>45319</v>
      </c>
    </row>
    <row r="720" spans="1:3" x14ac:dyDescent="0.3">
      <c r="A720" t="s">
        <v>26</v>
      </c>
      <c r="B720" s="354">
        <v>135.30000000000001</v>
      </c>
      <c r="C720" s="437">
        <v>45319</v>
      </c>
    </row>
    <row r="721" spans="1:3" x14ac:dyDescent="0.3">
      <c r="A721" t="s">
        <v>28</v>
      </c>
      <c r="B721" s="15">
        <v>440.7</v>
      </c>
      <c r="C721" s="437">
        <v>45319</v>
      </c>
    </row>
    <row r="722" spans="1:3" x14ac:dyDescent="0.3">
      <c r="A722" t="s">
        <v>29</v>
      </c>
      <c r="B722" s="15">
        <v>346.3</v>
      </c>
      <c r="C722" s="437">
        <v>45319</v>
      </c>
    </row>
    <row r="723" spans="1:3" x14ac:dyDescent="0.3">
      <c r="A723" t="s">
        <v>30</v>
      </c>
      <c r="B723" s="15">
        <v>1350</v>
      </c>
      <c r="C723" s="437">
        <v>45319</v>
      </c>
    </row>
    <row r="724" spans="1:3" x14ac:dyDescent="0.3">
      <c r="A724" t="s">
        <v>111</v>
      </c>
      <c r="B724" s="15">
        <v>407.8</v>
      </c>
      <c r="C724" s="437">
        <v>45319</v>
      </c>
    </row>
    <row r="725" spans="1:3" x14ac:dyDescent="0.3">
      <c r="A725" t="s">
        <v>32</v>
      </c>
      <c r="B725" s="15">
        <v>438.5</v>
      </c>
      <c r="C725" s="437">
        <v>45319</v>
      </c>
    </row>
    <row r="726" spans="1:3" x14ac:dyDescent="0.3">
      <c r="A726" t="s">
        <v>288</v>
      </c>
      <c r="B726" s="354">
        <v>300</v>
      </c>
      <c r="C726" s="437">
        <v>45319</v>
      </c>
    </row>
    <row r="727" spans="1:3" x14ac:dyDescent="0.3">
      <c r="A727" t="s">
        <v>112</v>
      </c>
      <c r="B727" s="354">
        <v>312.3</v>
      </c>
      <c r="C727" s="437">
        <v>45319</v>
      </c>
    </row>
    <row r="728" spans="1:3" x14ac:dyDescent="0.3">
      <c r="A728" t="s">
        <v>289</v>
      </c>
      <c r="B728" s="389">
        <v>306.60000000000002</v>
      </c>
      <c r="C728" s="437">
        <v>45319</v>
      </c>
    </row>
    <row r="729" spans="1:3" x14ac:dyDescent="0.3">
      <c r="A729" t="s">
        <v>291</v>
      </c>
      <c r="B729" s="15">
        <v>356.2</v>
      </c>
      <c r="C729" s="437">
        <v>45319</v>
      </c>
    </row>
    <row r="730" spans="1:3" x14ac:dyDescent="0.3">
      <c r="A730" t="s">
        <v>7</v>
      </c>
      <c r="B730" s="104">
        <v>58.3</v>
      </c>
      <c r="C730" s="437">
        <v>45320</v>
      </c>
    </row>
    <row r="731" spans="1:3" x14ac:dyDescent="0.3">
      <c r="A731" t="s">
        <v>8</v>
      </c>
      <c r="B731" s="15">
        <f>64.1+265.8</f>
        <v>329.9</v>
      </c>
      <c r="C731" s="437">
        <v>45320</v>
      </c>
    </row>
    <row r="732" spans="1:3" x14ac:dyDescent="0.3">
      <c r="A732" t="s">
        <v>9</v>
      </c>
      <c r="B732" s="15">
        <v>243.6</v>
      </c>
      <c r="C732" s="437">
        <v>45320</v>
      </c>
    </row>
    <row r="733" spans="1:3" x14ac:dyDescent="0.3">
      <c r="A733" t="s">
        <v>10</v>
      </c>
      <c r="B733" s="15">
        <v>129.30000000000001</v>
      </c>
      <c r="C733" s="437">
        <v>45320</v>
      </c>
    </row>
    <row r="734" spans="1:3" x14ac:dyDescent="0.3">
      <c r="A734" t="s">
        <v>11</v>
      </c>
      <c r="B734" s="15">
        <v>52.6</v>
      </c>
      <c r="C734" s="437">
        <v>45320</v>
      </c>
    </row>
    <row r="735" spans="1:3" x14ac:dyDescent="0.3">
      <c r="A735" t="s">
        <v>12</v>
      </c>
      <c r="B735" s="15">
        <v>108.8</v>
      </c>
      <c r="C735" s="437">
        <v>45320</v>
      </c>
    </row>
    <row r="736" spans="1:3" x14ac:dyDescent="0.3">
      <c r="A736" t="s">
        <v>13</v>
      </c>
      <c r="B736" s="15">
        <v>386</v>
      </c>
      <c r="C736" s="437">
        <v>45320</v>
      </c>
    </row>
    <row r="737" spans="1:3" x14ac:dyDescent="0.3">
      <c r="A737" t="s">
        <v>14</v>
      </c>
      <c r="B737" s="16">
        <v>278.8</v>
      </c>
      <c r="C737" s="437">
        <v>45320</v>
      </c>
    </row>
    <row r="738" spans="1:3" x14ac:dyDescent="0.3">
      <c r="A738" t="s">
        <v>17</v>
      </c>
      <c r="B738" s="15">
        <v>444.6</v>
      </c>
      <c r="C738" s="437">
        <v>45320</v>
      </c>
    </row>
    <row r="739" spans="1:3" x14ac:dyDescent="0.3">
      <c r="A739" t="s">
        <v>18</v>
      </c>
      <c r="B739" s="15">
        <v>541.20000000000005</v>
      </c>
      <c r="C739" s="437">
        <v>45320</v>
      </c>
    </row>
    <row r="740" spans="1:3" x14ac:dyDescent="0.3">
      <c r="A740" t="s">
        <v>110</v>
      </c>
      <c r="B740" s="15">
        <v>156.30000000000001</v>
      </c>
      <c r="C740" s="437">
        <v>45320</v>
      </c>
    </row>
    <row r="741" spans="1:3" x14ac:dyDescent="0.3">
      <c r="A741" t="s">
        <v>20</v>
      </c>
      <c r="B741" s="15">
        <v>515.70000000000005</v>
      </c>
      <c r="C741" s="437">
        <v>45320</v>
      </c>
    </row>
    <row r="742" spans="1:3" x14ac:dyDescent="0.3">
      <c r="A742" t="s">
        <v>22</v>
      </c>
      <c r="B742" s="15">
        <v>533.6</v>
      </c>
      <c r="C742" s="437">
        <v>45320</v>
      </c>
    </row>
    <row r="743" spans="1:3" x14ac:dyDescent="0.3">
      <c r="A743" t="s">
        <v>23</v>
      </c>
      <c r="B743" s="15">
        <v>582.70000000000005</v>
      </c>
      <c r="C743" s="437">
        <v>45320</v>
      </c>
    </row>
    <row r="744" spans="1:3" x14ac:dyDescent="0.3">
      <c r="A744" t="s">
        <v>24</v>
      </c>
      <c r="B744" s="15">
        <v>461.7</v>
      </c>
      <c r="C744" s="437">
        <v>45320</v>
      </c>
    </row>
    <row r="745" spans="1:3" x14ac:dyDescent="0.3">
      <c r="A745" t="s">
        <v>25</v>
      </c>
      <c r="B745" s="15">
        <v>572.79999999999995</v>
      </c>
      <c r="C745" s="437">
        <v>45320</v>
      </c>
    </row>
    <row r="746" spans="1:3" x14ac:dyDescent="0.3">
      <c r="A746" t="s">
        <v>26</v>
      </c>
      <c r="B746" s="354">
        <v>191.1</v>
      </c>
      <c r="C746" s="437">
        <v>45320</v>
      </c>
    </row>
    <row r="747" spans="1:3" x14ac:dyDescent="0.3">
      <c r="A747" t="s">
        <v>28</v>
      </c>
      <c r="B747" s="15">
        <v>617.4</v>
      </c>
      <c r="C747" s="437">
        <v>45320</v>
      </c>
    </row>
    <row r="748" spans="1:3" x14ac:dyDescent="0.3">
      <c r="A748" t="s">
        <v>29</v>
      </c>
      <c r="B748" s="15">
        <v>544.5</v>
      </c>
      <c r="C748" s="437">
        <v>45320</v>
      </c>
    </row>
    <row r="749" spans="1:3" x14ac:dyDescent="0.3">
      <c r="A749" t="s">
        <v>30</v>
      </c>
      <c r="B749" s="15">
        <v>2060</v>
      </c>
      <c r="C749" s="437">
        <v>45320</v>
      </c>
    </row>
    <row r="750" spans="1:3" x14ac:dyDescent="0.3">
      <c r="A750" t="s">
        <v>111</v>
      </c>
      <c r="B750" s="15">
        <v>567.29999999999995</v>
      </c>
      <c r="C750" s="437">
        <v>45320</v>
      </c>
    </row>
    <row r="751" spans="1:3" x14ac:dyDescent="0.3">
      <c r="A751" t="s">
        <v>32</v>
      </c>
      <c r="B751" s="283">
        <v>551.70000000000005</v>
      </c>
      <c r="C751" s="437">
        <v>45320</v>
      </c>
    </row>
    <row r="752" spans="1:3" x14ac:dyDescent="0.3">
      <c r="A752" t="s">
        <v>288</v>
      </c>
      <c r="B752" s="15">
        <v>517.9</v>
      </c>
      <c r="C752" s="437">
        <v>45320</v>
      </c>
    </row>
    <row r="753" spans="1:3" x14ac:dyDescent="0.3">
      <c r="A753" t="s">
        <v>112</v>
      </c>
      <c r="B753" s="15">
        <v>512.1</v>
      </c>
      <c r="C753" s="437">
        <v>45320</v>
      </c>
    </row>
    <row r="754" spans="1:3" x14ac:dyDescent="0.3">
      <c r="A754" t="s">
        <v>289</v>
      </c>
      <c r="B754" s="15">
        <v>517.1</v>
      </c>
      <c r="C754" s="437">
        <v>45320</v>
      </c>
    </row>
    <row r="755" spans="1:3" x14ac:dyDescent="0.3">
      <c r="A755" t="s">
        <v>291</v>
      </c>
      <c r="B755" s="15">
        <v>535</v>
      </c>
      <c r="C755" s="437">
        <v>45320</v>
      </c>
    </row>
    <row r="756" spans="1:3" x14ac:dyDescent="0.3">
      <c r="A756" t="s">
        <v>7</v>
      </c>
      <c r="B756" s="104">
        <v>45.3</v>
      </c>
      <c r="C756" s="437">
        <v>45321</v>
      </c>
    </row>
    <row r="757" spans="1:3" x14ac:dyDescent="0.3">
      <c r="A757" t="s">
        <v>8</v>
      </c>
      <c r="B757" s="15">
        <f>49.5+202.4</f>
        <v>251.9</v>
      </c>
      <c r="C757" s="437">
        <v>45321</v>
      </c>
    </row>
    <row r="758" spans="1:3" x14ac:dyDescent="0.3">
      <c r="A758" t="s">
        <v>9</v>
      </c>
      <c r="B758" s="15">
        <v>198.5</v>
      </c>
      <c r="C758" s="437">
        <v>45321</v>
      </c>
    </row>
    <row r="759" spans="1:3" x14ac:dyDescent="0.3">
      <c r="A759" t="s">
        <v>10</v>
      </c>
      <c r="B759" s="15">
        <v>109.5</v>
      </c>
      <c r="C759" s="437">
        <v>45321</v>
      </c>
    </row>
    <row r="760" spans="1:3" x14ac:dyDescent="0.3">
      <c r="A760" t="s">
        <v>11</v>
      </c>
      <c r="B760" s="15">
        <v>41.4</v>
      </c>
      <c r="C760" s="437">
        <v>45321</v>
      </c>
    </row>
    <row r="761" spans="1:3" x14ac:dyDescent="0.3">
      <c r="A761" t="s">
        <v>12</v>
      </c>
      <c r="B761" s="15">
        <v>88</v>
      </c>
      <c r="C761" s="437">
        <v>45321</v>
      </c>
    </row>
    <row r="762" spans="1:3" x14ac:dyDescent="0.3">
      <c r="A762" t="s">
        <v>13</v>
      </c>
      <c r="B762" s="15">
        <v>341.2</v>
      </c>
      <c r="C762" s="437">
        <v>45321</v>
      </c>
    </row>
    <row r="763" spans="1:3" x14ac:dyDescent="0.3">
      <c r="A763" t="s">
        <v>14</v>
      </c>
      <c r="B763" s="16">
        <v>236.2</v>
      </c>
      <c r="C763" s="437">
        <v>45321</v>
      </c>
    </row>
    <row r="764" spans="1:3" x14ac:dyDescent="0.3">
      <c r="A764" t="s">
        <v>17</v>
      </c>
      <c r="B764" s="15">
        <v>384.8</v>
      </c>
      <c r="C764" s="437">
        <v>45321</v>
      </c>
    </row>
    <row r="765" spans="1:3" x14ac:dyDescent="0.3">
      <c r="A765" t="s">
        <v>18</v>
      </c>
      <c r="B765" s="15">
        <v>462.8</v>
      </c>
      <c r="C765" s="437">
        <v>45321</v>
      </c>
    </row>
    <row r="766" spans="1:3" x14ac:dyDescent="0.3">
      <c r="A766" t="s">
        <v>110</v>
      </c>
      <c r="B766" s="15">
        <v>129.9</v>
      </c>
      <c r="C766" s="437">
        <v>45321</v>
      </c>
    </row>
    <row r="767" spans="1:3" x14ac:dyDescent="0.3">
      <c r="A767" t="s">
        <v>20</v>
      </c>
      <c r="B767" s="15">
        <v>463.1</v>
      </c>
      <c r="C767" s="437">
        <v>45321</v>
      </c>
    </row>
    <row r="768" spans="1:3" x14ac:dyDescent="0.3">
      <c r="A768" t="s">
        <v>22</v>
      </c>
      <c r="B768" s="15">
        <v>312.10000000000002</v>
      </c>
      <c r="C768" s="437">
        <v>45321</v>
      </c>
    </row>
    <row r="769" spans="1:3" x14ac:dyDescent="0.3">
      <c r="A769" t="s">
        <v>23</v>
      </c>
      <c r="B769" s="15">
        <v>340.5</v>
      </c>
      <c r="C769" s="437">
        <v>45321</v>
      </c>
    </row>
    <row r="770" spans="1:3" x14ac:dyDescent="0.3">
      <c r="A770" t="s">
        <v>24</v>
      </c>
      <c r="B770" s="15">
        <v>295.5</v>
      </c>
      <c r="C770" s="437">
        <v>45321</v>
      </c>
    </row>
    <row r="771" spans="1:3" x14ac:dyDescent="0.3">
      <c r="A771" t="s">
        <v>25</v>
      </c>
      <c r="B771" s="15">
        <v>374.4</v>
      </c>
      <c r="C771" s="437">
        <v>45321</v>
      </c>
    </row>
    <row r="772" spans="1:3" x14ac:dyDescent="0.3">
      <c r="A772" t="s">
        <v>26</v>
      </c>
      <c r="B772" s="354">
        <v>130.69999999999999</v>
      </c>
      <c r="C772" s="437">
        <v>45321</v>
      </c>
    </row>
    <row r="773" spans="1:3" x14ac:dyDescent="0.3">
      <c r="A773" t="s">
        <v>28</v>
      </c>
      <c r="B773" s="15">
        <v>587.79999999999995</v>
      </c>
      <c r="C773" s="437">
        <v>45321</v>
      </c>
    </row>
    <row r="774" spans="1:3" x14ac:dyDescent="0.3">
      <c r="A774" t="s">
        <v>29</v>
      </c>
      <c r="B774" s="15">
        <v>492.8</v>
      </c>
      <c r="C774" s="437">
        <v>45321</v>
      </c>
    </row>
    <row r="775" spans="1:3" x14ac:dyDescent="0.3">
      <c r="A775" t="s">
        <v>30</v>
      </c>
      <c r="B775" s="15">
        <v>1851.2</v>
      </c>
      <c r="C775" s="437">
        <v>45321</v>
      </c>
    </row>
    <row r="776" spans="1:3" x14ac:dyDescent="0.3">
      <c r="A776" t="s">
        <v>111</v>
      </c>
      <c r="B776" s="15">
        <v>584.6</v>
      </c>
      <c r="C776" s="437">
        <v>45321</v>
      </c>
    </row>
    <row r="777" spans="1:3" x14ac:dyDescent="0.3">
      <c r="A777" t="s">
        <v>32</v>
      </c>
      <c r="B777" s="354">
        <v>217.8</v>
      </c>
      <c r="C777" s="437">
        <v>45321</v>
      </c>
    </row>
    <row r="778" spans="1:3" x14ac:dyDescent="0.3">
      <c r="A778" t="s">
        <v>288</v>
      </c>
      <c r="B778" s="15">
        <v>498</v>
      </c>
      <c r="C778" s="437">
        <v>45321</v>
      </c>
    </row>
    <row r="779" spans="1:3" x14ac:dyDescent="0.3">
      <c r="A779" t="s">
        <v>112</v>
      </c>
      <c r="B779" s="15">
        <v>486.7</v>
      </c>
      <c r="C779" s="437">
        <v>45321</v>
      </c>
    </row>
    <row r="780" spans="1:3" x14ac:dyDescent="0.3">
      <c r="A780" t="s">
        <v>289</v>
      </c>
      <c r="B780" s="15">
        <v>487.1</v>
      </c>
      <c r="C780" s="437">
        <v>45321</v>
      </c>
    </row>
    <row r="781" spans="1:3" x14ac:dyDescent="0.3">
      <c r="A781" t="s">
        <v>291</v>
      </c>
      <c r="B781" s="15">
        <v>473.5</v>
      </c>
      <c r="C781" s="437">
        <v>45321</v>
      </c>
    </row>
    <row r="782" spans="1:3" x14ac:dyDescent="0.3">
      <c r="A782" t="s">
        <v>7</v>
      </c>
      <c r="B782" s="334">
        <v>39.4</v>
      </c>
      <c r="C782" s="437">
        <v>45322</v>
      </c>
    </row>
    <row r="783" spans="1:3" x14ac:dyDescent="0.3">
      <c r="A783" t="s">
        <v>8</v>
      </c>
      <c r="B783" s="64">
        <f>186.45+45.2</f>
        <v>231.64999999999998</v>
      </c>
      <c r="C783" s="437">
        <v>45322</v>
      </c>
    </row>
    <row r="784" spans="1:3" x14ac:dyDescent="0.3">
      <c r="A784" t="s">
        <v>9</v>
      </c>
      <c r="B784" s="64">
        <v>169.4</v>
      </c>
      <c r="C784" s="437">
        <v>45322</v>
      </c>
    </row>
    <row r="785" spans="1:3" x14ac:dyDescent="0.3">
      <c r="A785" t="s">
        <v>10</v>
      </c>
      <c r="B785" s="64">
        <v>95.3</v>
      </c>
      <c r="C785" s="437">
        <v>45322</v>
      </c>
    </row>
    <row r="786" spans="1:3" x14ac:dyDescent="0.3">
      <c r="A786" t="s">
        <v>11</v>
      </c>
      <c r="B786" s="64">
        <v>37.799999999999997</v>
      </c>
      <c r="C786" s="437">
        <v>45322</v>
      </c>
    </row>
    <row r="787" spans="1:3" x14ac:dyDescent="0.3">
      <c r="A787" t="s">
        <v>12</v>
      </c>
      <c r="B787" s="64">
        <v>80.599999999999994</v>
      </c>
      <c r="C787" s="437">
        <v>45322</v>
      </c>
    </row>
    <row r="788" spans="1:3" x14ac:dyDescent="0.3">
      <c r="A788" t="s">
        <v>13</v>
      </c>
      <c r="B788" s="64">
        <v>258.39999999999998</v>
      </c>
      <c r="C788" s="437">
        <v>45322</v>
      </c>
    </row>
    <row r="789" spans="1:3" x14ac:dyDescent="0.3">
      <c r="A789" t="s">
        <v>14</v>
      </c>
      <c r="B789" s="86">
        <v>208.4</v>
      </c>
      <c r="C789" s="437">
        <v>45322</v>
      </c>
    </row>
    <row r="790" spans="1:3" x14ac:dyDescent="0.3">
      <c r="A790" t="s">
        <v>17</v>
      </c>
      <c r="B790" s="64">
        <v>351.4</v>
      </c>
      <c r="C790" s="437">
        <v>45322</v>
      </c>
    </row>
    <row r="791" spans="1:3" x14ac:dyDescent="0.3">
      <c r="A791" t="s">
        <v>18</v>
      </c>
      <c r="B791" s="64">
        <v>346.6</v>
      </c>
      <c r="C791" s="437">
        <v>45322</v>
      </c>
    </row>
    <row r="792" spans="1:3" x14ac:dyDescent="0.3">
      <c r="A792" t="s">
        <v>110</v>
      </c>
      <c r="B792" s="64">
        <v>94.5</v>
      </c>
      <c r="C792" s="437">
        <v>45322</v>
      </c>
    </row>
    <row r="793" spans="1:3" x14ac:dyDescent="0.3">
      <c r="A793" t="s">
        <v>20</v>
      </c>
      <c r="B793" s="371">
        <v>256.60000000000002</v>
      </c>
      <c r="C793" s="437">
        <v>45322</v>
      </c>
    </row>
    <row r="794" spans="1:3" x14ac:dyDescent="0.3">
      <c r="A794" t="s">
        <v>22</v>
      </c>
      <c r="B794" s="64">
        <v>307.8</v>
      </c>
      <c r="C794" s="437">
        <v>45322</v>
      </c>
    </row>
    <row r="795" spans="1:3" x14ac:dyDescent="0.3">
      <c r="A795" t="s">
        <v>23</v>
      </c>
      <c r="B795" s="64">
        <v>345.2</v>
      </c>
      <c r="C795" s="437">
        <v>45322</v>
      </c>
    </row>
    <row r="796" spans="1:3" x14ac:dyDescent="0.3">
      <c r="A796" t="s">
        <v>24</v>
      </c>
      <c r="B796" s="64">
        <v>261.60000000000002</v>
      </c>
      <c r="C796" s="437">
        <v>45322</v>
      </c>
    </row>
    <row r="797" spans="1:3" x14ac:dyDescent="0.3">
      <c r="A797" t="s">
        <v>25</v>
      </c>
      <c r="B797" s="64">
        <v>340.3</v>
      </c>
      <c r="C797" s="437">
        <v>45322</v>
      </c>
    </row>
    <row r="798" spans="1:3" x14ac:dyDescent="0.3">
      <c r="A798" t="s">
        <v>26</v>
      </c>
      <c r="B798" s="390">
        <v>129.30000000000001</v>
      </c>
      <c r="C798" s="437">
        <v>45322</v>
      </c>
    </row>
    <row r="799" spans="1:3" x14ac:dyDescent="0.3">
      <c r="A799" t="s">
        <v>28</v>
      </c>
      <c r="B799" s="371">
        <v>368</v>
      </c>
      <c r="C799" s="437">
        <v>45322</v>
      </c>
    </row>
    <row r="800" spans="1:3" x14ac:dyDescent="0.3">
      <c r="A800" t="s">
        <v>29</v>
      </c>
      <c r="B800" s="371">
        <v>301.89999999999998</v>
      </c>
      <c r="C800" s="437">
        <v>45322</v>
      </c>
    </row>
    <row r="801" spans="1:3" x14ac:dyDescent="0.3">
      <c r="A801" t="s">
        <v>30</v>
      </c>
      <c r="B801" s="371">
        <v>1156.5</v>
      </c>
      <c r="C801" s="437">
        <v>45322</v>
      </c>
    </row>
    <row r="802" spans="1:3" x14ac:dyDescent="0.3">
      <c r="A802" t="s">
        <v>111</v>
      </c>
      <c r="B802" s="371">
        <v>396.7</v>
      </c>
      <c r="C802" s="437">
        <v>45322</v>
      </c>
    </row>
    <row r="803" spans="1:3" x14ac:dyDescent="0.3">
      <c r="A803" t="s">
        <v>32</v>
      </c>
      <c r="B803" s="371">
        <v>217.4</v>
      </c>
      <c r="C803" s="437">
        <v>45322</v>
      </c>
    </row>
    <row r="804" spans="1:3" x14ac:dyDescent="0.3">
      <c r="A804" t="s">
        <v>288</v>
      </c>
      <c r="B804" s="64">
        <v>312.39999999999998</v>
      </c>
      <c r="C804" s="437">
        <v>45322</v>
      </c>
    </row>
    <row r="805" spans="1:3" x14ac:dyDescent="0.3">
      <c r="A805" t="s">
        <v>112</v>
      </c>
      <c r="B805" s="371">
        <v>319.39999999999998</v>
      </c>
      <c r="C805" s="437">
        <v>45322</v>
      </c>
    </row>
    <row r="806" spans="1:3" x14ac:dyDescent="0.3">
      <c r="A806" t="s">
        <v>289</v>
      </c>
      <c r="B806" s="371">
        <v>318</v>
      </c>
      <c r="C806" s="437">
        <v>45322</v>
      </c>
    </row>
    <row r="807" spans="1:3" x14ac:dyDescent="0.3">
      <c r="A807" t="s">
        <v>291</v>
      </c>
      <c r="B807" s="64">
        <v>319.89999999999998</v>
      </c>
      <c r="C807" s="437">
        <v>45322</v>
      </c>
    </row>
    <row r="808" spans="1:3" x14ac:dyDescent="0.3">
      <c r="A808" t="s">
        <v>7</v>
      </c>
      <c r="B808" s="330">
        <v>38.5</v>
      </c>
      <c r="C808" s="437">
        <v>45323</v>
      </c>
    </row>
    <row r="809" spans="1:3" x14ac:dyDescent="0.3">
      <c r="A809" t="s">
        <v>8</v>
      </c>
      <c r="B809" s="62">
        <f>43.2+176.2</f>
        <v>219.39999999999998</v>
      </c>
      <c r="C809" s="437">
        <v>45323</v>
      </c>
    </row>
    <row r="810" spans="1:3" x14ac:dyDescent="0.3">
      <c r="A810" t="s">
        <v>9</v>
      </c>
      <c r="B810" s="62">
        <v>170.5</v>
      </c>
      <c r="C810" s="437">
        <v>45323</v>
      </c>
    </row>
    <row r="811" spans="1:3" x14ac:dyDescent="0.3">
      <c r="A811" t="s">
        <v>10</v>
      </c>
      <c r="B811" s="62">
        <v>95.1</v>
      </c>
      <c r="C811" s="437">
        <v>45323</v>
      </c>
    </row>
    <row r="812" spans="1:3" x14ac:dyDescent="0.3">
      <c r="A812" t="s">
        <v>11</v>
      </c>
      <c r="B812" s="223">
        <v>12.8</v>
      </c>
      <c r="C812" s="437">
        <v>45323</v>
      </c>
    </row>
    <row r="813" spans="1:3" x14ac:dyDescent="0.3">
      <c r="A813" t="s">
        <v>12</v>
      </c>
      <c r="B813" s="223">
        <v>15.4</v>
      </c>
      <c r="C813" s="437">
        <v>45323</v>
      </c>
    </row>
    <row r="814" spans="1:3" x14ac:dyDescent="0.3">
      <c r="A814" t="s">
        <v>13</v>
      </c>
      <c r="B814" s="62">
        <v>258.3</v>
      </c>
      <c r="C814" s="437">
        <v>45323</v>
      </c>
    </row>
    <row r="815" spans="1:3" x14ac:dyDescent="0.3">
      <c r="A815" t="s">
        <v>14</v>
      </c>
      <c r="B815" s="291">
        <v>208.3</v>
      </c>
      <c r="C815" s="437">
        <v>45323</v>
      </c>
    </row>
    <row r="816" spans="1:3" x14ac:dyDescent="0.3">
      <c r="A816" t="s">
        <v>17</v>
      </c>
      <c r="B816" s="62">
        <v>342.7</v>
      </c>
      <c r="C816" s="437">
        <v>45323</v>
      </c>
    </row>
    <row r="817" spans="1:3" x14ac:dyDescent="0.3">
      <c r="A817" t="s">
        <v>18</v>
      </c>
      <c r="B817" s="62">
        <v>357.3</v>
      </c>
      <c r="C817" s="437">
        <v>45323</v>
      </c>
    </row>
    <row r="818" spans="1:3" x14ac:dyDescent="0.3">
      <c r="A818" t="s">
        <v>110</v>
      </c>
      <c r="B818" s="62">
        <v>99</v>
      </c>
      <c r="C818" s="437">
        <v>45323</v>
      </c>
    </row>
    <row r="819" spans="1:3" x14ac:dyDescent="0.3">
      <c r="A819" t="s">
        <v>20</v>
      </c>
      <c r="B819" s="62">
        <v>445.9</v>
      </c>
      <c r="C819" s="437">
        <v>45323</v>
      </c>
    </row>
    <row r="820" spans="1:3" x14ac:dyDescent="0.3">
      <c r="A820" t="s">
        <v>22</v>
      </c>
      <c r="B820" s="223">
        <v>346.5</v>
      </c>
      <c r="C820" s="437">
        <v>45323</v>
      </c>
    </row>
    <row r="821" spans="1:3" x14ac:dyDescent="0.3">
      <c r="A821" t="s">
        <v>23</v>
      </c>
      <c r="B821" s="223">
        <v>391.2</v>
      </c>
      <c r="C821" s="437">
        <v>45323</v>
      </c>
    </row>
    <row r="822" spans="1:3" x14ac:dyDescent="0.3">
      <c r="A822" t="s">
        <v>24</v>
      </c>
      <c r="B822" s="62">
        <v>304.3</v>
      </c>
      <c r="C822" s="437">
        <v>45323</v>
      </c>
    </row>
    <row r="823" spans="1:3" x14ac:dyDescent="0.3">
      <c r="A823" t="s">
        <v>25</v>
      </c>
      <c r="B823" s="62">
        <v>387.9</v>
      </c>
      <c r="C823" s="437">
        <v>45323</v>
      </c>
    </row>
    <row r="824" spans="1:3" x14ac:dyDescent="0.3">
      <c r="A824" t="s">
        <v>26</v>
      </c>
      <c r="B824" s="62">
        <v>151.80000000000001</v>
      </c>
      <c r="C824" s="437">
        <v>45323</v>
      </c>
    </row>
    <row r="825" spans="1:3" x14ac:dyDescent="0.3">
      <c r="A825" t="s">
        <v>28</v>
      </c>
      <c r="B825" s="62">
        <v>418.7</v>
      </c>
      <c r="C825" s="437">
        <v>45323</v>
      </c>
    </row>
    <row r="826" spans="1:3" x14ac:dyDescent="0.3">
      <c r="A826" t="s">
        <v>29</v>
      </c>
      <c r="B826" s="223">
        <v>352.5</v>
      </c>
      <c r="C826" s="437">
        <v>45323</v>
      </c>
    </row>
    <row r="827" spans="1:3" x14ac:dyDescent="0.3">
      <c r="A827" t="s">
        <v>30</v>
      </c>
      <c r="B827" s="223">
        <v>1340</v>
      </c>
      <c r="C827" s="437">
        <v>45323</v>
      </c>
    </row>
    <row r="828" spans="1:3" x14ac:dyDescent="0.3">
      <c r="A828" t="s">
        <v>111</v>
      </c>
      <c r="B828" s="223">
        <v>521.20000000000005</v>
      </c>
      <c r="C828" s="437">
        <v>45323</v>
      </c>
    </row>
    <row r="829" spans="1:3" x14ac:dyDescent="0.3">
      <c r="A829" t="s">
        <v>32</v>
      </c>
      <c r="B829" s="62">
        <v>438.9</v>
      </c>
      <c r="C829" s="437">
        <v>45323</v>
      </c>
    </row>
    <row r="830" spans="1:3" x14ac:dyDescent="0.3">
      <c r="A830" t="s">
        <v>288</v>
      </c>
      <c r="B830" s="223">
        <v>0</v>
      </c>
      <c r="C830" s="437">
        <v>45323</v>
      </c>
    </row>
    <row r="831" spans="1:3" x14ac:dyDescent="0.3">
      <c r="A831" t="s">
        <v>112</v>
      </c>
      <c r="B831" s="223">
        <v>0</v>
      </c>
      <c r="C831" s="437">
        <v>45323</v>
      </c>
    </row>
    <row r="832" spans="1:3" x14ac:dyDescent="0.3">
      <c r="A832" t="s">
        <v>289</v>
      </c>
      <c r="B832" s="223">
        <v>0</v>
      </c>
      <c r="C832" s="437">
        <v>45323</v>
      </c>
    </row>
    <row r="833" spans="1:3" x14ac:dyDescent="0.3">
      <c r="A833" t="s">
        <v>291</v>
      </c>
      <c r="B833" s="223">
        <v>386.2</v>
      </c>
      <c r="C833" s="437">
        <v>45323</v>
      </c>
    </row>
    <row r="834" spans="1:3" x14ac:dyDescent="0.3">
      <c r="A834" t="s">
        <v>7</v>
      </c>
      <c r="B834" s="103">
        <v>39.700000000000003</v>
      </c>
      <c r="C834" s="437">
        <v>45324</v>
      </c>
    </row>
    <row r="835" spans="1:3" x14ac:dyDescent="0.3">
      <c r="A835" t="s">
        <v>8</v>
      </c>
      <c r="B835" s="63">
        <f>163.7+39.9</f>
        <v>203.6</v>
      </c>
      <c r="C835" s="437">
        <v>45324</v>
      </c>
    </row>
    <row r="836" spans="1:3" x14ac:dyDescent="0.3">
      <c r="A836" t="s">
        <v>9</v>
      </c>
      <c r="B836" s="63">
        <v>177.4</v>
      </c>
      <c r="C836" s="437">
        <v>45324</v>
      </c>
    </row>
    <row r="837" spans="1:3" x14ac:dyDescent="0.3">
      <c r="A837" t="s">
        <v>10</v>
      </c>
      <c r="B837" s="63">
        <v>100.4</v>
      </c>
      <c r="C837" s="437">
        <v>45324</v>
      </c>
    </row>
    <row r="838" spans="1:3" x14ac:dyDescent="0.3">
      <c r="A838" t="s">
        <v>11</v>
      </c>
      <c r="B838" s="63">
        <v>33</v>
      </c>
      <c r="C838" s="437">
        <v>45324</v>
      </c>
    </row>
    <row r="839" spans="1:3" x14ac:dyDescent="0.3">
      <c r="A839" t="s">
        <v>12</v>
      </c>
      <c r="B839" s="63">
        <v>41</v>
      </c>
      <c r="C839" s="437">
        <v>45324</v>
      </c>
    </row>
    <row r="840" spans="1:3" x14ac:dyDescent="0.3">
      <c r="A840" t="s">
        <v>13</v>
      </c>
      <c r="B840" s="63">
        <v>264</v>
      </c>
      <c r="C840" s="437">
        <v>45324</v>
      </c>
    </row>
    <row r="841" spans="1:3" x14ac:dyDescent="0.3">
      <c r="A841" t="s">
        <v>14</v>
      </c>
      <c r="B841" s="308">
        <v>214.5</v>
      </c>
      <c r="C841" s="437">
        <v>45324</v>
      </c>
    </row>
    <row r="842" spans="1:3" x14ac:dyDescent="0.3">
      <c r="A842" t="s">
        <v>17</v>
      </c>
      <c r="B842" s="63">
        <v>335.2</v>
      </c>
      <c r="C842" s="437">
        <v>45324</v>
      </c>
    </row>
    <row r="843" spans="1:3" x14ac:dyDescent="0.3">
      <c r="A843" t="s">
        <v>18</v>
      </c>
      <c r="B843" s="63">
        <v>344.2</v>
      </c>
      <c r="C843" s="437">
        <v>45324</v>
      </c>
    </row>
    <row r="844" spans="1:3" x14ac:dyDescent="0.3">
      <c r="A844" t="s">
        <v>110</v>
      </c>
      <c r="B844" s="63">
        <v>96.2</v>
      </c>
      <c r="C844" s="437">
        <v>45324</v>
      </c>
    </row>
    <row r="845" spans="1:3" x14ac:dyDescent="0.3">
      <c r="A845" t="s">
        <v>20</v>
      </c>
      <c r="B845" s="63">
        <v>300.89999999999998</v>
      </c>
      <c r="C845" s="437">
        <v>45324</v>
      </c>
    </row>
    <row r="846" spans="1:3" x14ac:dyDescent="0.3">
      <c r="A846" t="s">
        <v>22</v>
      </c>
      <c r="B846" s="63">
        <v>405.8</v>
      </c>
      <c r="C846" s="437">
        <v>45324</v>
      </c>
    </row>
    <row r="847" spans="1:3" x14ac:dyDescent="0.3">
      <c r="A847" t="s">
        <v>23</v>
      </c>
      <c r="B847" s="63">
        <v>461.2</v>
      </c>
      <c r="C847" s="437">
        <v>45324</v>
      </c>
    </row>
    <row r="848" spans="1:3" x14ac:dyDescent="0.3">
      <c r="A848" t="s">
        <v>24</v>
      </c>
      <c r="B848" s="63">
        <v>361</v>
      </c>
      <c r="C848" s="437">
        <v>45324</v>
      </c>
    </row>
    <row r="849" spans="1:3" x14ac:dyDescent="0.3">
      <c r="A849" t="s">
        <v>25</v>
      </c>
      <c r="B849" s="63">
        <v>459.2</v>
      </c>
      <c r="C849" s="437">
        <v>45324</v>
      </c>
    </row>
    <row r="850" spans="1:3" x14ac:dyDescent="0.3">
      <c r="A850" t="s">
        <v>26</v>
      </c>
      <c r="B850" s="63">
        <v>138.9</v>
      </c>
      <c r="C850" s="437">
        <v>45324</v>
      </c>
    </row>
    <row r="851" spans="1:3" x14ac:dyDescent="0.3">
      <c r="A851" t="s">
        <v>28</v>
      </c>
      <c r="B851" s="63">
        <v>397.8</v>
      </c>
      <c r="C851" s="437">
        <v>45324</v>
      </c>
    </row>
    <row r="852" spans="1:3" x14ac:dyDescent="0.3">
      <c r="A852" t="s">
        <v>29</v>
      </c>
      <c r="B852" s="63">
        <v>310.39999999999998</v>
      </c>
      <c r="C852" s="437">
        <v>45324</v>
      </c>
    </row>
    <row r="853" spans="1:3" x14ac:dyDescent="0.3">
      <c r="A853" t="s">
        <v>30</v>
      </c>
      <c r="B853" s="63">
        <v>1210</v>
      </c>
      <c r="C853" s="437">
        <v>45324</v>
      </c>
    </row>
    <row r="854" spans="1:3" x14ac:dyDescent="0.3">
      <c r="A854" t="s">
        <v>111</v>
      </c>
      <c r="B854" s="63">
        <v>264.2</v>
      </c>
      <c r="C854" s="437">
        <v>45324</v>
      </c>
    </row>
    <row r="855" spans="1:3" x14ac:dyDescent="0.3">
      <c r="A855" t="s">
        <v>32</v>
      </c>
      <c r="B855" s="63">
        <v>250.6</v>
      </c>
      <c r="C855" s="437">
        <v>45324</v>
      </c>
    </row>
    <row r="856" spans="1:3" x14ac:dyDescent="0.3">
      <c r="A856" t="s">
        <v>288</v>
      </c>
      <c r="B856" s="63">
        <v>185.1</v>
      </c>
      <c r="C856" s="437">
        <v>45324</v>
      </c>
    </row>
    <row r="857" spans="1:3" x14ac:dyDescent="0.3">
      <c r="A857" t="s">
        <v>112</v>
      </c>
      <c r="B857" s="319">
        <v>175</v>
      </c>
      <c r="C857" s="437">
        <v>45324</v>
      </c>
    </row>
    <row r="858" spans="1:3" x14ac:dyDescent="0.3">
      <c r="A858" t="s">
        <v>289</v>
      </c>
      <c r="B858" s="63">
        <v>174.6</v>
      </c>
      <c r="C858" s="437">
        <v>45324</v>
      </c>
    </row>
    <row r="859" spans="1:3" x14ac:dyDescent="0.3">
      <c r="A859" t="s">
        <v>291</v>
      </c>
      <c r="B859" s="223">
        <v>400.4</v>
      </c>
      <c r="C859" s="437">
        <v>45324</v>
      </c>
    </row>
    <row r="860" spans="1:3" x14ac:dyDescent="0.3">
      <c r="A860" t="s">
        <v>7</v>
      </c>
      <c r="B860" s="103">
        <v>50.9</v>
      </c>
      <c r="C860" s="437">
        <v>45325</v>
      </c>
    </row>
    <row r="861" spans="1:3" x14ac:dyDescent="0.3">
      <c r="A861" t="s">
        <v>8</v>
      </c>
      <c r="B861" s="63">
        <f>56.6+232.3</f>
        <v>288.90000000000003</v>
      </c>
      <c r="C861" s="437">
        <v>45325</v>
      </c>
    </row>
    <row r="862" spans="1:3" x14ac:dyDescent="0.3">
      <c r="A862" t="s">
        <v>9</v>
      </c>
      <c r="B862" s="63">
        <v>218.6</v>
      </c>
      <c r="C862" s="437">
        <v>45325</v>
      </c>
    </row>
    <row r="863" spans="1:3" x14ac:dyDescent="0.3">
      <c r="A863" t="s">
        <v>10</v>
      </c>
      <c r="B863" s="63">
        <v>125.2</v>
      </c>
      <c r="C863" s="437">
        <v>45325</v>
      </c>
    </row>
    <row r="864" spans="1:3" x14ac:dyDescent="0.3">
      <c r="A864" t="s">
        <v>11</v>
      </c>
      <c r="B864" s="63">
        <v>41</v>
      </c>
      <c r="C864" s="437">
        <v>45325</v>
      </c>
    </row>
    <row r="865" spans="1:3" x14ac:dyDescent="0.3">
      <c r="A865" t="s">
        <v>12</v>
      </c>
      <c r="B865" s="63">
        <v>85</v>
      </c>
      <c r="C865" s="437">
        <v>45325</v>
      </c>
    </row>
    <row r="866" spans="1:3" x14ac:dyDescent="0.3">
      <c r="A866" t="s">
        <v>13</v>
      </c>
      <c r="B866" s="63">
        <v>327.8</v>
      </c>
      <c r="C866" s="437">
        <v>45325</v>
      </c>
    </row>
    <row r="867" spans="1:3" x14ac:dyDescent="0.3">
      <c r="A867" t="s">
        <v>14</v>
      </c>
      <c r="B867" s="82">
        <v>275.3</v>
      </c>
      <c r="C867" s="437">
        <v>45325</v>
      </c>
    </row>
    <row r="868" spans="1:3" x14ac:dyDescent="0.3">
      <c r="A868" t="s">
        <v>17</v>
      </c>
      <c r="B868" s="63">
        <v>439.8</v>
      </c>
      <c r="C868" s="437">
        <v>45325</v>
      </c>
    </row>
    <row r="869" spans="1:3" x14ac:dyDescent="0.3">
      <c r="A869" t="s">
        <v>18</v>
      </c>
      <c r="B869" s="63">
        <v>440.2</v>
      </c>
      <c r="C869" s="437">
        <v>45325</v>
      </c>
    </row>
    <row r="870" spans="1:3" x14ac:dyDescent="0.3">
      <c r="A870" t="s">
        <v>110</v>
      </c>
      <c r="B870" s="63">
        <v>124</v>
      </c>
      <c r="C870" s="437">
        <v>45325</v>
      </c>
    </row>
    <row r="871" spans="1:3" x14ac:dyDescent="0.3">
      <c r="A871" t="s">
        <v>20</v>
      </c>
      <c r="B871" s="63">
        <v>466.6</v>
      </c>
      <c r="C871" s="437">
        <v>45325</v>
      </c>
    </row>
    <row r="872" spans="1:3" x14ac:dyDescent="0.3">
      <c r="A872" t="s">
        <v>22</v>
      </c>
      <c r="B872" s="82">
        <v>440.5</v>
      </c>
      <c r="C872" s="437">
        <v>45325</v>
      </c>
    </row>
    <row r="873" spans="1:3" x14ac:dyDescent="0.3">
      <c r="A873" t="s">
        <v>23</v>
      </c>
      <c r="B873" s="308">
        <v>488.8</v>
      </c>
      <c r="C873" s="437">
        <v>45325</v>
      </c>
    </row>
    <row r="874" spans="1:3" x14ac:dyDescent="0.3">
      <c r="A874" t="s">
        <v>24</v>
      </c>
      <c r="B874" s="63">
        <v>388.1</v>
      </c>
      <c r="C874" s="437">
        <v>45325</v>
      </c>
    </row>
    <row r="875" spans="1:3" x14ac:dyDescent="0.3">
      <c r="A875" t="s">
        <v>25</v>
      </c>
      <c r="B875" s="63">
        <v>490.5</v>
      </c>
      <c r="C875" s="437">
        <v>45325</v>
      </c>
    </row>
    <row r="876" spans="1:3" x14ac:dyDescent="0.3">
      <c r="A876" t="s">
        <v>26</v>
      </c>
      <c r="B876" s="63">
        <v>240</v>
      </c>
      <c r="C876" s="437">
        <v>45325</v>
      </c>
    </row>
    <row r="877" spans="1:3" x14ac:dyDescent="0.3">
      <c r="A877" t="s">
        <v>28</v>
      </c>
      <c r="B877" s="63">
        <v>565.79999999999995</v>
      </c>
      <c r="C877" s="437">
        <v>45325</v>
      </c>
    </row>
    <row r="878" spans="1:3" x14ac:dyDescent="0.3">
      <c r="A878" t="s">
        <v>29</v>
      </c>
      <c r="B878" s="283">
        <v>468.4</v>
      </c>
      <c r="C878" s="437">
        <v>45325</v>
      </c>
    </row>
    <row r="879" spans="1:3" x14ac:dyDescent="0.3">
      <c r="A879" t="s">
        <v>30</v>
      </c>
      <c r="B879" s="63">
        <v>1780</v>
      </c>
      <c r="C879" s="437">
        <v>45325</v>
      </c>
    </row>
    <row r="880" spans="1:3" x14ac:dyDescent="0.3">
      <c r="A880" t="s">
        <v>111</v>
      </c>
      <c r="B880" s="63">
        <v>493.4</v>
      </c>
      <c r="C880" s="437">
        <v>45325</v>
      </c>
    </row>
    <row r="881" spans="1:3" x14ac:dyDescent="0.3">
      <c r="A881" t="s">
        <v>32</v>
      </c>
      <c r="B881" s="63">
        <v>478.9</v>
      </c>
      <c r="C881" s="437">
        <v>45325</v>
      </c>
    </row>
    <row r="882" spans="1:3" x14ac:dyDescent="0.3">
      <c r="A882" t="s">
        <v>288</v>
      </c>
      <c r="B882" s="63">
        <v>177.4</v>
      </c>
      <c r="C882" s="437">
        <v>45325</v>
      </c>
    </row>
    <row r="883" spans="1:3" x14ac:dyDescent="0.3">
      <c r="A883" t="s">
        <v>112</v>
      </c>
      <c r="B883" s="63">
        <v>182</v>
      </c>
      <c r="C883" s="437">
        <v>45325</v>
      </c>
    </row>
    <row r="884" spans="1:3" x14ac:dyDescent="0.3">
      <c r="A884" t="s">
        <v>289</v>
      </c>
      <c r="B884" s="63">
        <v>176</v>
      </c>
      <c r="C884" s="437">
        <v>45325</v>
      </c>
    </row>
    <row r="885" spans="1:3" x14ac:dyDescent="0.3">
      <c r="A885" t="s">
        <v>291</v>
      </c>
      <c r="B885" s="63">
        <v>435.1</v>
      </c>
      <c r="C885" s="437">
        <v>45325</v>
      </c>
    </row>
    <row r="886" spans="1:3" x14ac:dyDescent="0.3">
      <c r="A886" t="s">
        <v>7</v>
      </c>
      <c r="B886" s="103">
        <v>41.3</v>
      </c>
      <c r="C886" s="437">
        <v>45326</v>
      </c>
    </row>
    <row r="887" spans="1:3" x14ac:dyDescent="0.3">
      <c r="A887" t="s">
        <v>8</v>
      </c>
      <c r="B887" s="63">
        <f>181.43+45</f>
        <v>226.43</v>
      </c>
      <c r="C887" s="437">
        <v>45326</v>
      </c>
    </row>
    <row r="888" spans="1:3" x14ac:dyDescent="0.3">
      <c r="A888" t="s">
        <v>9</v>
      </c>
      <c r="B888" s="63">
        <v>183.6</v>
      </c>
      <c r="C888" s="437">
        <v>45326</v>
      </c>
    </row>
    <row r="889" spans="1:3" x14ac:dyDescent="0.3">
      <c r="A889" t="s">
        <v>10</v>
      </c>
      <c r="B889" s="63">
        <v>103.4</v>
      </c>
      <c r="C889" s="437">
        <v>45326</v>
      </c>
    </row>
    <row r="890" spans="1:3" x14ac:dyDescent="0.3">
      <c r="A890" t="s">
        <v>11</v>
      </c>
      <c r="B890" s="82">
        <v>30</v>
      </c>
      <c r="C890" s="437">
        <v>45326</v>
      </c>
    </row>
    <row r="891" spans="1:3" x14ac:dyDescent="0.3">
      <c r="A891" t="s">
        <v>12</v>
      </c>
      <c r="B891" s="82">
        <v>60</v>
      </c>
      <c r="C891" s="437">
        <v>45326</v>
      </c>
    </row>
    <row r="892" spans="1:3" x14ac:dyDescent="0.3">
      <c r="A892" t="s">
        <v>13</v>
      </c>
      <c r="B892" s="63">
        <v>293.39999999999998</v>
      </c>
      <c r="C892" s="437">
        <v>45326</v>
      </c>
    </row>
    <row r="893" spans="1:3" x14ac:dyDescent="0.3">
      <c r="A893" t="s">
        <v>14</v>
      </c>
      <c r="B893" s="82">
        <v>205.5</v>
      </c>
      <c r="C893" s="437">
        <v>45326</v>
      </c>
    </row>
    <row r="894" spans="1:3" x14ac:dyDescent="0.3">
      <c r="A894" t="s">
        <v>17</v>
      </c>
      <c r="B894" s="63">
        <v>333.5</v>
      </c>
      <c r="C894" s="437">
        <v>45326</v>
      </c>
    </row>
    <row r="895" spans="1:3" x14ac:dyDescent="0.3">
      <c r="A895" t="s">
        <v>18</v>
      </c>
      <c r="B895" s="63">
        <v>386.8</v>
      </c>
      <c r="C895" s="437">
        <v>45326</v>
      </c>
    </row>
    <row r="896" spans="1:3" x14ac:dyDescent="0.3">
      <c r="A896" t="s">
        <v>110</v>
      </c>
      <c r="B896" s="63">
        <v>107.2</v>
      </c>
      <c r="C896" s="437">
        <v>45326</v>
      </c>
    </row>
    <row r="897" spans="1:3" x14ac:dyDescent="0.3">
      <c r="A897" t="s">
        <v>20</v>
      </c>
      <c r="B897" s="63">
        <v>376.3</v>
      </c>
      <c r="C897" s="437">
        <v>45326</v>
      </c>
    </row>
    <row r="898" spans="1:3" x14ac:dyDescent="0.3">
      <c r="A898" t="s">
        <v>22</v>
      </c>
      <c r="B898" s="283">
        <v>383.9</v>
      </c>
      <c r="C898" s="437">
        <v>45326</v>
      </c>
    </row>
    <row r="899" spans="1:3" x14ac:dyDescent="0.3">
      <c r="A899" t="s">
        <v>23</v>
      </c>
      <c r="B899" s="283">
        <v>433.6</v>
      </c>
      <c r="C899" s="437">
        <v>45326</v>
      </c>
    </row>
    <row r="900" spans="1:3" x14ac:dyDescent="0.3">
      <c r="A900" t="s">
        <v>24</v>
      </c>
      <c r="B900" s="63">
        <v>358</v>
      </c>
      <c r="C900" s="437">
        <v>45326</v>
      </c>
    </row>
    <row r="901" spans="1:3" x14ac:dyDescent="0.3">
      <c r="A901" t="s">
        <v>25</v>
      </c>
      <c r="B901" s="63">
        <v>456.7</v>
      </c>
      <c r="C901" s="437">
        <v>45326</v>
      </c>
    </row>
    <row r="902" spans="1:3" x14ac:dyDescent="0.3">
      <c r="A902" t="s">
        <v>26</v>
      </c>
      <c r="B902" s="63">
        <v>175</v>
      </c>
      <c r="C902" s="437">
        <v>45326</v>
      </c>
    </row>
    <row r="903" spans="1:3" x14ac:dyDescent="0.3">
      <c r="A903" t="s">
        <v>28</v>
      </c>
      <c r="B903" s="63">
        <v>448.7</v>
      </c>
      <c r="C903" s="437">
        <v>45326</v>
      </c>
    </row>
    <row r="904" spans="1:3" x14ac:dyDescent="0.3">
      <c r="A904" t="s">
        <v>29</v>
      </c>
      <c r="B904" s="63">
        <v>350.6</v>
      </c>
      <c r="C904" s="437">
        <v>45326</v>
      </c>
    </row>
    <row r="905" spans="1:3" x14ac:dyDescent="0.3">
      <c r="A905" t="s">
        <v>30</v>
      </c>
      <c r="B905" s="63">
        <v>1369.2</v>
      </c>
      <c r="C905" s="437">
        <v>45326</v>
      </c>
    </row>
    <row r="906" spans="1:3" x14ac:dyDescent="0.3">
      <c r="A906" t="s">
        <v>111</v>
      </c>
      <c r="B906" s="63">
        <v>396.6</v>
      </c>
      <c r="C906" s="437">
        <v>45326</v>
      </c>
    </row>
    <row r="907" spans="1:3" x14ac:dyDescent="0.3">
      <c r="A907" t="s">
        <v>32</v>
      </c>
      <c r="B907" s="63">
        <v>375.4</v>
      </c>
      <c r="C907" s="437">
        <v>45326</v>
      </c>
    </row>
    <row r="908" spans="1:3" x14ac:dyDescent="0.3">
      <c r="A908" t="s">
        <v>288</v>
      </c>
      <c r="B908" s="308">
        <v>351.6</v>
      </c>
      <c r="C908" s="437">
        <v>45326</v>
      </c>
    </row>
    <row r="909" spans="1:3" x14ac:dyDescent="0.3">
      <c r="A909" t="s">
        <v>112</v>
      </c>
      <c r="B909" s="308">
        <v>356.8</v>
      </c>
      <c r="C909" s="437">
        <v>45326</v>
      </c>
    </row>
    <row r="910" spans="1:3" x14ac:dyDescent="0.3">
      <c r="A910" t="s">
        <v>289</v>
      </c>
      <c r="B910" s="308">
        <v>350</v>
      </c>
      <c r="C910" s="437">
        <v>45326</v>
      </c>
    </row>
    <row r="911" spans="1:3" x14ac:dyDescent="0.3">
      <c r="A911" t="s">
        <v>291</v>
      </c>
      <c r="B911" s="63">
        <v>322.10000000000002</v>
      </c>
      <c r="C911" s="437">
        <v>45326</v>
      </c>
    </row>
    <row r="912" spans="1:3" x14ac:dyDescent="0.3">
      <c r="A912" t="s">
        <v>7</v>
      </c>
      <c r="B912" s="103">
        <v>41.5</v>
      </c>
      <c r="C912" s="437">
        <v>45327</v>
      </c>
    </row>
    <row r="913" spans="1:3" x14ac:dyDescent="0.3">
      <c r="A913" t="s">
        <v>8</v>
      </c>
      <c r="B913" s="63">
        <f>200.3+48.5</f>
        <v>248.8</v>
      </c>
      <c r="C913" s="437">
        <v>45327</v>
      </c>
    </row>
    <row r="914" spans="1:3" x14ac:dyDescent="0.3">
      <c r="A914" t="s">
        <v>9</v>
      </c>
      <c r="B914" s="63">
        <v>179.7</v>
      </c>
      <c r="C914" s="437">
        <v>45327</v>
      </c>
    </row>
    <row r="915" spans="1:3" x14ac:dyDescent="0.3">
      <c r="A915" t="s">
        <v>10</v>
      </c>
      <c r="B915" s="63">
        <v>101.4</v>
      </c>
      <c r="C915" s="437">
        <v>45327</v>
      </c>
    </row>
    <row r="916" spans="1:3" x14ac:dyDescent="0.3">
      <c r="A916" t="s">
        <v>11</v>
      </c>
      <c r="B916" s="82">
        <v>36</v>
      </c>
      <c r="C916" s="437">
        <v>45327</v>
      </c>
    </row>
    <row r="917" spans="1:3" x14ac:dyDescent="0.3">
      <c r="A917" t="s">
        <v>12</v>
      </c>
      <c r="B917" s="82">
        <v>52</v>
      </c>
      <c r="C917" s="437">
        <v>45327</v>
      </c>
    </row>
    <row r="918" spans="1:3" x14ac:dyDescent="0.3">
      <c r="A918" t="s">
        <v>13</v>
      </c>
      <c r="B918" s="63">
        <v>289.2</v>
      </c>
      <c r="C918" s="437">
        <v>45327</v>
      </c>
    </row>
    <row r="919" spans="1:3" x14ac:dyDescent="0.3">
      <c r="A919" t="s">
        <v>14</v>
      </c>
      <c r="B919" s="82">
        <v>210.2</v>
      </c>
      <c r="C919" s="437">
        <v>45327</v>
      </c>
    </row>
    <row r="920" spans="1:3" x14ac:dyDescent="0.3">
      <c r="A920" t="s">
        <v>17</v>
      </c>
      <c r="B920" s="63">
        <v>337.3</v>
      </c>
      <c r="C920" s="437">
        <v>45327</v>
      </c>
    </row>
    <row r="921" spans="1:3" x14ac:dyDescent="0.3">
      <c r="A921" t="s">
        <v>18</v>
      </c>
      <c r="B921" s="63">
        <v>377.1</v>
      </c>
      <c r="C921" s="437">
        <v>45327</v>
      </c>
    </row>
    <row r="922" spans="1:3" x14ac:dyDescent="0.3">
      <c r="A922" t="s">
        <v>110</v>
      </c>
      <c r="B922" s="63">
        <v>106.8</v>
      </c>
      <c r="C922" s="437">
        <v>45327</v>
      </c>
    </row>
    <row r="923" spans="1:3" x14ac:dyDescent="0.3">
      <c r="A923" t="s">
        <v>20</v>
      </c>
      <c r="B923" s="63">
        <v>340.5</v>
      </c>
      <c r="C923" s="437">
        <v>45327</v>
      </c>
    </row>
    <row r="924" spans="1:3" x14ac:dyDescent="0.3">
      <c r="A924" t="s">
        <v>22</v>
      </c>
      <c r="B924" s="63">
        <v>414.9</v>
      </c>
      <c r="C924" s="437">
        <v>45327</v>
      </c>
    </row>
    <row r="925" spans="1:3" x14ac:dyDescent="0.3">
      <c r="A925" t="s">
        <v>23</v>
      </c>
      <c r="B925" s="63">
        <v>456.9</v>
      </c>
      <c r="C925" s="437">
        <v>45327</v>
      </c>
    </row>
    <row r="926" spans="1:3" x14ac:dyDescent="0.3">
      <c r="A926" t="s">
        <v>24</v>
      </c>
      <c r="B926" s="63">
        <v>357.6</v>
      </c>
      <c r="C926" s="437">
        <v>45327</v>
      </c>
    </row>
    <row r="927" spans="1:3" x14ac:dyDescent="0.3">
      <c r="A927" t="s">
        <v>25</v>
      </c>
      <c r="B927" s="63">
        <v>458.9</v>
      </c>
      <c r="C927" s="437">
        <v>45327</v>
      </c>
    </row>
    <row r="928" spans="1:3" x14ac:dyDescent="0.3">
      <c r="A928" t="s">
        <v>26</v>
      </c>
      <c r="B928" s="63">
        <v>154.4</v>
      </c>
      <c r="C928" s="437">
        <v>45327</v>
      </c>
    </row>
    <row r="929" spans="1:3" x14ac:dyDescent="0.3">
      <c r="A929" t="s">
        <v>28</v>
      </c>
      <c r="B929" s="63">
        <v>469.5</v>
      </c>
      <c r="C929" s="437">
        <v>45327</v>
      </c>
    </row>
    <row r="930" spans="1:3" x14ac:dyDescent="0.3">
      <c r="A930" t="s">
        <v>29</v>
      </c>
      <c r="B930" s="63">
        <v>408</v>
      </c>
      <c r="C930" s="437">
        <v>45327</v>
      </c>
    </row>
    <row r="931" spans="1:3" x14ac:dyDescent="0.3">
      <c r="A931" t="s">
        <v>30</v>
      </c>
      <c r="B931" s="63">
        <v>1500.8</v>
      </c>
      <c r="C931" s="437">
        <v>45327</v>
      </c>
    </row>
    <row r="932" spans="1:3" x14ac:dyDescent="0.3">
      <c r="A932" t="s">
        <v>111</v>
      </c>
      <c r="B932" s="63">
        <v>537.20000000000005</v>
      </c>
      <c r="C932" s="437">
        <v>45327</v>
      </c>
    </row>
    <row r="933" spans="1:3" x14ac:dyDescent="0.3">
      <c r="A933" t="s">
        <v>32</v>
      </c>
      <c r="B933" s="63">
        <v>423.8</v>
      </c>
      <c r="C933" s="437">
        <v>45327</v>
      </c>
    </row>
    <row r="934" spans="1:3" x14ac:dyDescent="0.3">
      <c r="A934" t="s">
        <v>288</v>
      </c>
      <c r="B934" s="63">
        <v>450.3</v>
      </c>
      <c r="C934" s="437">
        <v>45327</v>
      </c>
    </row>
    <row r="935" spans="1:3" x14ac:dyDescent="0.3">
      <c r="A935" t="s">
        <v>112</v>
      </c>
      <c r="B935" s="63">
        <v>458</v>
      </c>
      <c r="C935" s="437">
        <v>45327</v>
      </c>
    </row>
    <row r="936" spans="1:3" x14ac:dyDescent="0.3">
      <c r="A936" t="s">
        <v>289</v>
      </c>
      <c r="B936" s="63">
        <v>451.7</v>
      </c>
      <c r="C936" s="437">
        <v>45327</v>
      </c>
    </row>
    <row r="937" spans="1:3" x14ac:dyDescent="0.3">
      <c r="A937" t="s">
        <v>291</v>
      </c>
      <c r="B937" s="63">
        <v>393.2</v>
      </c>
      <c r="C937" s="437">
        <v>45327</v>
      </c>
    </row>
    <row r="938" spans="1:3" x14ac:dyDescent="0.3">
      <c r="A938" t="s">
        <v>7</v>
      </c>
      <c r="B938" s="331">
        <v>49.9</v>
      </c>
      <c r="C938" s="437">
        <v>45328</v>
      </c>
    </row>
    <row r="939" spans="1:3" x14ac:dyDescent="0.3">
      <c r="A939" t="s">
        <v>8</v>
      </c>
      <c r="B939" s="283">
        <f>57+236.7</f>
        <v>293.7</v>
      </c>
      <c r="C939" s="437">
        <v>45328</v>
      </c>
    </row>
    <row r="940" spans="1:3" x14ac:dyDescent="0.3">
      <c r="A940" t="s">
        <v>9</v>
      </c>
      <c r="B940" s="283">
        <v>216.4</v>
      </c>
      <c r="C940" s="437">
        <v>45328</v>
      </c>
    </row>
    <row r="941" spans="1:3" x14ac:dyDescent="0.3">
      <c r="A941" t="s">
        <v>10</v>
      </c>
      <c r="B941" s="283">
        <v>121.5</v>
      </c>
      <c r="C941" s="437">
        <v>45328</v>
      </c>
    </row>
    <row r="942" spans="1:3" x14ac:dyDescent="0.3">
      <c r="A942" t="s">
        <v>11</v>
      </c>
      <c r="B942" s="308">
        <v>49.7</v>
      </c>
      <c r="C942" s="437">
        <v>45328</v>
      </c>
    </row>
    <row r="943" spans="1:3" x14ac:dyDescent="0.3">
      <c r="A943" t="s">
        <v>12</v>
      </c>
      <c r="B943" s="63">
        <v>105.1</v>
      </c>
      <c r="C943" s="437">
        <v>45328</v>
      </c>
    </row>
    <row r="944" spans="1:3" x14ac:dyDescent="0.3">
      <c r="A944" t="s">
        <v>13</v>
      </c>
      <c r="B944" s="283">
        <v>389.8</v>
      </c>
      <c r="C944" s="437">
        <v>45328</v>
      </c>
    </row>
    <row r="945" spans="1:3" x14ac:dyDescent="0.3">
      <c r="A945" t="s">
        <v>14</v>
      </c>
      <c r="B945" s="308">
        <v>278.89999999999998</v>
      </c>
      <c r="C945" s="437">
        <v>45328</v>
      </c>
    </row>
    <row r="946" spans="1:3" x14ac:dyDescent="0.3">
      <c r="A946" t="s">
        <v>17</v>
      </c>
      <c r="B946" s="283">
        <v>474.3</v>
      </c>
      <c r="C946" s="437">
        <v>45328</v>
      </c>
    </row>
    <row r="947" spans="1:3" x14ac:dyDescent="0.3">
      <c r="A947" t="s">
        <v>18</v>
      </c>
      <c r="B947" s="283">
        <v>523.4</v>
      </c>
      <c r="C947" s="437">
        <v>45328</v>
      </c>
    </row>
    <row r="948" spans="1:3" x14ac:dyDescent="0.3">
      <c r="A948" t="s">
        <v>110</v>
      </c>
      <c r="B948" s="283">
        <v>144.5</v>
      </c>
      <c r="C948" s="437">
        <v>45328</v>
      </c>
    </row>
    <row r="949" spans="1:3" x14ac:dyDescent="0.3">
      <c r="A949" t="s">
        <v>20</v>
      </c>
      <c r="B949" s="63">
        <v>481.3</v>
      </c>
      <c r="C949" s="437">
        <v>45328</v>
      </c>
    </row>
    <row r="950" spans="1:3" x14ac:dyDescent="0.3">
      <c r="A950" t="s">
        <v>22</v>
      </c>
      <c r="B950" s="82">
        <v>468.7</v>
      </c>
      <c r="C950" s="437">
        <v>45328</v>
      </c>
    </row>
    <row r="951" spans="1:3" x14ac:dyDescent="0.3">
      <c r="A951" t="s">
        <v>23</v>
      </c>
      <c r="B951" s="63">
        <v>528.79999999999995</v>
      </c>
      <c r="C951" s="437">
        <v>45328</v>
      </c>
    </row>
    <row r="952" spans="1:3" x14ac:dyDescent="0.3">
      <c r="A952" t="s">
        <v>24</v>
      </c>
      <c r="B952" s="63">
        <v>409.4</v>
      </c>
      <c r="C952" s="437">
        <v>45328</v>
      </c>
    </row>
    <row r="953" spans="1:3" x14ac:dyDescent="0.3">
      <c r="A953" t="s">
        <v>25</v>
      </c>
      <c r="B953" s="63">
        <v>545.9</v>
      </c>
      <c r="C953" s="437">
        <v>45328</v>
      </c>
    </row>
    <row r="954" spans="1:3" x14ac:dyDescent="0.3">
      <c r="A954" t="s">
        <v>26</v>
      </c>
      <c r="B954" s="63">
        <v>169.5</v>
      </c>
      <c r="C954" s="437">
        <v>45328</v>
      </c>
    </row>
    <row r="955" spans="1:3" x14ac:dyDescent="0.3">
      <c r="A955" t="s">
        <v>28</v>
      </c>
      <c r="B955" s="63">
        <v>598.79999999999995</v>
      </c>
      <c r="C955" s="437">
        <v>45328</v>
      </c>
    </row>
    <row r="956" spans="1:3" x14ac:dyDescent="0.3">
      <c r="A956" t="s">
        <v>29</v>
      </c>
      <c r="B956" s="63">
        <v>513.79999999999995</v>
      </c>
      <c r="C956" s="437">
        <v>45328</v>
      </c>
    </row>
    <row r="957" spans="1:3" x14ac:dyDescent="0.3">
      <c r="A957" t="s">
        <v>30</v>
      </c>
      <c r="B957" s="63">
        <v>1887.6</v>
      </c>
      <c r="C957" s="437">
        <v>45328</v>
      </c>
    </row>
    <row r="958" spans="1:3" x14ac:dyDescent="0.3">
      <c r="A958" t="s">
        <v>111</v>
      </c>
      <c r="B958" s="63">
        <v>621.70000000000005</v>
      </c>
      <c r="C958" s="437">
        <v>45328</v>
      </c>
    </row>
    <row r="959" spans="1:3" x14ac:dyDescent="0.3">
      <c r="A959" t="s">
        <v>32</v>
      </c>
      <c r="B959" s="283">
        <v>469.7</v>
      </c>
      <c r="C959" s="437">
        <v>45328</v>
      </c>
    </row>
    <row r="960" spans="1:3" x14ac:dyDescent="0.3">
      <c r="A960" t="s">
        <v>288</v>
      </c>
      <c r="B960" s="283">
        <v>444.9</v>
      </c>
      <c r="C960" s="437">
        <v>45328</v>
      </c>
    </row>
    <row r="961" spans="1:3" x14ac:dyDescent="0.3">
      <c r="A961" t="s">
        <v>112</v>
      </c>
      <c r="B961" s="283">
        <v>433.9</v>
      </c>
      <c r="C961" s="437">
        <v>45328</v>
      </c>
    </row>
    <row r="962" spans="1:3" x14ac:dyDescent="0.3">
      <c r="A962" t="s">
        <v>289</v>
      </c>
      <c r="B962" s="82">
        <v>444.5</v>
      </c>
      <c r="C962" s="437">
        <v>45328</v>
      </c>
    </row>
    <row r="963" spans="1:3" x14ac:dyDescent="0.3">
      <c r="A963" t="s">
        <v>291</v>
      </c>
      <c r="B963" s="312">
        <v>151.9</v>
      </c>
      <c r="C963" s="437">
        <v>45328</v>
      </c>
    </row>
    <row r="964" spans="1:3" x14ac:dyDescent="0.3">
      <c r="A964" t="s">
        <v>7</v>
      </c>
      <c r="B964" s="103">
        <v>61.6</v>
      </c>
      <c r="C964" s="437">
        <v>45329</v>
      </c>
    </row>
    <row r="965" spans="1:3" x14ac:dyDescent="0.3">
      <c r="A965" t="s">
        <v>8</v>
      </c>
      <c r="B965" s="63">
        <f>267.24+64.2</f>
        <v>331.44</v>
      </c>
      <c r="C965" s="437">
        <v>45329</v>
      </c>
    </row>
    <row r="966" spans="1:3" x14ac:dyDescent="0.3">
      <c r="A966" t="s">
        <v>9</v>
      </c>
      <c r="B966" s="63">
        <v>257.8</v>
      </c>
      <c r="C966" s="437">
        <v>45329</v>
      </c>
    </row>
    <row r="967" spans="1:3" x14ac:dyDescent="0.3">
      <c r="A967" t="s">
        <v>10</v>
      </c>
      <c r="B967" s="63">
        <v>146.30000000000001</v>
      </c>
      <c r="C967" s="437">
        <v>45329</v>
      </c>
    </row>
    <row r="968" spans="1:3" x14ac:dyDescent="0.3">
      <c r="A968" t="s">
        <v>11</v>
      </c>
      <c r="B968" s="63">
        <v>53.6</v>
      </c>
      <c r="C968" s="437">
        <v>45329</v>
      </c>
    </row>
    <row r="969" spans="1:3" x14ac:dyDescent="0.3">
      <c r="A969" t="s">
        <v>12</v>
      </c>
      <c r="B969" s="63">
        <v>114.7</v>
      </c>
      <c r="C969" s="437">
        <v>45329</v>
      </c>
    </row>
    <row r="970" spans="1:3" x14ac:dyDescent="0.3">
      <c r="A970" t="s">
        <v>13</v>
      </c>
      <c r="B970" s="283">
        <v>392.6</v>
      </c>
      <c r="C970" s="437">
        <v>45329</v>
      </c>
    </row>
    <row r="971" spans="1:3" x14ac:dyDescent="0.3">
      <c r="A971" t="s">
        <v>14</v>
      </c>
      <c r="B971" s="82">
        <v>309.2</v>
      </c>
      <c r="C971" s="437">
        <v>45329</v>
      </c>
    </row>
    <row r="972" spans="1:3" x14ac:dyDescent="0.3">
      <c r="A972" t="s">
        <v>17</v>
      </c>
      <c r="B972" s="63">
        <v>489.8</v>
      </c>
      <c r="C972" s="437">
        <v>45329</v>
      </c>
    </row>
    <row r="973" spans="1:3" x14ac:dyDescent="0.3">
      <c r="A973" t="s">
        <v>18</v>
      </c>
      <c r="B973" s="283">
        <v>523.6</v>
      </c>
      <c r="C973" s="437">
        <v>45329</v>
      </c>
    </row>
    <row r="974" spans="1:3" x14ac:dyDescent="0.3">
      <c r="A974" t="s">
        <v>110</v>
      </c>
      <c r="B974" s="283">
        <v>145</v>
      </c>
      <c r="C974" s="437">
        <v>45329</v>
      </c>
    </row>
    <row r="975" spans="1:3" x14ac:dyDescent="0.3">
      <c r="A975" t="s">
        <v>20</v>
      </c>
      <c r="B975" s="63">
        <v>473.2</v>
      </c>
      <c r="C975" s="437">
        <v>45329</v>
      </c>
    </row>
    <row r="976" spans="1:3" x14ac:dyDescent="0.3">
      <c r="A976" t="s">
        <v>22</v>
      </c>
      <c r="B976" s="82">
        <v>493.9</v>
      </c>
      <c r="C976" s="437">
        <v>45329</v>
      </c>
    </row>
    <row r="977" spans="1:3" x14ac:dyDescent="0.3">
      <c r="A977" t="s">
        <v>23</v>
      </c>
      <c r="B977" s="63">
        <v>536.6</v>
      </c>
      <c r="C977" s="437">
        <v>45329</v>
      </c>
    </row>
    <row r="978" spans="1:3" x14ac:dyDescent="0.3">
      <c r="A978" t="s">
        <v>24</v>
      </c>
      <c r="B978" s="283">
        <v>427.8</v>
      </c>
      <c r="C978" s="437">
        <v>45329</v>
      </c>
    </row>
    <row r="979" spans="1:3" x14ac:dyDescent="0.3">
      <c r="A979" t="s">
        <v>25</v>
      </c>
      <c r="B979" s="283">
        <v>559.20000000000005</v>
      </c>
      <c r="C979" s="437">
        <v>45329</v>
      </c>
    </row>
    <row r="980" spans="1:3" x14ac:dyDescent="0.3">
      <c r="A980" t="s">
        <v>26</v>
      </c>
      <c r="B980" s="283">
        <v>203.8</v>
      </c>
      <c r="C980" s="437">
        <v>45329</v>
      </c>
    </row>
    <row r="981" spans="1:3" x14ac:dyDescent="0.3">
      <c r="A981" t="s">
        <v>28</v>
      </c>
      <c r="B981" s="63">
        <v>603</v>
      </c>
      <c r="C981" s="437">
        <v>45329</v>
      </c>
    </row>
    <row r="982" spans="1:3" x14ac:dyDescent="0.3">
      <c r="A982" t="s">
        <v>29</v>
      </c>
      <c r="B982" s="63">
        <v>510.1</v>
      </c>
      <c r="C982" s="437">
        <v>45329</v>
      </c>
    </row>
    <row r="983" spans="1:3" x14ac:dyDescent="0.3">
      <c r="A983" t="s">
        <v>30</v>
      </c>
      <c r="B983" s="63">
        <v>1882.4</v>
      </c>
      <c r="C983" s="437">
        <v>45329</v>
      </c>
    </row>
    <row r="984" spans="1:3" x14ac:dyDescent="0.3">
      <c r="A984" t="s">
        <v>111</v>
      </c>
      <c r="B984" s="63">
        <v>574.1</v>
      </c>
      <c r="C984" s="437">
        <v>45329</v>
      </c>
    </row>
    <row r="985" spans="1:3" x14ac:dyDescent="0.3">
      <c r="A985" t="s">
        <v>32</v>
      </c>
      <c r="B985" s="63">
        <v>395.3</v>
      </c>
      <c r="C985" s="437">
        <v>45329</v>
      </c>
    </row>
    <row r="986" spans="1:3" x14ac:dyDescent="0.3">
      <c r="A986" t="s">
        <v>288</v>
      </c>
      <c r="B986" s="282">
        <v>302.39999999999998</v>
      </c>
      <c r="C986" s="437">
        <v>45329</v>
      </c>
    </row>
    <row r="987" spans="1:3" x14ac:dyDescent="0.3">
      <c r="A987" t="s">
        <v>112</v>
      </c>
      <c r="B987" s="282">
        <v>293.3</v>
      </c>
      <c r="C987" s="437">
        <v>45329</v>
      </c>
    </row>
    <row r="988" spans="1:3" x14ac:dyDescent="0.3">
      <c r="A988" t="s">
        <v>289</v>
      </c>
      <c r="B988" s="312">
        <v>285.3</v>
      </c>
      <c r="C988" s="437">
        <v>45329</v>
      </c>
    </row>
    <row r="989" spans="1:3" x14ac:dyDescent="0.3">
      <c r="A989" t="s">
        <v>291</v>
      </c>
      <c r="B989" s="308">
        <v>522</v>
      </c>
      <c r="C989" s="437">
        <v>45329</v>
      </c>
    </row>
    <row r="990" spans="1:3" x14ac:dyDescent="0.3">
      <c r="A990" t="s">
        <v>7</v>
      </c>
      <c r="B990" s="103">
        <v>53.7</v>
      </c>
      <c r="C990" s="437">
        <v>45330</v>
      </c>
    </row>
    <row r="991" spans="1:3" x14ac:dyDescent="0.3">
      <c r="A991" t="s">
        <v>8</v>
      </c>
      <c r="B991" s="63">
        <f>67+276.94</f>
        <v>343.94</v>
      </c>
      <c r="C991" s="437">
        <v>45330</v>
      </c>
    </row>
    <row r="992" spans="1:3" x14ac:dyDescent="0.3">
      <c r="A992" t="s">
        <v>9</v>
      </c>
      <c r="B992" s="63">
        <v>217.3</v>
      </c>
      <c r="C992" s="437">
        <v>45330</v>
      </c>
    </row>
    <row r="993" spans="1:3" x14ac:dyDescent="0.3">
      <c r="A993" t="s">
        <v>10</v>
      </c>
      <c r="B993" s="63">
        <v>124</v>
      </c>
      <c r="C993" s="437">
        <v>45330</v>
      </c>
    </row>
    <row r="994" spans="1:3" x14ac:dyDescent="0.3">
      <c r="A994" t="s">
        <v>11</v>
      </c>
      <c r="B994" s="283">
        <v>52.4</v>
      </c>
      <c r="C994" s="437">
        <v>45330</v>
      </c>
    </row>
    <row r="995" spans="1:3" x14ac:dyDescent="0.3">
      <c r="A995" t="s">
        <v>12</v>
      </c>
      <c r="B995" s="283">
        <v>105.7</v>
      </c>
      <c r="C995" s="437">
        <v>45330</v>
      </c>
    </row>
    <row r="996" spans="1:3" x14ac:dyDescent="0.3">
      <c r="A996" t="s">
        <v>13</v>
      </c>
      <c r="B996" s="283">
        <v>377.4</v>
      </c>
      <c r="C996" s="437">
        <v>45330</v>
      </c>
    </row>
    <row r="997" spans="1:3" x14ac:dyDescent="0.3">
      <c r="A997" t="s">
        <v>14</v>
      </c>
      <c r="B997" s="308">
        <v>298</v>
      </c>
      <c r="C997" s="437">
        <v>45330</v>
      </c>
    </row>
    <row r="998" spans="1:3" x14ac:dyDescent="0.3">
      <c r="A998" t="s">
        <v>17</v>
      </c>
      <c r="B998" s="283">
        <v>449.6</v>
      </c>
      <c r="C998" s="437">
        <v>45330</v>
      </c>
    </row>
    <row r="999" spans="1:3" x14ac:dyDescent="0.3">
      <c r="A999" t="s">
        <v>18</v>
      </c>
      <c r="B999" s="283">
        <v>491.8</v>
      </c>
      <c r="C999" s="437">
        <v>45330</v>
      </c>
    </row>
    <row r="1000" spans="1:3" x14ac:dyDescent="0.3">
      <c r="A1000" t="s">
        <v>110</v>
      </c>
      <c r="B1000" s="283">
        <v>144.19999999999999</v>
      </c>
      <c r="C1000" s="437">
        <v>45330</v>
      </c>
    </row>
    <row r="1001" spans="1:3" x14ac:dyDescent="0.3">
      <c r="A1001" t="s">
        <v>20</v>
      </c>
      <c r="B1001" s="63">
        <v>506</v>
      </c>
      <c r="C1001" s="437">
        <v>45330</v>
      </c>
    </row>
    <row r="1002" spans="1:3" x14ac:dyDescent="0.3">
      <c r="A1002" t="s">
        <v>22</v>
      </c>
      <c r="B1002" s="63">
        <v>436</v>
      </c>
      <c r="C1002" s="437">
        <v>45330</v>
      </c>
    </row>
    <row r="1003" spans="1:3" x14ac:dyDescent="0.3">
      <c r="A1003" t="s">
        <v>23</v>
      </c>
      <c r="B1003" s="63">
        <v>458.8</v>
      </c>
      <c r="C1003" s="437">
        <v>45330</v>
      </c>
    </row>
    <row r="1004" spans="1:3" x14ac:dyDescent="0.3">
      <c r="A1004" t="s">
        <v>24</v>
      </c>
      <c r="B1004" s="63">
        <v>378.6</v>
      </c>
      <c r="C1004" s="437">
        <v>45330</v>
      </c>
    </row>
    <row r="1005" spans="1:3" x14ac:dyDescent="0.3">
      <c r="A1005" t="s">
        <v>25</v>
      </c>
      <c r="B1005" s="63">
        <v>480.5</v>
      </c>
      <c r="C1005" s="437">
        <v>45330</v>
      </c>
    </row>
    <row r="1006" spans="1:3" x14ac:dyDescent="0.3">
      <c r="A1006" t="s">
        <v>26</v>
      </c>
      <c r="B1006" s="63">
        <v>179.5</v>
      </c>
      <c r="C1006" s="437">
        <v>45330</v>
      </c>
    </row>
    <row r="1007" spans="1:3" x14ac:dyDescent="0.3">
      <c r="A1007" t="s">
        <v>28</v>
      </c>
      <c r="B1007" s="63">
        <v>557.79999999999995</v>
      </c>
      <c r="C1007" s="437">
        <v>45330</v>
      </c>
    </row>
    <row r="1008" spans="1:3" x14ac:dyDescent="0.3">
      <c r="A1008" t="s">
        <v>29</v>
      </c>
      <c r="B1008" s="63">
        <v>497.9</v>
      </c>
      <c r="C1008" s="437">
        <v>45330</v>
      </c>
    </row>
    <row r="1009" spans="1:3" x14ac:dyDescent="0.3">
      <c r="A1009" t="s">
        <v>30</v>
      </c>
      <c r="B1009" s="63">
        <v>1774.9</v>
      </c>
      <c r="C1009" s="437">
        <v>45330</v>
      </c>
    </row>
    <row r="1010" spans="1:3" x14ac:dyDescent="0.3">
      <c r="A1010" t="s">
        <v>111</v>
      </c>
      <c r="B1010" s="63">
        <v>564.79999999999995</v>
      </c>
      <c r="C1010" s="437">
        <v>45330</v>
      </c>
    </row>
    <row r="1011" spans="1:3" x14ac:dyDescent="0.3">
      <c r="A1011" t="s">
        <v>32</v>
      </c>
      <c r="B1011" s="63">
        <v>531.20000000000005</v>
      </c>
      <c r="C1011" s="437">
        <v>45330</v>
      </c>
    </row>
    <row r="1012" spans="1:3" x14ac:dyDescent="0.3">
      <c r="A1012" t="s">
        <v>288</v>
      </c>
      <c r="B1012" s="283">
        <v>505.9</v>
      </c>
      <c r="C1012" s="437">
        <v>45330</v>
      </c>
    </row>
    <row r="1013" spans="1:3" x14ac:dyDescent="0.3">
      <c r="A1013" t="s">
        <v>112</v>
      </c>
      <c r="B1013" s="283">
        <v>501.9</v>
      </c>
      <c r="C1013" s="437">
        <v>45330</v>
      </c>
    </row>
    <row r="1014" spans="1:3" x14ac:dyDescent="0.3">
      <c r="A1014" t="s">
        <v>289</v>
      </c>
      <c r="B1014" s="283">
        <v>490.3</v>
      </c>
      <c r="C1014" s="437">
        <v>45330</v>
      </c>
    </row>
    <row r="1015" spans="1:3" x14ac:dyDescent="0.3">
      <c r="A1015" t="s">
        <v>291</v>
      </c>
      <c r="B1015" s="283">
        <v>464.1</v>
      </c>
      <c r="C1015" s="437">
        <v>45330</v>
      </c>
    </row>
    <row r="1016" spans="1:3" x14ac:dyDescent="0.3">
      <c r="A1016" t="s">
        <v>7</v>
      </c>
      <c r="B1016" s="103">
        <v>59.7</v>
      </c>
      <c r="C1016" s="437">
        <v>45331</v>
      </c>
    </row>
    <row r="1017" spans="1:3" x14ac:dyDescent="0.3">
      <c r="A1017" t="s">
        <v>8</v>
      </c>
      <c r="B1017" s="63">
        <f>68.7+288.2</f>
        <v>356.9</v>
      </c>
      <c r="C1017" s="437">
        <v>45331</v>
      </c>
    </row>
    <row r="1018" spans="1:3" x14ac:dyDescent="0.3">
      <c r="A1018" t="s">
        <v>9</v>
      </c>
      <c r="B1018" s="283">
        <v>252.9</v>
      </c>
      <c r="C1018" s="437">
        <v>45331</v>
      </c>
    </row>
    <row r="1019" spans="1:3" x14ac:dyDescent="0.3">
      <c r="A1019" t="s">
        <v>10</v>
      </c>
      <c r="B1019" s="283">
        <v>143.69999999999999</v>
      </c>
      <c r="C1019" s="437">
        <v>45331</v>
      </c>
    </row>
    <row r="1020" spans="1:3" x14ac:dyDescent="0.3">
      <c r="A1020" t="s">
        <v>11</v>
      </c>
      <c r="B1020" s="63">
        <v>55.3</v>
      </c>
      <c r="C1020" s="437">
        <v>45331</v>
      </c>
    </row>
    <row r="1021" spans="1:3" x14ac:dyDescent="0.3">
      <c r="A1021" t="s">
        <v>12</v>
      </c>
      <c r="B1021" s="63">
        <v>113.7</v>
      </c>
      <c r="C1021" s="437">
        <v>45331</v>
      </c>
    </row>
    <row r="1022" spans="1:3" x14ac:dyDescent="0.3">
      <c r="A1022" t="s">
        <v>13</v>
      </c>
      <c r="B1022" s="63">
        <v>394.4</v>
      </c>
      <c r="C1022" s="437">
        <v>45331</v>
      </c>
    </row>
    <row r="1023" spans="1:3" x14ac:dyDescent="0.3">
      <c r="A1023" t="s">
        <v>14</v>
      </c>
      <c r="B1023" s="82">
        <v>300.39999999999998</v>
      </c>
      <c r="C1023" s="437">
        <v>45331</v>
      </c>
    </row>
    <row r="1024" spans="1:3" x14ac:dyDescent="0.3">
      <c r="A1024" t="s">
        <v>17</v>
      </c>
      <c r="B1024" s="63">
        <v>471.9</v>
      </c>
      <c r="C1024" s="437">
        <v>45331</v>
      </c>
    </row>
    <row r="1025" spans="1:3" x14ac:dyDescent="0.3">
      <c r="A1025" t="s">
        <v>18</v>
      </c>
      <c r="B1025" s="63">
        <v>527.4</v>
      </c>
      <c r="C1025" s="437">
        <v>45331</v>
      </c>
    </row>
    <row r="1026" spans="1:3" x14ac:dyDescent="0.3">
      <c r="A1026" t="s">
        <v>110</v>
      </c>
      <c r="B1026" s="63">
        <v>156</v>
      </c>
      <c r="C1026" s="437">
        <v>45331</v>
      </c>
    </row>
    <row r="1027" spans="1:3" x14ac:dyDescent="0.3">
      <c r="A1027" t="s">
        <v>20</v>
      </c>
      <c r="B1027" s="63">
        <v>536</v>
      </c>
      <c r="C1027" s="437">
        <v>45331</v>
      </c>
    </row>
    <row r="1028" spans="1:3" x14ac:dyDescent="0.3">
      <c r="A1028" t="s">
        <v>22</v>
      </c>
      <c r="B1028" s="63">
        <v>453.5</v>
      </c>
      <c r="C1028" s="437">
        <v>45331</v>
      </c>
    </row>
    <row r="1029" spans="1:3" x14ac:dyDescent="0.3">
      <c r="A1029" t="s">
        <v>23</v>
      </c>
      <c r="B1029" s="63">
        <v>487.2</v>
      </c>
      <c r="C1029" s="437">
        <v>45331</v>
      </c>
    </row>
    <row r="1030" spans="1:3" x14ac:dyDescent="0.3">
      <c r="A1030" t="s">
        <v>24</v>
      </c>
      <c r="B1030" s="63">
        <v>450.1</v>
      </c>
      <c r="C1030" s="437">
        <v>45331</v>
      </c>
    </row>
    <row r="1031" spans="1:3" x14ac:dyDescent="0.3">
      <c r="A1031" t="s">
        <v>25</v>
      </c>
      <c r="B1031" s="63">
        <v>557.20000000000005</v>
      </c>
      <c r="C1031" s="437">
        <v>45331</v>
      </c>
    </row>
    <row r="1032" spans="1:3" x14ac:dyDescent="0.3">
      <c r="A1032" t="s">
        <v>26</v>
      </c>
      <c r="B1032" s="283">
        <v>189.8</v>
      </c>
      <c r="C1032" s="437">
        <v>45331</v>
      </c>
    </row>
    <row r="1033" spans="1:3" x14ac:dyDescent="0.3">
      <c r="A1033" t="s">
        <v>28</v>
      </c>
      <c r="B1033" s="63">
        <v>647.9</v>
      </c>
      <c r="C1033" s="437">
        <v>45331</v>
      </c>
    </row>
    <row r="1034" spans="1:3" x14ac:dyDescent="0.3">
      <c r="A1034" t="s">
        <v>29</v>
      </c>
      <c r="B1034" s="63">
        <v>565.4</v>
      </c>
      <c r="C1034" s="437">
        <v>45331</v>
      </c>
    </row>
    <row r="1035" spans="1:3" x14ac:dyDescent="0.3">
      <c r="A1035" t="s">
        <v>30</v>
      </c>
      <c r="B1035" s="63">
        <v>2040</v>
      </c>
      <c r="C1035" s="437">
        <v>45331</v>
      </c>
    </row>
    <row r="1036" spans="1:3" x14ac:dyDescent="0.3">
      <c r="A1036" t="s">
        <v>111</v>
      </c>
      <c r="B1036" s="63">
        <v>597</v>
      </c>
      <c r="C1036" s="437">
        <v>45331</v>
      </c>
    </row>
    <row r="1037" spans="1:3" x14ac:dyDescent="0.3">
      <c r="A1037" t="s">
        <v>32</v>
      </c>
      <c r="B1037" s="63">
        <v>565.9</v>
      </c>
      <c r="C1037" s="437">
        <v>45331</v>
      </c>
    </row>
    <row r="1038" spans="1:3" x14ac:dyDescent="0.3">
      <c r="A1038" t="s">
        <v>288</v>
      </c>
      <c r="B1038" s="63">
        <v>522</v>
      </c>
      <c r="C1038" s="437">
        <v>45331</v>
      </c>
    </row>
    <row r="1039" spans="1:3" x14ac:dyDescent="0.3">
      <c r="A1039" t="s">
        <v>112</v>
      </c>
      <c r="B1039" s="63">
        <v>525.4</v>
      </c>
      <c r="C1039" s="437">
        <v>45331</v>
      </c>
    </row>
    <row r="1040" spans="1:3" x14ac:dyDescent="0.3">
      <c r="A1040" t="s">
        <v>289</v>
      </c>
      <c r="B1040" s="63">
        <v>507.2</v>
      </c>
      <c r="C1040" s="437">
        <v>45331</v>
      </c>
    </row>
    <row r="1041" spans="1:3" x14ac:dyDescent="0.3">
      <c r="A1041" t="s">
        <v>291</v>
      </c>
      <c r="B1041" s="283">
        <v>505.4</v>
      </c>
      <c r="C1041" s="437">
        <v>45331</v>
      </c>
    </row>
    <row r="1042" spans="1:3" x14ac:dyDescent="0.3">
      <c r="A1042" t="s">
        <v>7</v>
      </c>
      <c r="B1042" s="103">
        <v>50.7</v>
      </c>
      <c r="C1042" s="437">
        <v>45332</v>
      </c>
    </row>
    <row r="1043" spans="1:3" x14ac:dyDescent="0.3">
      <c r="A1043" t="s">
        <v>8</v>
      </c>
      <c r="B1043" s="63">
        <f>59.3+247.96</f>
        <v>307.26</v>
      </c>
      <c r="C1043" s="437">
        <v>45332</v>
      </c>
    </row>
    <row r="1044" spans="1:3" x14ac:dyDescent="0.3">
      <c r="A1044" t="s">
        <v>9</v>
      </c>
      <c r="B1044" s="283">
        <v>206.8</v>
      </c>
      <c r="C1044" s="437">
        <v>45332</v>
      </c>
    </row>
    <row r="1045" spans="1:3" x14ac:dyDescent="0.3">
      <c r="A1045" t="s">
        <v>10</v>
      </c>
      <c r="B1045" s="283">
        <v>120.2</v>
      </c>
      <c r="C1045" s="437">
        <v>45332</v>
      </c>
    </row>
    <row r="1046" spans="1:3" x14ac:dyDescent="0.3">
      <c r="A1046" t="s">
        <v>11</v>
      </c>
      <c r="B1046" s="63">
        <v>48.5</v>
      </c>
      <c r="C1046" s="437">
        <v>45332</v>
      </c>
    </row>
    <row r="1047" spans="1:3" x14ac:dyDescent="0.3">
      <c r="A1047" t="s">
        <v>12</v>
      </c>
      <c r="B1047" s="63">
        <v>102.6</v>
      </c>
      <c r="C1047" s="437">
        <v>45332</v>
      </c>
    </row>
    <row r="1048" spans="1:3" x14ac:dyDescent="0.3">
      <c r="A1048" t="s">
        <v>13</v>
      </c>
      <c r="B1048" s="63">
        <v>338.3</v>
      </c>
      <c r="C1048" s="437">
        <v>45332</v>
      </c>
    </row>
    <row r="1049" spans="1:3" x14ac:dyDescent="0.3">
      <c r="A1049" t="s">
        <v>14</v>
      </c>
      <c r="B1049" s="82">
        <v>279</v>
      </c>
      <c r="C1049" s="437">
        <v>45332</v>
      </c>
    </row>
    <row r="1050" spans="1:3" x14ac:dyDescent="0.3">
      <c r="A1050" t="s">
        <v>17</v>
      </c>
      <c r="B1050" s="63">
        <v>481.9</v>
      </c>
      <c r="C1050" s="437">
        <v>45332</v>
      </c>
    </row>
    <row r="1051" spans="1:3" x14ac:dyDescent="0.3">
      <c r="A1051" t="s">
        <v>18</v>
      </c>
      <c r="B1051" s="63">
        <v>485.4</v>
      </c>
      <c r="C1051" s="437">
        <v>45332</v>
      </c>
    </row>
    <row r="1052" spans="1:3" x14ac:dyDescent="0.3">
      <c r="A1052" t="s">
        <v>110</v>
      </c>
      <c r="B1052" s="63">
        <v>137.1</v>
      </c>
      <c r="C1052" s="437">
        <v>45332</v>
      </c>
    </row>
    <row r="1053" spans="1:3" x14ac:dyDescent="0.3">
      <c r="A1053" t="s">
        <v>20</v>
      </c>
      <c r="B1053" s="63">
        <v>509.3</v>
      </c>
      <c r="C1053" s="437">
        <v>45332</v>
      </c>
    </row>
    <row r="1054" spans="1:3" x14ac:dyDescent="0.3">
      <c r="A1054" t="s">
        <v>22</v>
      </c>
      <c r="B1054" s="63">
        <v>387.2</v>
      </c>
      <c r="C1054" s="437">
        <v>45332</v>
      </c>
    </row>
    <row r="1055" spans="1:3" x14ac:dyDescent="0.3">
      <c r="A1055" t="s">
        <v>23</v>
      </c>
      <c r="B1055" s="316">
        <v>415.3</v>
      </c>
      <c r="C1055" s="437">
        <v>45332</v>
      </c>
    </row>
    <row r="1056" spans="1:3" x14ac:dyDescent="0.3">
      <c r="A1056" t="s">
        <v>24</v>
      </c>
      <c r="B1056" s="63">
        <v>395.6</v>
      </c>
      <c r="C1056" s="437">
        <v>45332</v>
      </c>
    </row>
    <row r="1057" spans="1:3" x14ac:dyDescent="0.3">
      <c r="A1057" t="s">
        <v>25</v>
      </c>
      <c r="B1057" s="63">
        <v>498.8</v>
      </c>
      <c r="C1057" s="437">
        <v>45332</v>
      </c>
    </row>
    <row r="1058" spans="1:3" x14ac:dyDescent="0.3">
      <c r="A1058" t="s">
        <v>26</v>
      </c>
      <c r="B1058" s="63">
        <v>181.8</v>
      </c>
      <c r="C1058" s="437">
        <v>45332</v>
      </c>
    </row>
    <row r="1059" spans="1:3" x14ac:dyDescent="0.3">
      <c r="A1059" t="s">
        <v>28</v>
      </c>
      <c r="B1059" s="63">
        <v>597.4</v>
      </c>
      <c r="C1059" s="437">
        <v>45332</v>
      </c>
    </row>
    <row r="1060" spans="1:3" x14ac:dyDescent="0.3">
      <c r="A1060" t="s">
        <v>29</v>
      </c>
      <c r="B1060" s="63">
        <v>536.70000000000005</v>
      </c>
      <c r="C1060" s="437">
        <v>45332</v>
      </c>
    </row>
    <row r="1061" spans="1:3" x14ac:dyDescent="0.3">
      <c r="A1061" t="s">
        <v>30</v>
      </c>
      <c r="B1061" s="63">
        <v>1932.7</v>
      </c>
      <c r="C1061" s="437">
        <v>45332</v>
      </c>
    </row>
    <row r="1062" spans="1:3" x14ac:dyDescent="0.3">
      <c r="A1062" t="s">
        <v>111</v>
      </c>
      <c r="B1062" s="63">
        <v>625.1</v>
      </c>
      <c r="C1062" s="437">
        <v>45332</v>
      </c>
    </row>
    <row r="1063" spans="1:3" x14ac:dyDescent="0.3">
      <c r="A1063" t="s">
        <v>32</v>
      </c>
      <c r="B1063" s="63">
        <v>553.70000000000005</v>
      </c>
      <c r="C1063" s="437">
        <v>45332</v>
      </c>
    </row>
    <row r="1064" spans="1:3" x14ac:dyDescent="0.3">
      <c r="A1064" t="s">
        <v>288</v>
      </c>
      <c r="B1064" s="63">
        <v>488.5</v>
      </c>
      <c r="C1064" s="437">
        <v>45332</v>
      </c>
    </row>
    <row r="1065" spans="1:3" x14ac:dyDescent="0.3">
      <c r="A1065" t="s">
        <v>112</v>
      </c>
      <c r="B1065" s="63">
        <v>506.6</v>
      </c>
      <c r="C1065" s="437">
        <v>45332</v>
      </c>
    </row>
    <row r="1066" spans="1:3" x14ac:dyDescent="0.3">
      <c r="A1066" t="s">
        <v>289</v>
      </c>
      <c r="B1066" s="63">
        <v>499.9</v>
      </c>
      <c r="C1066" s="437">
        <v>45332</v>
      </c>
    </row>
    <row r="1067" spans="1:3" x14ac:dyDescent="0.3">
      <c r="A1067" t="s">
        <v>291</v>
      </c>
      <c r="B1067" s="283">
        <v>431.2</v>
      </c>
      <c r="C1067" s="437">
        <v>45332</v>
      </c>
    </row>
    <row r="1068" spans="1:3" x14ac:dyDescent="0.3">
      <c r="A1068" t="s">
        <v>7</v>
      </c>
      <c r="B1068" s="283">
        <v>59.4</v>
      </c>
      <c r="C1068" s="437">
        <v>45333</v>
      </c>
    </row>
    <row r="1069" spans="1:3" x14ac:dyDescent="0.3">
      <c r="A1069" t="s">
        <v>8</v>
      </c>
      <c r="B1069" s="283">
        <f>256.2+61.7</f>
        <v>317.89999999999998</v>
      </c>
      <c r="C1069" s="437">
        <v>45333</v>
      </c>
    </row>
    <row r="1070" spans="1:3" x14ac:dyDescent="0.3">
      <c r="A1070" t="s">
        <v>9</v>
      </c>
      <c r="B1070" s="283">
        <v>255.2</v>
      </c>
      <c r="C1070" s="437">
        <v>45333</v>
      </c>
    </row>
    <row r="1071" spans="1:3" x14ac:dyDescent="0.3">
      <c r="A1071" t="s">
        <v>10</v>
      </c>
      <c r="B1071" s="283">
        <v>148.69999999999999</v>
      </c>
      <c r="C1071" s="437">
        <v>45333</v>
      </c>
    </row>
    <row r="1072" spans="1:3" x14ac:dyDescent="0.3">
      <c r="A1072" t="s">
        <v>11</v>
      </c>
      <c r="B1072" s="63">
        <v>57.2</v>
      </c>
      <c r="C1072" s="437">
        <v>45333</v>
      </c>
    </row>
    <row r="1073" spans="1:3" x14ac:dyDescent="0.3">
      <c r="A1073" t="s">
        <v>12</v>
      </c>
      <c r="B1073" s="63">
        <v>115.1</v>
      </c>
      <c r="C1073" s="437">
        <v>45333</v>
      </c>
    </row>
    <row r="1074" spans="1:3" x14ac:dyDescent="0.3">
      <c r="A1074" t="s">
        <v>13</v>
      </c>
      <c r="B1074" s="63">
        <v>383.7</v>
      </c>
      <c r="C1074" s="437">
        <v>45333</v>
      </c>
    </row>
    <row r="1075" spans="1:3" x14ac:dyDescent="0.3">
      <c r="A1075" t="s">
        <v>14</v>
      </c>
      <c r="B1075" s="82">
        <v>319.60000000000002</v>
      </c>
      <c r="C1075" s="437">
        <v>45333</v>
      </c>
    </row>
    <row r="1076" spans="1:3" x14ac:dyDescent="0.3">
      <c r="A1076" t="s">
        <v>17</v>
      </c>
      <c r="B1076" s="63">
        <v>481.6</v>
      </c>
      <c r="C1076" s="437">
        <v>45333</v>
      </c>
    </row>
    <row r="1077" spans="1:3" x14ac:dyDescent="0.3">
      <c r="A1077" t="s">
        <v>18</v>
      </c>
      <c r="B1077" s="63">
        <v>533</v>
      </c>
      <c r="C1077" s="437">
        <v>45333</v>
      </c>
    </row>
    <row r="1078" spans="1:3" x14ac:dyDescent="0.3">
      <c r="A1078" t="s">
        <v>110</v>
      </c>
      <c r="B1078" s="63">
        <v>158.69999999999999</v>
      </c>
      <c r="C1078" s="437">
        <v>45333</v>
      </c>
    </row>
    <row r="1079" spans="1:3" x14ac:dyDescent="0.3">
      <c r="A1079" t="s">
        <v>20</v>
      </c>
      <c r="B1079" s="63">
        <v>429.4</v>
      </c>
      <c r="C1079" s="437">
        <v>45333</v>
      </c>
    </row>
    <row r="1080" spans="1:3" x14ac:dyDescent="0.3">
      <c r="A1080" t="s">
        <v>22</v>
      </c>
      <c r="B1080" s="63">
        <v>451.7</v>
      </c>
      <c r="C1080" s="437">
        <v>45333</v>
      </c>
    </row>
    <row r="1081" spans="1:3" x14ac:dyDescent="0.3">
      <c r="A1081" t="s">
        <v>23</v>
      </c>
      <c r="B1081" s="63">
        <v>507.3</v>
      </c>
      <c r="C1081" s="437">
        <v>45333</v>
      </c>
    </row>
    <row r="1082" spans="1:3" x14ac:dyDescent="0.3">
      <c r="A1082" t="s">
        <v>24</v>
      </c>
      <c r="B1082" s="63">
        <v>341.8</v>
      </c>
      <c r="C1082" s="437">
        <v>45333</v>
      </c>
    </row>
    <row r="1083" spans="1:3" x14ac:dyDescent="0.3">
      <c r="A1083" t="s">
        <v>25</v>
      </c>
      <c r="B1083" s="316">
        <v>413.1</v>
      </c>
      <c r="C1083" s="437">
        <v>45333</v>
      </c>
    </row>
    <row r="1084" spans="1:3" x14ac:dyDescent="0.3">
      <c r="A1084" t="s">
        <v>26</v>
      </c>
      <c r="B1084" s="63">
        <v>156.6</v>
      </c>
      <c r="C1084" s="437">
        <v>45333</v>
      </c>
    </row>
    <row r="1085" spans="1:3" x14ac:dyDescent="0.3">
      <c r="A1085" t="s">
        <v>28</v>
      </c>
      <c r="B1085" s="63">
        <v>575</v>
      </c>
      <c r="C1085" s="437">
        <v>45333</v>
      </c>
    </row>
    <row r="1086" spans="1:3" x14ac:dyDescent="0.3">
      <c r="A1086" t="s">
        <v>29</v>
      </c>
      <c r="B1086" s="63">
        <v>498.5</v>
      </c>
      <c r="C1086" s="437">
        <v>45333</v>
      </c>
    </row>
    <row r="1087" spans="1:3" x14ac:dyDescent="0.3">
      <c r="A1087" t="s">
        <v>30</v>
      </c>
      <c r="B1087" s="63">
        <v>1890</v>
      </c>
      <c r="C1087" s="437">
        <v>45333</v>
      </c>
    </row>
    <row r="1088" spans="1:3" x14ac:dyDescent="0.3">
      <c r="A1088" t="s">
        <v>111</v>
      </c>
      <c r="B1088" s="63">
        <v>581.20000000000005</v>
      </c>
      <c r="C1088" s="437">
        <v>45333</v>
      </c>
    </row>
    <row r="1089" spans="1:3" x14ac:dyDescent="0.3">
      <c r="A1089" t="s">
        <v>32</v>
      </c>
      <c r="B1089" s="63">
        <v>451.6</v>
      </c>
      <c r="C1089" s="437">
        <v>45333</v>
      </c>
    </row>
    <row r="1090" spans="1:3" x14ac:dyDescent="0.3">
      <c r="A1090" t="s">
        <v>288</v>
      </c>
      <c r="B1090" s="63">
        <v>523.20000000000005</v>
      </c>
      <c r="C1090" s="437">
        <v>45333</v>
      </c>
    </row>
    <row r="1091" spans="1:3" x14ac:dyDescent="0.3">
      <c r="A1091" t="s">
        <v>112</v>
      </c>
      <c r="B1091" s="63">
        <v>507</v>
      </c>
      <c r="C1091" s="437">
        <v>45333</v>
      </c>
    </row>
    <row r="1092" spans="1:3" x14ac:dyDescent="0.3">
      <c r="A1092" t="s">
        <v>289</v>
      </c>
      <c r="B1092" s="63">
        <v>513.20000000000005</v>
      </c>
      <c r="C1092" s="437">
        <v>45333</v>
      </c>
    </row>
    <row r="1093" spans="1:3" x14ac:dyDescent="0.3">
      <c r="A1093" t="s">
        <v>291</v>
      </c>
      <c r="B1093" s="283">
        <v>474.5</v>
      </c>
      <c r="C1093" s="437">
        <v>45333</v>
      </c>
    </row>
    <row r="1094" spans="1:3" x14ac:dyDescent="0.3">
      <c r="A1094" t="s">
        <v>7</v>
      </c>
      <c r="B1094" s="103">
        <v>69.3</v>
      </c>
      <c r="C1094" s="437">
        <v>45334</v>
      </c>
    </row>
    <row r="1095" spans="1:3" x14ac:dyDescent="0.3">
      <c r="A1095" t="s">
        <v>8</v>
      </c>
      <c r="B1095" s="63">
        <f>320.9+76.9</f>
        <v>397.79999999999995</v>
      </c>
      <c r="C1095" s="437">
        <v>45334</v>
      </c>
    </row>
    <row r="1096" spans="1:3" x14ac:dyDescent="0.3">
      <c r="A1096" t="s">
        <v>9</v>
      </c>
      <c r="B1096" s="283">
        <v>288.8</v>
      </c>
      <c r="C1096" s="437">
        <v>45334</v>
      </c>
    </row>
    <row r="1097" spans="1:3" x14ac:dyDescent="0.3">
      <c r="A1097" t="s">
        <v>10</v>
      </c>
      <c r="B1097" s="63">
        <v>165.7</v>
      </c>
      <c r="C1097" s="437">
        <v>45334</v>
      </c>
    </row>
    <row r="1098" spans="1:3" x14ac:dyDescent="0.3">
      <c r="A1098" t="s">
        <v>11</v>
      </c>
      <c r="B1098" s="63">
        <v>63.1</v>
      </c>
      <c r="C1098" s="437">
        <v>45334</v>
      </c>
    </row>
    <row r="1099" spans="1:3" x14ac:dyDescent="0.3">
      <c r="A1099" t="s">
        <v>12</v>
      </c>
      <c r="B1099" s="63">
        <v>136.19999999999999</v>
      </c>
      <c r="C1099" s="437">
        <v>45334</v>
      </c>
    </row>
    <row r="1100" spans="1:3" x14ac:dyDescent="0.3">
      <c r="A1100" t="s">
        <v>13</v>
      </c>
      <c r="B1100" s="63">
        <v>430.4</v>
      </c>
      <c r="C1100" s="437">
        <v>45334</v>
      </c>
    </row>
    <row r="1101" spans="1:3" x14ac:dyDescent="0.3">
      <c r="A1101" t="s">
        <v>14</v>
      </c>
      <c r="B1101" s="82">
        <v>362.3</v>
      </c>
      <c r="C1101" s="437">
        <v>45334</v>
      </c>
    </row>
    <row r="1102" spans="1:3" x14ac:dyDescent="0.3">
      <c r="A1102" t="s">
        <v>17</v>
      </c>
      <c r="B1102" s="63">
        <v>580.20000000000005</v>
      </c>
      <c r="C1102" s="437">
        <v>45334</v>
      </c>
    </row>
    <row r="1103" spans="1:3" x14ac:dyDescent="0.3">
      <c r="A1103" t="s">
        <v>18</v>
      </c>
      <c r="B1103" s="63">
        <v>571.20000000000005</v>
      </c>
      <c r="C1103" s="437">
        <v>45334</v>
      </c>
    </row>
    <row r="1104" spans="1:3" x14ac:dyDescent="0.3">
      <c r="A1104" t="s">
        <v>110</v>
      </c>
      <c r="B1104" s="63">
        <v>164.6</v>
      </c>
      <c r="C1104" s="437">
        <v>45334</v>
      </c>
    </row>
    <row r="1105" spans="1:3" x14ac:dyDescent="0.3">
      <c r="A1105" t="s">
        <v>20</v>
      </c>
      <c r="B1105" s="63">
        <v>524</v>
      </c>
      <c r="C1105" s="437">
        <v>45334</v>
      </c>
    </row>
    <row r="1106" spans="1:3" x14ac:dyDescent="0.3">
      <c r="A1106" t="s">
        <v>22</v>
      </c>
      <c r="B1106" s="63">
        <v>531.4</v>
      </c>
      <c r="C1106" s="437">
        <v>45334</v>
      </c>
    </row>
    <row r="1107" spans="1:3" x14ac:dyDescent="0.3">
      <c r="A1107" t="s">
        <v>23</v>
      </c>
      <c r="B1107" s="63">
        <v>588.4</v>
      </c>
      <c r="C1107" s="437">
        <v>45334</v>
      </c>
    </row>
    <row r="1108" spans="1:3" x14ac:dyDescent="0.3">
      <c r="A1108" t="s">
        <v>24</v>
      </c>
      <c r="B1108" s="63">
        <v>451.5</v>
      </c>
      <c r="C1108" s="437">
        <v>45334</v>
      </c>
    </row>
    <row r="1109" spans="1:3" x14ac:dyDescent="0.3">
      <c r="A1109" t="s">
        <v>25</v>
      </c>
      <c r="B1109" s="63">
        <v>573.5</v>
      </c>
      <c r="C1109" s="437">
        <v>45334</v>
      </c>
    </row>
    <row r="1110" spans="1:3" x14ac:dyDescent="0.3">
      <c r="A1110" t="s">
        <v>26</v>
      </c>
      <c r="B1110" s="63">
        <v>183.3</v>
      </c>
      <c r="C1110" s="437">
        <v>45334</v>
      </c>
    </row>
    <row r="1111" spans="1:3" x14ac:dyDescent="0.3">
      <c r="A1111" t="s">
        <v>28</v>
      </c>
      <c r="B1111" s="63">
        <v>642.4</v>
      </c>
      <c r="C1111" s="437">
        <v>45334</v>
      </c>
    </row>
    <row r="1112" spans="1:3" x14ac:dyDescent="0.3">
      <c r="A1112" t="s">
        <v>29</v>
      </c>
      <c r="B1112" s="316">
        <v>568.6</v>
      </c>
      <c r="C1112" s="437">
        <v>45334</v>
      </c>
    </row>
    <row r="1113" spans="1:3" x14ac:dyDescent="0.3">
      <c r="A1113" t="s">
        <v>30</v>
      </c>
      <c r="B1113" s="63">
        <v>2010</v>
      </c>
      <c r="C1113" s="437">
        <v>45334</v>
      </c>
    </row>
    <row r="1114" spans="1:3" x14ac:dyDescent="0.3">
      <c r="A1114" t="s">
        <v>111</v>
      </c>
      <c r="B1114" s="63">
        <v>559.79999999999995</v>
      </c>
      <c r="C1114" s="437">
        <v>45334</v>
      </c>
    </row>
    <row r="1115" spans="1:3" x14ac:dyDescent="0.3">
      <c r="A1115" t="s">
        <v>32</v>
      </c>
      <c r="B1115" s="63">
        <v>560</v>
      </c>
      <c r="C1115" s="437">
        <v>45334</v>
      </c>
    </row>
    <row r="1116" spans="1:3" x14ac:dyDescent="0.3">
      <c r="A1116" t="s">
        <v>288</v>
      </c>
      <c r="B1116" s="63">
        <v>448</v>
      </c>
      <c r="C1116" s="437">
        <v>45334</v>
      </c>
    </row>
    <row r="1117" spans="1:3" x14ac:dyDescent="0.3">
      <c r="A1117" t="s">
        <v>112</v>
      </c>
      <c r="B1117" s="63">
        <v>489.1</v>
      </c>
      <c r="C1117" s="437">
        <v>45334</v>
      </c>
    </row>
    <row r="1118" spans="1:3" x14ac:dyDescent="0.3">
      <c r="A1118" t="s">
        <v>289</v>
      </c>
      <c r="B1118" s="63">
        <v>476.2</v>
      </c>
      <c r="C1118" s="437">
        <v>45334</v>
      </c>
    </row>
    <row r="1119" spans="1:3" x14ac:dyDescent="0.3">
      <c r="A1119" t="s">
        <v>291</v>
      </c>
      <c r="B1119" s="283">
        <v>553.6</v>
      </c>
      <c r="C1119" s="437">
        <v>45334</v>
      </c>
    </row>
    <row r="1120" spans="1:3" x14ac:dyDescent="0.3">
      <c r="A1120" t="s">
        <v>7</v>
      </c>
      <c r="B1120" s="103">
        <v>56.5</v>
      </c>
      <c r="C1120" s="437">
        <v>45335</v>
      </c>
    </row>
    <row r="1121" spans="1:3" x14ac:dyDescent="0.3">
      <c r="A1121" t="s">
        <v>8</v>
      </c>
      <c r="B1121" s="63">
        <f>258.1+62.9</f>
        <v>321</v>
      </c>
      <c r="C1121" s="437">
        <v>45335</v>
      </c>
    </row>
    <row r="1122" spans="1:3" x14ac:dyDescent="0.3">
      <c r="A1122" t="s">
        <v>9</v>
      </c>
      <c r="B1122" s="283">
        <v>228.9</v>
      </c>
      <c r="C1122" s="437">
        <v>45335</v>
      </c>
    </row>
    <row r="1123" spans="1:3" x14ac:dyDescent="0.3">
      <c r="A1123" t="s">
        <v>10</v>
      </c>
      <c r="B1123" s="63">
        <v>130.4</v>
      </c>
      <c r="C1123" s="437">
        <v>45335</v>
      </c>
    </row>
    <row r="1124" spans="1:3" x14ac:dyDescent="0.3">
      <c r="A1124" t="s">
        <v>11</v>
      </c>
      <c r="B1124" s="63">
        <v>61.8</v>
      </c>
      <c r="C1124" s="437">
        <v>45335</v>
      </c>
    </row>
    <row r="1125" spans="1:3" x14ac:dyDescent="0.3">
      <c r="A1125" t="s">
        <v>12</v>
      </c>
      <c r="B1125" s="63">
        <v>132.4</v>
      </c>
      <c r="C1125" s="437">
        <v>45335</v>
      </c>
    </row>
    <row r="1126" spans="1:3" x14ac:dyDescent="0.3">
      <c r="A1126" t="s">
        <v>13</v>
      </c>
      <c r="B1126" s="63">
        <v>412.3</v>
      </c>
      <c r="C1126" s="437">
        <v>45335</v>
      </c>
    </row>
    <row r="1127" spans="1:3" x14ac:dyDescent="0.3">
      <c r="A1127" t="s">
        <v>14</v>
      </c>
      <c r="B1127" s="82">
        <v>323.2</v>
      </c>
      <c r="C1127" s="437">
        <v>45335</v>
      </c>
    </row>
    <row r="1128" spans="1:3" x14ac:dyDescent="0.3">
      <c r="A1128" t="s">
        <v>17</v>
      </c>
      <c r="B1128" s="63">
        <v>529.5</v>
      </c>
      <c r="C1128" s="437">
        <v>45335</v>
      </c>
    </row>
    <row r="1129" spans="1:3" x14ac:dyDescent="0.3">
      <c r="A1129" t="s">
        <v>18</v>
      </c>
      <c r="B1129" s="63">
        <v>549.20000000000005</v>
      </c>
      <c r="C1129" s="437">
        <v>45335</v>
      </c>
    </row>
    <row r="1130" spans="1:3" x14ac:dyDescent="0.3">
      <c r="A1130" t="s">
        <v>110</v>
      </c>
      <c r="B1130" s="63">
        <v>154.19999999999999</v>
      </c>
      <c r="C1130" s="437">
        <v>45335</v>
      </c>
    </row>
    <row r="1131" spans="1:3" x14ac:dyDescent="0.3">
      <c r="A1131" t="s">
        <v>20</v>
      </c>
      <c r="B1131" s="283">
        <v>517.1</v>
      </c>
      <c r="C1131" s="437">
        <v>45335</v>
      </c>
    </row>
    <row r="1132" spans="1:3" x14ac:dyDescent="0.3">
      <c r="A1132" t="s">
        <v>22</v>
      </c>
      <c r="B1132" s="283">
        <v>433.7</v>
      </c>
      <c r="C1132" s="437">
        <v>45335</v>
      </c>
    </row>
    <row r="1133" spans="1:3" x14ac:dyDescent="0.3">
      <c r="A1133" t="s">
        <v>23</v>
      </c>
      <c r="B1133" s="63">
        <v>469.7</v>
      </c>
      <c r="C1133" s="437">
        <v>45335</v>
      </c>
    </row>
    <row r="1134" spans="1:3" x14ac:dyDescent="0.3">
      <c r="A1134" t="s">
        <v>24</v>
      </c>
      <c r="B1134" s="63">
        <v>379.1</v>
      </c>
      <c r="C1134" s="437">
        <v>45335</v>
      </c>
    </row>
    <row r="1135" spans="1:3" x14ac:dyDescent="0.3">
      <c r="A1135" t="s">
        <v>25</v>
      </c>
      <c r="B1135" s="63">
        <v>507.7</v>
      </c>
      <c r="C1135" s="437">
        <v>45335</v>
      </c>
    </row>
    <row r="1136" spans="1:3" x14ac:dyDescent="0.3">
      <c r="A1136" t="s">
        <v>26</v>
      </c>
      <c r="B1136" s="63">
        <v>183.1</v>
      </c>
      <c r="C1136" s="437">
        <v>45335</v>
      </c>
    </row>
    <row r="1137" spans="1:3" x14ac:dyDescent="0.3">
      <c r="A1137" t="s">
        <v>28</v>
      </c>
      <c r="B1137" s="63">
        <v>632.20000000000005</v>
      </c>
      <c r="C1137" s="437">
        <v>45335</v>
      </c>
    </row>
    <row r="1138" spans="1:3" x14ac:dyDescent="0.3">
      <c r="A1138" t="s">
        <v>29</v>
      </c>
      <c r="B1138" s="63">
        <v>536.9</v>
      </c>
      <c r="C1138" s="437">
        <v>45335</v>
      </c>
    </row>
    <row r="1139" spans="1:3" x14ac:dyDescent="0.3">
      <c r="A1139" t="s">
        <v>30</v>
      </c>
      <c r="B1139" s="63">
        <v>1940</v>
      </c>
      <c r="C1139" s="437">
        <v>45335</v>
      </c>
    </row>
    <row r="1140" spans="1:3" x14ac:dyDescent="0.3">
      <c r="A1140" t="s">
        <v>111</v>
      </c>
      <c r="B1140" s="63">
        <v>541</v>
      </c>
      <c r="C1140" s="437">
        <v>45335</v>
      </c>
    </row>
    <row r="1141" spans="1:3" x14ac:dyDescent="0.3">
      <c r="A1141" t="s">
        <v>32</v>
      </c>
      <c r="B1141" s="63">
        <v>547.70000000000005</v>
      </c>
      <c r="C1141" s="437">
        <v>45335</v>
      </c>
    </row>
    <row r="1142" spans="1:3" x14ac:dyDescent="0.3">
      <c r="A1142" t="s">
        <v>288</v>
      </c>
      <c r="B1142" s="63">
        <v>492</v>
      </c>
      <c r="C1142" s="437">
        <v>45335</v>
      </c>
    </row>
    <row r="1143" spans="1:3" x14ac:dyDescent="0.3">
      <c r="A1143" t="s">
        <v>112</v>
      </c>
      <c r="B1143" s="63">
        <v>489.2</v>
      </c>
      <c r="C1143" s="437">
        <v>45335</v>
      </c>
    </row>
    <row r="1144" spans="1:3" x14ac:dyDescent="0.3">
      <c r="A1144" t="s">
        <v>289</v>
      </c>
      <c r="B1144" s="63">
        <v>476.3</v>
      </c>
      <c r="C1144" s="437">
        <v>45335</v>
      </c>
    </row>
    <row r="1145" spans="1:3" x14ac:dyDescent="0.3">
      <c r="A1145" t="s">
        <v>291</v>
      </c>
      <c r="B1145" s="283">
        <v>527</v>
      </c>
      <c r="C1145" s="437">
        <v>45335</v>
      </c>
    </row>
    <row r="1146" spans="1:3" x14ac:dyDescent="0.3">
      <c r="A1146" t="s">
        <v>7</v>
      </c>
      <c r="B1146" s="331">
        <v>35.1</v>
      </c>
      <c r="C1146" s="437">
        <v>45336</v>
      </c>
    </row>
    <row r="1147" spans="1:3" x14ac:dyDescent="0.3">
      <c r="A1147" t="s">
        <v>8</v>
      </c>
      <c r="B1147" s="283">
        <f>188.83+45.8</f>
        <v>234.63</v>
      </c>
      <c r="C1147" s="437">
        <v>45336</v>
      </c>
    </row>
    <row r="1148" spans="1:3" x14ac:dyDescent="0.3">
      <c r="A1148" t="s">
        <v>9</v>
      </c>
      <c r="B1148" s="283">
        <v>144.80000000000001</v>
      </c>
      <c r="C1148" s="437">
        <v>45336</v>
      </c>
    </row>
    <row r="1149" spans="1:3" x14ac:dyDescent="0.3">
      <c r="A1149" t="s">
        <v>10</v>
      </c>
      <c r="B1149" s="283">
        <v>82</v>
      </c>
      <c r="C1149" s="437">
        <v>45336</v>
      </c>
    </row>
    <row r="1150" spans="1:3" x14ac:dyDescent="0.3">
      <c r="A1150" t="s">
        <v>11</v>
      </c>
      <c r="B1150" s="283">
        <v>38.1</v>
      </c>
      <c r="C1150" s="437">
        <v>45336</v>
      </c>
    </row>
    <row r="1151" spans="1:3" x14ac:dyDescent="0.3">
      <c r="A1151" t="s">
        <v>12</v>
      </c>
      <c r="B1151" s="283">
        <v>83.4</v>
      </c>
      <c r="C1151" s="437">
        <v>45336</v>
      </c>
    </row>
    <row r="1152" spans="1:3" x14ac:dyDescent="0.3">
      <c r="A1152" t="s">
        <v>13</v>
      </c>
      <c r="B1152" s="283">
        <v>331.3</v>
      </c>
      <c r="C1152" s="437">
        <v>45336</v>
      </c>
    </row>
    <row r="1153" spans="1:3" x14ac:dyDescent="0.3">
      <c r="A1153" t="s">
        <v>14</v>
      </c>
      <c r="B1153" s="308">
        <v>222.1</v>
      </c>
      <c r="C1153" s="437">
        <v>45336</v>
      </c>
    </row>
    <row r="1154" spans="1:3" x14ac:dyDescent="0.3">
      <c r="A1154" t="s">
        <v>17</v>
      </c>
      <c r="B1154" s="283">
        <v>392.8</v>
      </c>
      <c r="C1154" s="437">
        <v>45336</v>
      </c>
    </row>
    <row r="1155" spans="1:3" x14ac:dyDescent="0.3">
      <c r="A1155" t="s">
        <v>18</v>
      </c>
      <c r="B1155" s="283">
        <v>453</v>
      </c>
      <c r="C1155" s="437">
        <v>45336</v>
      </c>
    </row>
    <row r="1156" spans="1:3" x14ac:dyDescent="0.3">
      <c r="A1156" t="s">
        <v>110</v>
      </c>
      <c r="B1156" s="283">
        <v>124.3</v>
      </c>
      <c r="C1156" s="437">
        <v>45336</v>
      </c>
    </row>
    <row r="1157" spans="1:3" x14ac:dyDescent="0.3">
      <c r="A1157" t="s">
        <v>20</v>
      </c>
      <c r="B1157" s="283">
        <v>364.1</v>
      </c>
      <c r="C1157" s="437">
        <v>45336</v>
      </c>
    </row>
    <row r="1158" spans="1:3" x14ac:dyDescent="0.3">
      <c r="A1158" t="s">
        <v>22</v>
      </c>
      <c r="B1158" s="283">
        <v>404.4</v>
      </c>
      <c r="C1158" s="437">
        <v>45336</v>
      </c>
    </row>
    <row r="1159" spans="1:3" x14ac:dyDescent="0.3">
      <c r="A1159" t="s">
        <v>23</v>
      </c>
      <c r="B1159" s="283">
        <v>435.4</v>
      </c>
      <c r="C1159" s="437">
        <v>45336</v>
      </c>
    </row>
    <row r="1160" spans="1:3" x14ac:dyDescent="0.3">
      <c r="A1160" t="s">
        <v>24</v>
      </c>
      <c r="B1160" s="283">
        <v>339.4</v>
      </c>
      <c r="C1160" s="437">
        <v>45336</v>
      </c>
    </row>
    <row r="1161" spans="1:3" x14ac:dyDescent="0.3">
      <c r="A1161" t="s">
        <v>25</v>
      </c>
      <c r="B1161" s="283">
        <v>463</v>
      </c>
      <c r="C1161" s="437">
        <v>45336</v>
      </c>
    </row>
    <row r="1162" spans="1:3" x14ac:dyDescent="0.3">
      <c r="A1162" t="s">
        <v>26</v>
      </c>
      <c r="B1162" s="283">
        <v>180.9</v>
      </c>
      <c r="C1162" s="437">
        <v>45336</v>
      </c>
    </row>
    <row r="1163" spans="1:3" x14ac:dyDescent="0.3">
      <c r="A1163" t="s">
        <v>28</v>
      </c>
      <c r="B1163" s="283">
        <v>527.4</v>
      </c>
      <c r="C1163" s="437">
        <v>45336</v>
      </c>
    </row>
    <row r="1164" spans="1:3" x14ac:dyDescent="0.3">
      <c r="A1164" t="s">
        <v>29</v>
      </c>
      <c r="B1164" s="283">
        <v>441.1</v>
      </c>
      <c r="C1164" s="437">
        <v>45336</v>
      </c>
    </row>
    <row r="1165" spans="1:3" x14ac:dyDescent="0.3">
      <c r="A1165" t="s">
        <v>30</v>
      </c>
      <c r="B1165" s="283">
        <v>1646.5</v>
      </c>
      <c r="C1165" s="437">
        <v>45336</v>
      </c>
    </row>
    <row r="1166" spans="1:3" x14ac:dyDescent="0.3">
      <c r="A1166" t="s">
        <v>111</v>
      </c>
      <c r="B1166" s="283">
        <v>376.1</v>
      </c>
      <c r="C1166" s="437">
        <v>45336</v>
      </c>
    </row>
    <row r="1167" spans="1:3" x14ac:dyDescent="0.3">
      <c r="A1167" t="s">
        <v>32</v>
      </c>
      <c r="B1167" s="283">
        <v>0</v>
      </c>
      <c r="C1167" s="437">
        <v>45336</v>
      </c>
    </row>
    <row r="1168" spans="1:3" x14ac:dyDescent="0.3">
      <c r="A1168" t="s">
        <v>288</v>
      </c>
      <c r="B1168" s="283">
        <v>334</v>
      </c>
      <c r="C1168" s="437">
        <v>45336</v>
      </c>
    </row>
    <row r="1169" spans="1:3" x14ac:dyDescent="0.3">
      <c r="A1169" t="s">
        <v>112</v>
      </c>
      <c r="B1169" s="283">
        <v>345.8</v>
      </c>
      <c r="C1169" s="437">
        <v>45336</v>
      </c>
    </row>
    <row r="1170" spans="1:3" x14ac:dyDescent="0.3">
      <c r="A1170" t="s">
        <v>289</v>
      </c>
      <c r="B1170" s="283">
        <v>331</v>
      </c>
      <c r="C1170" s="437">
        <v>45336</v>
      </c>
    </row>
    <row r="1171" spans="1:3" x14ac:dyDescent="0.3">
      <c r="A1171" t="s">
        <v>291</v>
      </c>
      <c r="B1171" s="283">
        <v>404.6</v>
      </c>
      <c r="C1171" s="437">
        <v>45336</v>
      </c>
    </row>
    <row r="1172" spans="1:3" x14ac:dyDescent="0.3">
      <c r="A1172" t="s">
        <v>7</v>
      </c>
      <c r="B1172" s="103">
        <v>17</v>
      </c>
      <c r="C1172" s="437">
        <v>45337</v>
      </c>
    </row>
    <row r="1173" spans="1:3" x14ac:dyDescent="0.3">
      <c r="A1173" t="s">
        <v>8</v>
      </c>
      <c r="B1173" s="63">
        <f>77.4+19.2</f>
        <v>96.600000000000009</v>
      </c>
      <c r="C1173" s="437">
        <v>45337</v>
      </c>
    </row>
    <row r="1174" spans="1:3" x14ac:dyDescent="0.3">
      <c r="A1174" t="s">
        <v>9</v>
      </c>
      <c r="B1174" s="283">
        <v>75</v>
      </c>
      <c r="C1174" s="437">
        <v>45337</v>
      </c>
    </row>
    <row r="1175" spans="1:3" x14ac:dyDescent="0.3">
      <c r="A1175" t="s">
        <v>10</v>
      </c>
      <c r="B1175" s="63">
        <v>43.4</v>
      </c>
      <c r="C1175" s="437">
        <v>45337</v>
      </c>
    </row>
    <row r="1176" spans="1:3" x14ac:dyDescent="0.3">
      <c r="A1176" t="s">
        <v>11</v>
      </c>
      <c r="B1176" s="308">
        <v>16</v>
      </c>
      <c r="C1176" s="437">
        <v>45337</v>
      </c>
    </row>
    <row r="1177" spans="1:3" x14ac:dyDescent="0.3">
      <c r="A1177" t="s">
        <v>12</v>
      </c>
      <c r="B1177" s="308">
        <v>34.6</v>
      </c>
      <c r="C1177" s="437">
        <v>45337</v>
      </c>
    </row>
    <row r="1178" spans="1:3" x14ac:dyDescent="0.3">
      <c r="A1178" t="s">
        <v>13</v>
      </c>
      <c r="B1178" s="63">
        <v>117.5</v>
      </c>
      <c r="C1178" s="437">
        <v>45337</v>
      </c>
    </row>
    <row r="1179" spans="1:3" x14ac:dyDescent="0.3">
      <c r="A1179" t="s">
        <v>14</v>
      </c>
      <c r="B1179" s="308">
        <v>88.9</v>
      </c>
      <c r="C1179" s="437">
        <v>45337</v>
      </c>
    </row>
    <row r="1180" spans="1:3" x14ac:dyDescent="0.3">
      <c r="A1180" t="s">
        <v>17</v>
      </c>
      <c r="B1180" s="308">
        <v>149.19999999999999</v>
      </c>
      <c r="C1180" s="437">
        <v>45337</v>
      </c>
    </row>
    <row r="1181" spans="1:3" x14ac:dyDescent="0.3">
      <c r="A1181" t="s">
        <v>18</v>
      </c>
      <c r="B1181" s="63">
        <v>148.6</v>
      </c>
      <c r="C1181" s="437">
        <v>45337</v>
      </c>
    </row>
    <row r="1182" spans="1:3" x14ac:dyDescent="0.3">
      <c r="A1182" t="s">
        <v>110</v>
      </c>
      <c r="B1182" s="63">
        <v>40.200000000000003</v>
      </c>
      <c r="C1182" s="437">
        <v>45337</v>
      </c>
    </row>
    <row r="1183" spans="1:3" x14ac:dyDescent="0.3">
      <c r="A1183" t="s">
        <v>20</v>
      </c>
      <c r="B1183" s="63">
        <v>123.3</v>
      </c>
      <c r="C1183" s="437">
        <v>45337</v>
      </c>
    </row>
    <row r="1184" spans="1:3" x14ac:dyDescent="0.3">
      <c r="A1184" t="s">
        <v>22</v>
      </c>
      <c r="B1184" s="63">
        <v>132.30000000000001</v>
      </c>
      <c r="C1184" s="437">
        <v>45337</v>
      </c>
    </row>
    <row r="1185" spans="1:3" x14ac:dyDescent="0.3">
      <c r="A1185" t="s">
        <v>23</v>
      </c>
      <c r="B1185" s="63">
        <v>153.4</v>
      </c>
      <c r="C1185" s="437">
        <v>45337</v>
      </c>
    </row>
    <row r="1186" spans="1:3" x14ac:dyDescent="0.3">
      <c r="A1186" t="s">
        <v>24</v>
      </c>
      <c r="B1186" s="63">
        <v>111</v>
      </c>
      <c r="C1186" s="437">
        <v>45337</v>
      </c>
    </row>
    <row r="1187" spans="1:3" x14ac:dyDescent="0.3">
      <c r="A1187" t="s">
        <v>25</v>
      </c>
      <c r="B1187" s="63">
        <v>145.19999999999999</v>
      </c>
      <c r="C1187" s="437">
        <v>45337</v>
      </c>
    </row>
    <row r="1188" spans="1:3" x14ac:dyDescent="0.3">
      <c r="A1188" t="s">
        <v>26</v>
      </c>
      <c r="B1188" s="63">
        <v>103.1</v>
      </c>
      <c r="C1188" s="437">
        <v>45337</v>
      </c>
    </row>
    <row r="1189" spans="1:3" x14ac:dyDescent="0.3">
      <c r="A1189" t="s">
        <v>28</v>
      </c>
      <c r="B1189" s="63">
        <v>164.7</v>
      </c>
      <c r="C1189" s="437">
        <v>45337</v>
      </c>
    </row>
    <row r="1190" spans="1:3" x14ac:dyDescent="0.3">
      <c r="A1190" t="s">
        <v>29</v>
      </c>
      <c r="B1190" s="63">
        <v>125.8</v>
      </c>
      <c r="C1190" s="437">
        <v>45337</v>
      </c>
    </row>
    <row r="1191" spans="1:3" x14ac:dyDescent="0.3">
      <c r="A1191" t="s">
        <v>30</v>
      </c>
      <c r="B1191" s="63">
        <v>498.6</v>
      </c>
      <c r="C1191" s="437">
        <v>45337</v>
      </c>
    </row>
    <row r="1192" spans="1:3" x14ac:dyDescent="0.3">
      <c r="A1192" t="s">
        <v>111</v>
      </c>
      <c r="B1192" s="63">
        <v>119.7</v>
      </c>
      <c r="C1192" s="437">
        <v>45337</v>
      </c>
    </row>
    <row r="1193" spans="1:3" x14ac:dyDescent="0.3">
      <c r="A1193" t="s">
        <v>32</v>
      </c>
      <c r="B1193" s="63">
        <v>151.69999999999999</v>
      </c>
      <c r="C1193" s="437">
        <v>45337</v>
      </c>
    </row>
    <row r="1194" spans="1:3" x14ac:dyDescent="0.3">
      <c r="A1194" t="s">
        <v>288</v>
      </c>
      <c r="B1194" s="63">
        <v>83.2</v>
      </c>
      <c r="C1194" s="437">
        <v>45337</v>
      </c>
    </row>
    <row r="1195" spans="1:3" x14ac:dyDescent="0.3">
      <c r="A1195" t="s">
        <v>112</v>
      </c>
      <c r="B1195" s="63">
        <v>46.5</v>
      </c>
      <c r="C1195" s="437">
        <v>45337</v>
      </c>
    </row>
    <row r="1196" spans="1:3" x14ac:dyDescent="0.3">
      <c r="A1196" t="s">
        <v>289</v>
      </c>
      <c r="B1196" s="63">
        <v>75.400000000000006</v>
      </c>
      <c r="C1196" s="437">
        <v>45337</v>
      </c>
    </row>
    <row r="1197" spans="1:3" x14ac:dyDescent="0.3">
      <c r="A1197" t="s">
        <v>291</v>
      </c>
      <c r="B1197" s="283">
        <v>122</v>
      </c>
      <c r="C1197" s="437">
        <v>45337</v>
      </c>
    </row>
    <row r="1198" spans="1:3" x14ac:dyDescent="0.3">
      <c r="A1198" t="s">
        <v>7</v>
      </c>
      <c r="B1198" s="103">
        <v>54.4</v>
      </c>
      <c r="C1198" s="437">
        <v>45338</v>
      </c>
    </row>
    <row r="1199" spans="1:3" x14ac:dyDescent="0.3">
      <c r="A1199" t="s">
        <v>8</v>
      </c>
      <c r="B1199" s="63">
        <f>253.1+61</f>
        <v>314.10000000000002</v>
      </c>
      <c r="C1199" s="437">
        <v>45338</v>
      </c>
    </row>
    <row r="1200" spans="1:3" x14ac:dyDescent="0.3">
      <c r="A1200" t="s">
        <v>9</v>
      </c>
      <c r="B1200" s="283">
        <v>233.3</v>
      </c>
      <c r="C1200" s="437">
        <v>45338</v>
      </c>
    </row>
    <row r="1201" spans="1:3" x14ac:dyDescent="0.3">
      <c r="A1201" t="s">
        <v>10</v>
      </c>
      <c r="B1201" s="63">
        <v>131</v>
      </c>
      <c r="C1201" s="437">
        <v>45338</v>
      </c>
    </row>
    <row r="1202" spans="1:3" x14ac:dyDescent="0.3">
      <c r="A1202" t="s">
        <v>11</v>
      </c>
      <c r="B1202" s="63">
        <v>50.4</v>
      </c>
      <c r="C1202" s="437">
        <v>45338</v>
      </c>
    </row>
    <row r="1203" spans="1:3" x14ac:dyDescent="0.3">
      <c r="A1203" t="s">
        <v>12</v>
      </c>
      <c r="B1203" s="63">
        <v>103.1</v>
      </c>
      <c r="C1203" s="437">
        <v>45338</v>
      </c>
    </row>
    <row r="1204" spans="1:3" x14ac:dyDescent="0.3">
      <c r="A1204" t="s">
        <v>13</v>
      </c>
      <c r="B1204" s="63">
        <v>355.6</v>
      </c>
      <c r="C1204" s="437">
        <v>45338</v>
      </c>
    </row>
    <row r="1205" spans="1:3" x14ac:dyDescent="0.3">
      <c r="A1205" t="s">
        <v>14</v>
      </c>
      <c r="B1205" s="82">
        <v>271.7</v>
      </c>
      <c r="C1205" s="437">
        <v>45338</v>
      </c>
    </row>
    <row r="1206" spans="1:3" x14ac:dyDescent="0.3">
      <c r="A1206" t="s">
        <v>17</v>
      </c>
      <c r="B1206" s="63">
        <v>441.6</v>
      </c>
      <c r="C1206" s="437">
        <v>45338</v>
      </c>
    </row>
    <row r="1207" spans="1:3" x14ac:dyDescent="0.3">
      <c r="A1207" t="s">
        <v>18</v>
      </c>
      <c r="B1207" s="63">
        <v>484.5</v>
      </c>
      <c r="C1207" s="437">
        <v>45338</v>
      </c>
    </row>
    <row r="1208" spans="1:3" x14ac:dyDescent="0.3">
      <c r="A1208" t="s">
        <v>110</v>
      </c>
      <c r="B1208" s="63">
        <v>138.4</v>
      </c>
      <c r="C1208" s="437">
        <v>45338</v>
      </c>
    </row>
    <row r="1209" spans="1:3" x14ac:dyDescent="0.3">
      <c r="A1209" t="s">
        <v>20</v>
      </c>
      <c r="B1209" s="63">
        <v>339.1</v>
      </c>
      <c r="C1209" s="437">
        <v>45338</v>
      </c>
    </row>
    <row r="1210" spans="1:3" x14ac:dyDescent="0.3">
      <c r="A1210" t="s">
        <v>22</v>
      </c>
      <c r="B1210" s="63">
        <v>525.4</v>
      </c>
      <c r="C1210" s="437">
        <v>45338</v>
      </c>
    </row>
    <row r="1211" spans="1:3" x14ac:dyDescent="0.3">
      <c r="A1211" t="s">
        <v>23</v>
      </c>
      <c r="B1211" s="63">
        <v>577.29999999999995</v>
      </c>
      <c r="C1211" s="437">
        <v>45338</v>
      </c>
    </row>
    <row r="1212" spans="1:3" x14ac:dyDescent="0.3">
      <c r="A1212" t="s">
        <v>24</v>
      </c>
      <c r="B1212" s="63">
        <v>447.4</v>
      </c>
      <c r="C1212" s="437">
        <v>45338</v>
      </c>
    </row>
    <row r="1213" spans="1:3" x14ac:dyDescent="0.3">
      <c r="A1213" t="s">
        <v>25</v>
      </c>
      <c r="B1213" s="63">
        <v>563.9</v>
      </c>
      <c r="C1213" s="437">
        <v>45338</v>
      </c>
    </row>
    <row r="1214" spans="1:3" x14ac:dyDescent="0.3">
      <c r="A1214" t="s">
        <v>26</v>
      </c>
      <c r="B1214" s="63">
        <v>230.6</v>
      </c>
      <c r="C1214" s="437">
        <v>45338</v>
      </c>
    </row>
    <row r="1215" spans="1:3" x14ac:dyDescent="0.3">
      <c r="A1215" t="s">
        <v>28</v>
      </c>
      <c r="B1215" s="63">
        <v>615</v>
      </c>
      <c r="C1215" s="437">
        <v>45338</v>
      </c>
    </row>
    <row r="1216" spans="1:3" x14ac:dyDescent="0.3">
      <c r="A1216" t="s">
        <v>29</v>
      </c>
      <c r="B1216" s="63">
        <v>518.1</v>
      </c>
      <c r="C1216" s="437">
        <v>45338</v>
      </c>
    </row>
    <row r="1217" spans="1:3" x14ac:dyDescent="0.3">
      <c r="A1217" t="s">
        <v>30</v>
      </c>
      <c r="B1217" s="63">
        <v>2010</v>
      </c>
      <c r="C1217" s="437">
        <v>45338</v>
      </c>
    </row>
    <row r="1218" spans="1:3" x14ac:dyDescent="0.3">
      <c r="A1218" t="s">
        <v>111</v>
      </c>
      <c r="B1218" s="63">
        <v>601.1</v>
      </c>
      <c r="C1218" s="437">
        <v>45338</v>
      </c>
    </row>
    <row r="1219" spans="1:3" x14ac:dyDescent="0.3">
      <c r="A1219" t="s">
        <v>32</v>
      </c>
      <c r="B1219" s="63">
        <v>390.7</v>
      </c>
      <c r="C1219" s="437">
        <v>45338</v>
      </c>
    </row>
    <row r="1220" spans="1:3" x14ac:dyDescent="0.3">
      <c r="A1220" t="s">
        <v>288</v>
      </c>
      <c r="B1220" s="63">
        <v>477.3</v>
      </c>
      <c r="C1220" s="437">
        <v>45338</v>
      </c>
    </row>
    <row r="1221" spans="1:3" x14ac:dyDescent="0.3">
      <c r="A1221" t="s">
        <v>112</v>
      </c>
      <c r="B1221" s="63">
        <v>455.1</v>
      </c>
      <c r="C1221" s="437">
        <v>45338</v>
      </c>
    </row>
    <row r="1222" spans="1:3" x14ac:dyDescent="0.3">
      <c r="A1222" t="s">
        <v>289</v>
      </c>
      <c r="B1222" s="63">
        <v>457</v>
      </c>
      <c r="C1222" s="437">
        <v>45338</v>
      </c>
    </row>
    <row r="1223" spans="1:3" x14ac:dyDescent="0.3">
      <c r="A1223" t="s">
        <v>291</v>
      </c>
      <c r="B1223" s="283">
        <v>482.3</v>
      </c>
      <c r="C1223" s="437">
        <v>45338</v>
      </c>
    </row>
    <row r="1224" spans="1:3" x14ac:dyDescent="0.3">
      <c r="A1224" t="s">
        <v>7</v>
      </c>
      <c r="B1224" s="103">
        <v>66.400000000000006</v>
      </c>
      <c r="C1224" s="437">
        <v>45339</v>
      </c>
    </row>
    <row r="1225" spans="1:3" x14ac:dyDescent="0.3">
      <c r="A1225" t="s">
        <v>8</v>
      </c>
      <c r="B1225" s="63">
        <f>311.3+75.1</f>
        <v>386.4</v>
      </c>
      <c r="C1225" s="437">
        <v>45339</v>
      </c>
    </row>
    <row r="1226" spans="1:3" x14ac:dyDescent="0.3">
      <c r="A1226" t="s">
        <v>9</v>
      </c>
      <c r="B1226" s="283">
        <v>268.5</v>
      </c>
      <c r="C1226" s="437">
        <v>45339</v>
      </c>
    </row>
    <row r="1227" spans="1:3" x14ac:dyDescent="0.3">
      <c r="A1227" t="s">
        <v>10</v>
      </c>
      <c r="B1227" s="63">
        <v>153.1</v>
      </c>
      <c r="C1227" s="437">
        <v>45339</v>
      </c>
    </row>
    <row r="1228" spans="1:3" x14ac:dyDescent="0.3">
      <c r="A1228" t="s">
        <v>11</v>
      </c>
      <c r="B1228" s="63">
        <v>61.4</v>
      </c>
      <c r="C1228" s="437">
        <v>45339</v>
      </c>
    </row>
    <row r="1229" spans="1:3" x14ac:dyDescent="0.3">
      <c r="A1229" t="s">
        <v>12</v>
      </c>
      <c r="B1229" s="63">
        <v>131</v>
      </c>
      <c r="C1229" s="437">
        <v>45339</v>
      </c>
    </row>
    <row r="1230" spans="1:3" x14ac:dyDescent="0.3">
      <c r="A1230" t="s">
        <v>13</v>
      </c>
      <c r="B1230" s="63">
        <v>409.3</v>
      </c>
      <c r="C1230" s="437">
        <v>45339</v>
      </c>
    </row>
    <row r="1231" spans="1:3" x14ac:dyDescent="0.3">
      <c r="A1231" t="s">
        <v>14</v>
      </c>
      <c r="B1231" s="82">
        <v>351.7</v>
      </c>
      <c r="C1231" s="437">
        <v>45339</v>
      </c>
    </row>
    <row r="1232" spans="1:3" x14ac:dyDescent="0.3">
      <c r="A1232" t="s">
        <v>17</v>
      </c>
      <c r="B1232" s="63">
        <v>570.70000000000005</v>
      </c>
      <c r="C1232" s="437">
        <v>45339</v>
      </c>
    </row>
    <row r="1233" spans="1:3" x14ac:dyDescent="0.3">
      <c r="A1233" t="s">
        <v>18</v>
      </c>
      <c r="B1233" s="63">
        <v>543.6</v>
      </c>
      <c r="C1233" s="437">
        <v>45339</v>
      </c>
    </row>
    <row r="1234" spans="1:3" x14ac:dyDescent="0.3">
      <c r="A1234" t="s">
        <v>110</v>
      </c>
      <c r="B1234" s="63">
        <v>153.19999999999999</v>
      </c>
      <c r="C1234" s="437">
        <v>45339</v>
      </c>
    </row>
    <row r="1235" spans="1:3" x14ac:dyDescent="0.3">
      <c r="A1235" t="s">
        <v>20</v>
      </c>
      <c r="B1235" s="382">
        <v>498.6</v>
      </c>
      <c r="C1235" s="437">
        <v>45339</v>
      </c>
    </row>
    <row r="1236" spans="1:3" x14ac:dyDescent="0.3">
      <c r="A1236" t="s">
        <v>22</v>
      </c>
      <c r="B1236" s="63">
        <v>513.5</v>
      </c>
      <c r="C1236" s="437">
        <v>45339</v>
      </c>
    </row>
    <row r="1237" spans="1:3" x14ac:dyDescent="0.3">
      <c r="A1237" t="s">
        <v>23</v>
      </c>
      <c r="B1237" s="63">
        <v>567.1</v>
      </c>
      <c r="C1237" s="437">
        <v>45339</v>
      </c>
    </row>
    <row r="1238" spans="1:3" x14ac:dyDescent="0.3">
      <c r="A1238" t="s">
        <v>24</v>
      </c>
      <c r="B1238" s="63">
        <v>446.5</v>
      </c>
      <c r="C1238" s="437">
        <v>45339</v>
      </c>
    </row>
    <row r="1239" spans="1:3" x14ac:dyDescent="0.3">
      <c r="A1239" t="s">
        <v>25</v>
      </c>
      <c r="B1239" s="283">
        <v>584.70000000000005</v>
      </c>
      <c r="C1239" s="437">
        <v>45339</v>
      </c>
    </row>
    <row r="1240" spans="1:3" x14ac:dyDescent="0.3">
      <c r="A1240" t="s">
        <v>26</v>
      </c>
      <c r="B1240" s="282">
        <v>209.1</v>
      </c>
      <c r="C1240" s="437">
        <v>45339</v>
      </c>
    </row>
    <row r="1241" spans="1:3" x14ac:dyDescent="0.3">
      <c r="A1241" t="s">
        <v>28</v>
      </c>
      <c r="B1241" s="63">
        <v>596.4</v>
      </c>
      <c r="C1241" s="437">
        <v>45339</v>
      </c>
    </row>
    <row r="1242" spans="1:3" x14ac:dyDescent="0.3">
      <c r="A1242" t="s">
        <v>29</v>
      </c>
      <c r="B1242" s="63">
        <v>531.9</v>
      </c>
      <c r="C1242" s="437">
        <v>45339</v>
      </c>
    </row>
    <row r="1243" spans="1:3" x14ac:dyDescent="0.3">
      <c r="A1243" t="s">
        <v>30</v>
      </c>
      <c r="B1243" s="63">
        <v>1940</v>
      </c>
      <c r="C1243" s="437">
        <v>45339</v>
      </c>
    </row>
    <row r="1244" spans="1:3" x14ac:dyDescent="0.3">
      <c r="A1244" t="s">
        <v>111</v>
      </c>
      <c r="B1244" s="63">
        <v>539.6</v>
      </c>
      <c r="C1244" s="437">
        <v>45339</v>
      </c>
    </row>
    <row r="1245" spans="1:3" x14ac:dyDescent="0.3">
      <c r="A1245" t="s">
        <v>32</v>
      </c>
      <c r="B1245" s="63">
        <v>278.2</v>
      </c>
      <c r="C1245" s="437">
        <v>45339</v>
      </c>
    </row>
    <row r="1246" spans="1:3" x14ac:dyDescent="0.3">
      <c r="A1246" t="s">
        <v>288</v>
      </c>
      <c r="B1246" s="283">
        <v>485.5</v>
      </c>
      <c r="C1246" s="437">
        <v>45339</v>
      </c>
    </row>
    <row r="1247" spans="1:3" x14ac:dyDescent="0.3">
      <c r="A1247" t="s">
        <v>112</v>
      </c>
      <c r="B1247" s="283">
        <v>499.4</v>
      </c>
      <c r="C1247" s="437">
        <v>45339</v>
      </c>
    </row>
    <row r="1248" spans="1:3" x14ac:dyDescent="0.3">
      <c r="A1248" t="s">
        <v>289</v>
      </c>
      <c r="B1248" s="283">
        <v>496.4</v>
      </c>
      <c r="C1248" s="437">
        <v>45339</v>
      </c>
    </row>
    <row r="1249" spans="1:3" x14ac:dyDescent="0.3">
      <c r="A1249" t="s">
        <v>291</v>
      </c>
      <c r="B1249" s="283">
        <v>507.9</v>
      </c>
      <c r="C1249" s="437">
        <v>45339</v>
      </c>
    </row>
    <row r="1250" spans="1:3" x14ac:dyDescent="0.3">
      <c r="A1250" t="s">
        <v>7</v>
      </c>
      <c r="B1250" s="103">
        <v>43.2</v>
      </c>
      <c r="C1250" s="437">
        <v>45340</v>
      </c>
    </row>
    <row r="1251" spans="1:3" x14ac:dyDescent="0.3">
      <c r="A1251" t="s">
        <v>8</v>
      </c>
      <c r="B1251" s="63">
        <f>189.5+46.2</f>
        <v>235.7</v>
      </c>
      <c r="C1251" s="437">
        <v>45340</v>
      </c>
    </row>
    <row r="1252" spans="1:3" x14ac:dyDescent="0.3">
      <c r="A1252" t="s">
        <v>9</v>
      </c>
      <c r="B1252" s="63">
        <v>182.2</v>
      </c>
      <c r="C1252" s="437">
        <v>45340</v>
      </c>
    </row>
    <row r="1253" spans="1:3" x14ac:dyDescent="0.3">
      <c r="A1253" t="s">
        <v>10</v>
      </c>
      <c r="B1253" s="63">
        <v>103.1</v>
      </c>
      <c r="C1253" s="437">
        <v>45340</v>
      </c>
    </row>
    <row r="1254" spans="1:3" x14ac:dyDescent="0.3">
      <c r="A1254" t="s">
        <v>11</v>
      </c>
      <c r="B1254" s="63">
        <v>42.3</v>
      </c>
      <c r="C1254" s="437">
        <v>45340</v>
      </c>
    </row>
    <row r="1255" spans="1:3" x14ac:dyDescent="0.3">
      <c r="A1255" t="s">
        <v>12</v>
      </c>
      <c r="B1255" s="63">
        <v>87.3</v>
      </c>
      <c r="C1255" s="437">
        <v>45340</v>
      </c>
    </row>
    <row r="1256" spans="1:3" x14ac:dyDescent="0.3">
      <c r="A1256" t="s">
        <v>13</v>
      </c>
      <c r="B1256" s="63">
        <v>308</v>
      </c>
      <c r="C1256" s="437">
        <v>45340</v>
      </c>
    </row>
    <row r="1257" spans="1:3" x14ac:dyDescent="0.3">
      <c r="A1257" t="s">
        <v>14</v>
      </c>
      <c r="B1257" s="82">
        <v>217</v>
      </c>
      <c r="C1257" s="437">
        <v>45340</v>
      </c>
    </row>
    <row r="1258" spans="1:3" x14ac:dyDescent="0.3">
      <c r="A1258" t="s">
        <v>17</v>
      </c>
      <c r="B1258" s="63">
        <v>367.3</v>
      </c>
      <c r="C1258" s="437">
        <v>45340</v>
      </c>
    </row>
    <row r="1259" spans="1:3" x14ac:dyDescent="0.3">
      <c r="A1259" t="s">
        <v>18</v>
      </c>
      <c r="B1259" s="63">
        <v>400.6</v>
      </c>
      <c r="C1259" s="437">
        <v>45340</v>
      </c>
    </row>
    <row r="1260" spans="1:3" x14ac:dyDescent="0.3">
      <c r="A1260" t="s">
        <v>110</v>
      </c>
      <c r="B1260" s="63">
        <v>114.8</v>
      </c>
      <c r="C1260" s="437">
        <v>45340</v>
      </c>
    </row>
    <row r="1261" spans="1:3" x14ac:dyDescent="0.3">
      <c r="A1261" t="s">
        <v>20</v>
      </c>
      <c r="B1261" s="63">
        <v>386.6</v>
      </c>
      <c r="C1261" s="437">
        <v>45340</v>
      </c>
    </row>
    <row r="1262" spans="1:3" x14ac:dyDescent="0.3">
      <c r="A1262" t="s">
        <v>22</v>
      </c>
      <c r="B1262" s="63">
        <v>360.9</v>
      </c>
      <c r="C1262" s="437">
        <v>45340</v>
      </c>
    </row>
    <row r="1263" spans="1:3" x14ac:dyDescent="0.3">
      <c r="A1263" t="s">
        <v>23</v>
      </c>
      <c r="B1263" s="282">
        <v>151</v>
      </c>
      <c r="C1263" s="437">
        <v>45340</v>
      </c>
    </row>
    <row r="1264" spans="1:3" x14ac:dyDescent="0.3">
      <c r="A1264" t="s">
        <v>24</v>
      </c>
      <c r="B1264" s="63">
        <v>339.8</v>
      </c>
      <c r="C1264" s="437">
        <v>45340</v>
      </c>
    </row>
    <row r="1265" spans="1:3" x14ac:dyDescent="0.3">
      <c r="A1265" t="s">
        <v>25</v>
      </c>
      <c r="B1265" s="63">
        <v>441.5</v>
      </c>
      <c r="C1265" s="437">
        <v>45340</v>
      </c>
    </row>
    <row r="1266" spans="1:3" x14ac:dyDescent="0.3">
      <c r="A1266" t="s">
        <v>26</v>
      </c>
      <c r="B1266" s="282">
        <v>268.7</v>
      </c>
      <c r="C1266" s="437">
        <v>45340</v>
      </c>
    </row>
    <row r="1267" spans="1:3" x14ac:dyDescent="0.3">
      <c r="A1267" t="s">
        <v>28</v>
      </c>
      <c r="B1267" s="63">
        <v>411.9</v>
      </c>
      <c r="C1267" s="437">
        <v>45340</v>
      </c>
    </row>
    <row r="1268" spans="1:3" x14ac:dyDescent="0.3">
      <c r="A1268" t="s">
        <v>29</v>
      </c>
      <c r="B1268" s="63">
        <v>350.1</v>
      </c>
      <c r="C1268" s="437">
        <v>45340</v>
      </c>
    </row>
    <row r="1269" spans="1:3" x14ac:dyDescent="0.3">
      <c r="A1269" t="s">
        <v>30</v>
      </c>
      <c r="B1269" s="63">
        <v>1340</v>
      </c>
      <c r="C1269" s="437">
        <v>45340</v>
      </c>
    </row>
    <row r="1270" spans="1:3" x14ac:dyDescent="0.3">
      <c r="A1270" t="s">
        <v>111</v>
      </c>
      <c r="B1270" s="63">
        <v>436.4</v>
      </c>
      <c r="C1270" s="437">
        <v>45340</v>
      </c>
    </row>
    <row r="1271" spans="1:3" x14ac:dyDescent="0.3">
      <c r="A1271" t="s">
        <v>32</v>
      </c>
      <c r="B1271" s="63">
        <v>301</v>
      </c>
      <c r="C1271" s="437">
        <v>45340</v>
      </c>
    </row>
    <row r="1272" spans="1:3" x14ac:dyDescent="0.3">
      <c r="A1272" t="s">
        <v>288</v>
      </c>
      <c r="B1272" s="283">
        <v>408.1</v>
      </c>
      <c r="C1272" s="437">
        <v>45340</v>
      </c>
    </row>
    <row r="1273" spans="1:3" x14ac:dyDescent="0.3">
      <c r="A1273" t="s">
        <v>112</v>
      </c>
      <c r="B1273" s="283">
        <v>395.1</v>
      </c>
      <c r="C1273" s="437">
        <v>45340</v>
      </c>
    </row>
    <row r="1274" spans="1:3" x14ac:dyDescent="0.3">
      <c r="A1274" t="s">
        <v>289</v>
      </c>
      <c r="B1274" s="283">
        <v>397</v>
      </c>
      <c r="C1274" s="437">
        <v>45340</v>
      </c>
    </row>
    <row r="1275" spans="1:3" x14ac:dyDescent="0.3">
      <c r="A1275" t="s">
        <v>291</v>
      </c>
      <c r="B1275" s="283">
        <v>379</v>
      </c>
      <c r="C1275" s="437">
        <v>45340</v>
      </c>
    </row>
    <row r="1276" spans="1:3" x14ac:dyDescent="0.3">
      <c r="A1276" t="s">
        <v>7</v>
      </c>
      <c r="B1276" s="103">
        <v>50.3</v>
      </c>
      <c r="C1276" s="437">
        <v>45341</v>
      </c>
    </row>
    <row r="1277" spans="1:3" x14ac:dyDescent="0.3">
      <c r="A1277" t="s">
        <v>8</v>
      </c>
      <c r="B1277" s="63">
        <f>233.68+56.8</f>
        <v>290.48</v>
      </c>
      <c r="C1277" s="437">
        <v>45341</v>
      </c>
    </row>
    <row r="1278" spans="1:3" x14ac:dyDescent="0.3">
      <c r="A1278" t="s">
        <v>9</v>
      </c>
      <c r="B1278" s="283">
        <v>205.9</v>
      </c>
      <c r="C1278" s="437">
        <v>45341</v>
      </c>
    </row>
    <row r="1279" spans="1:3" x14ac:dyDescent="0.3">
      <c r="A1279" t="s">
        <v>10</v>
      </c>
      <c r="B1279" s="63">
        <v>117.8</v>
      </c>
      <c r="C1279" s="437">
        <v>45341</v>
      </c>
    </row>
    <row r="1280" spans="1:3" x14ac:dyDescent="0.3">
      <c r="A1280" t="s">
        <v>11</v>
      </c>
      <c r="B1280" s="63">
        <v>44.2</v>
      </c>
      <c r="C1280" s="437">
        <v>45341</v>
      </c>
    </row>
    <row r="1281" spans="1:18" x14ac:dyDescent="0.3">
      <c r="A1281" t="s">
        <v>12</v>
      </c>
      <c r="B1281" s="63">
        <v>91.8</v>
      </c>
      <c r="C1281" s="437">
        <v>45341</v>
      </c>
    </row>
    <row r="1282" spans="1:18" x14ac:dyDescent="0.3">
      <c r="A1282" t="s">
        <v>13</v>
      </c>
      <c r="B1282" s="283">
        <v>340.9</v>
      </c>
      <c r="C1282" s="437">
        <v>45341</v>
      </c>
    </row>
    <row r="1283" spans="1:18" x14ac:dyDescent="0.3">
      <c r="A1283" t="s">
        <v>14</v>
      </c>
      <c r="B1283" s="82">
        <v>251.9</v>
      </c>
      <c r="C1283" s="437">
        <v>45341</v>
      </c>
    </row>
    <row r="1284" spans="1:18" x14ac:dyDescent="0.3">
      <c r="A1284" t="s">
        <v>17</v>
      </c>
      <c r="B1284" s="63">
        <v>405.2</v>
      </c>
      <c r="C1284" s="437">
        <v>45341</v>
      </c>
    </row>
    <row r="1285" spans="1:18" x14ac:dyDescent="0.3">
      <c r="A1285" t="s">
        <v>18</v>
      </c>
      <c r="B1285" s="283">
        <v>453</v>
      </c>
      <c r="C1285" s="437">
        <v>45341</v>
      </c>
    </row>
    <row r="1286" spans="1:18" x14ac:dyDescent="0.3">
      <c r="A1286" t="s">
        <v>110</v>
      </c>
      <c r="B1286" s="283">
        <v>135</v>
      </c>
      <c r="C1286" s="437">
        <v>45341</v>
      </c>
    </row>
    <row r="1287" spans="1:18" x14ac:dyDescent="0.3">
      <c r="A1287" t="s">
        <v>20</v>
      </c>
      <c r="B1287" s="63">
        <v>435.8</v>
      </c>
      <c r="C1287" s="437">
        <v>45341</v>
      </c>
    </row>
    <row r="1288" spans="1:18" x14ac:dyDescent="0.3">
      <c r="A1288" t="s">
        <v>22</v>
      </c>
      <c r="B1288" s="63">
        <v>399.7</v>
      </c>
      <c r="C1288" s="437">
        <v>45341</v>
      </c>
    </row>
    <row r="1289" spans="1:18" x14ac:dyDescent="0.3">
      <c r="A1289" t="s">
        <v>23</v>
      </c>
      <c r="B1289" s="282">
        <v>0</v>
      </c>
      <c r="C1289" s="437">
        <v>45341</v>
      </c>
      <c r="D1289" t="s">
        <v>377</v>
      </c>
      <c r="E1289" t="s">
        <v>378</v>
      </c>
      <c r="F1289" t="s">
        <v>379</v>
      </c>
      <c r="G1289">
        <v>1</v>
      </c>
      <c r="H1289">
        <v>3</v>
      </c>
      <c r="I1289" t="s">
        <v>380</v>
      </c>
      <c r="J1289">
        <v>19</v>
      </c>
      <c r="K1289" t="s">
        <v>381</v>
      </c>
      <c r="L1289" t="s">
        <v>382</v>
      </c>
      <c r="M1289" t="s">
        <v>383</v>
      </c>
      <c r="N1289">
        <v>2358794746</v>
      </c>
      <c r="O1289" t="s">
        <v>384</v>
      </c>
      <c r="P1289">
        <v>24</v>
      </c>
      <c r="R1289" t="s">
        <v>385</v>
      </c>
    </row>
    <row r="1290" spans="1:18" x14ac:dyDescent="0.3">
      <c r="A1290" t="s">
        <v>24</v>
      </c>
      <c r="B1290" s="283">
        <v>342.6</v>
      </c>
      <c r="C1290" s="437">
        <v>45341</v>
      </c>
    </row>
    <row r="1291" spans="1:18" x14ac:dyDescent="0.3">
      <c r="A1291" t="s">
        <v>25</v>
      </c>
      <c r="B1291" s="283">
        <v>439.6</v>
      </c>
      <c r="C1291" s="437">
        <v>45341</v>
      </c>
    </row>
    <row r="1292" spans="1:18" x14ac:dyDescent="0.3">
      <c r="A1292" t="s">
        <v>26</v>
      </c>
      <c r="B1292" s="282">
        <v>159</v>
      </c>
      <c r="C1292" s="437">
        <v>45341</v>
      </c>
    </row>
    <row r="1293" spans="1:18" x14ac:dyDescent="0.3">
      <c r="A1293" t="s">
        <v>28</v>
      </c>
      <c r="B1293" s="63">
        <v>463.1</v>
      </c>
      <c r="C1293" s="437">
        <v>45341</v>
      </c>
    </row>
    <row r="1294" spans="1:18" x14ac:dyDescent="0.3">
      <c r="A1294" t="s">
        <v>29</v>
      </c>
      <c r="B1294" s="63">
        <v>409.2</v>
      </c>
      <c r="C1294" s="437">
        <v>45341</v>
      </c>
    </row>
    <row r="1295" spans="1:18" x14ac:dyDescent="0.3">
      <c r="A1295" t="s">
        <v>30</v>
      </c>
      <c r="B1295" s="63">
        <v>1532</v>
      </c>
      <c r="C1295" s="437">
        <v>45341</v>
      </c>
    </row>
    <row r="1296" spans="1:18" x14ac:dyDescent="0.3">
      <c r="A1296" t="s">
        <v>111</v>
      </c>
      <c r="B1296" s="283">
        <v>339.5</v>
      </c>
      <c r="C1296" s="437">
        <v>45341</v>
      </c>
    </row>
    <row r="1297" spans="1:3" x14ac:dyDescent="0.3">
      <c r="A1297" t="s">
        <v>32</v>
      </c>
      <c r="B1297" s="283">
        <v>372.8</v>
      </c>
      <c r="C1297" s="437">
        <v>45341</v>
      </c>
    </row>
    <row r="1298" spans="1:3" x14ac:dyDescent="0.3">
      <c r="A1298" t="s">
        <v>288</v>
      </c>
      <c r="B1298" s="283">
        <v>309.60000000000002</v>
      </c>
      <c r="C1298" s="437">
        <v>45341</v>
      </c>
    </row>
    <row r="1299" spans="1:3" x14ac:dyDescent="0.3">
      <c r="A1299" t="s">
        <v>112</v>
      </c>
      <c r="B1299" s="283">
        <v>343.8</v>
      </c>
      <c r="C1299" s="437">
        <v>45341</v>
      </c>
    </row>
    <row r="1300" spans="1:3" x14ac:dyDescent="0.3">
      <c r="A1300" t="s">
        <v>289</v>
      </c>
      <c r="B1300" s="283">
        <v>326.5</v>
      </c>
      <c r="C1300" s="437">
        <v>45341</v>
      </c>
    </row>
    <row r="1301" spans="1:3" x14ac:dyDescent="0.3">
      <c r="A1301" t="s">
        <v>291</v>
      </c>
      <c r="B1301" s="283">
        <v>401.4</v>
      </c>
      <c r="C1301" s="437">
        <v>45341</v>
      </c>
    </row>
    <row r="1302" spans="1:3" x14ac:dyDescent="0.3">
      <c r="A1302" t="s">
        <v>7</v>
      </c>
      <c r="B1302" s="331">
        <v>20</v>
      </c>
      <c r="C1302" s="437">
        <v>45342</v>
      </c>
    </row>
    <row r="1303" spans="1:3" x14ac:dyDescent="0.3">
      <c r="A1303" t="s">
        <v>8</v>
      </c>
      <c r="B1303" s="283">
        <f>22.5+91.2</f>
        <v>113.7</v>
      </c>
      <c r="C1303" s="437">
        <v>45342</v>
      </c>
    </row>
    <row r="1304" spans="1:3" x14ac:dyDescent="0.3">
      <c r="A1304" t="s">
        <v>9</v>
      </c>
      <c r="B1304" s="283">
        <v>77.099999999999994</v>
      </c>
      <c r="C1304" s="437">
        <v>45342</v>
      </c>
    </row>
    <row r="1305" spans="1:3" x14ac:dyDescent="0.3">
      <c r="A1305" t="s">
        <v>10</v>
      </c>
      <c r="B1305" s="283">
        <v>43.8</v>
      </c>
      <c r="C1305" s="437">
        <v>45342</v>
      </c>
    </row>
    <row r="1306" spans="1:3" x14ac:dyDescent="0.3">
      <c r="A1306" t="s">
        <v>11</v>
      </c>
      <c r="B1306" s="283">
        <v>18.100000000000001</v>
      </c>
      <c r="C1306" s="437">
        <v>45342</v>
      </c>
    </row>
    <row r="1307" spans="1:3" x14ac:dyDescent="0.3">
      <c r="A1307" t="s">
        <v>12</v>
      </c>
      <c r="B1307" s="283">
        <v>38.9</v>
      </c>
      <c r="C1307" s="437">
        <v>45342</v>
      </c>
    </row>
    <row r="1308" spans="1:3" x14ac:dyDescent="0.3">
      <c r="A1308" t="s">
        <v>13</v>
      </c>
      <c r="B1308" s="283">
        <v>155.30000000000001</v>
      </c>
      <c r="C1308" s="437">
        <v>45342</v>
      </c>
    </row>
    <row r="1309" spans="1:3" x14ac:dyDescent="0.3">
      <c r="A1309" t="s">
        <v>14</v>
      </c>
      <c r="B1309" s="308">
        <v>101.6</v>
      </c>
      <c r="C1309" s="437">
        <v>45342</v>
      </c>
    </row>
    <row r="1310" spans="1:3" x14ac:dyDescent="0.3">
      <c r="A1310" t="s">
        <v>17</v>
      </c>
      <c r="B1310" s="283">
        <v>168.2</v>
      </c>
      <c r="C1310" s="437">
        <v>45342</v>
      </c>
    </row>
    <row r="1311" spans="1:3" x14ac:dyDescent="0.3">
      <c r="A1311" t="s">
        <v>18</v>
      </c>
      <c r="B1311" s="283">
        <v>202.7</v>
      </c>
      <c r="C1311" s="437">
        <v>45342</v>
      </c>
    </row>
    <row r="1312" spans="1:3" x14ac:dyDescent="0.3">
      <c r="A1312" t="s">
        <v>110</v>
      </c>
      <c r="B1312" s="283">
        <v>55</v>
      </c>
      <c r="C1312" s="437">
        <v>45342</v>
      </c>
    </row>
    <row r="1313" spans="1:3" x14ac:dyDescent="0.3">
      <c r="A1313" t="s">
        <v>20</v>
      </c>
      <c r="B1313" s="283">
        <v>191.2</v>
      </c>
      <c r="C1313" s="437">
        <v>45342</v>
      </c>
    </row>
    <row r="1314" spans="1:3" x14ac:dyDescent="0.3">
      <c r="A1314" t="s">
        <v>22</v>
      </c>
      <c r="B1314" s="283">
        <v>168.3</v>
      </c>
      <c r="C1314" s="437">
        <v>45342</v>
      </c>
    </row>
    <row r="1315" spans="1:3" x14ac:dyDescent="0.3">
      <c r="A1315" t="s">
        <v>23</v>
      </c>
      <c r="B1315" s="283">
        <v>191.8</v>
      </c>
      <c r="C1315" s="437">
        <v>45342</v>
      </c>
    </row>
    <row r="1316" spans="1:3" x14ac:dyDescent="0.3">
      <c r="A1316" t="s">
        <v>24</v>
      </c>
      <c r="B1316" s="283">
        <v>153.30000000000001</v>
      </c>
      <c r="C1316" s="437">
        <v>45342</v>
      </c>
    </row>
    <row r="1317" spans="1:3" x14ac:dyDescent="0.3">
      <c r="A1317" t="s">
        <v>25</v>
      </c>
      <c r="B1317" s="283">
        <v>192.4</v>
      </c>
      <c r="C1317" s="437">
        <v>45342</v>
      </c>
    </row>
    <row r="1318" spans="1:3" x14ac:dyDescent="0.3">
      <c r="A1318" t="s">
        <v>26</v>
      </c>
      <c r="B1318" s="282">
        <v>96.1</v>
      </c>
      <c r="C1318" s="437">
        <v>45342</v>
      </c>
    </row>
    <row r="1319" spans="1:3" x14ac:dyDescent="0.3">
      <c r="A1319" t="s">
        <v>28</v>
      </c>
      <c r="B1319" s="283">
        <v>303.7</v>
      </c>
      <c r="C1319" s="437">
        <v>45342</v>
      </c>
    </row>
    <row r="1320" spans="1:3" x14ac:dyDescent="0.3">
      <c r="A1320" t="s">
        <v>29</v>
      </c>
      <c r="B1320" s="283">
        <v>242.3</v>
      </c>
      <c r="C1320" s="437">
        <v>45342</v>
      </c>
    </row>
    <row r="1321" spans="1:3" x14ac:dyDescent="0.3">
      <c r="A1321" t="s">
        <v>30</v>
      </c>
      <c r="B1321" s="283">
        <v>946</v>
      </c>
      <c r="C1321" s="437">
        <v>45342</v>
      </c>
    </row>
    <row r="1322" spans="1:3" x14ac:dyDescent="0.3">
      <c r="A1322" t="s">
        <v>111</v>
      </c>
      <c r="B1322" s="283">
        <v>272.5</v>
      </c>
      <c r="C1322" s="437">
        <v>45342</v>
      </c>
    </row>
    <row r="1323" spans="1:3" x14ac:dyDescent="0.3">
      <c r="A1323" t="s">
        <v>32</v>
      </c>
      <c r="B1323" s="283">
        <v>231</v>
      </c>
      <c r="C1323" s="437">
        <v>45342</v>
      </c>
    </row>
    <row r="1324" spans="1:3" x14ac:dyDescent="0.3">
      <c r="A1324" t="s">
        <v>288</v>
      </c>
      <c r="B1324" s="283">
        <v>205.5</v>
      </c>
      <c r="C1324" s="437">
        <v>45342</v>
      </c>
    </row>
    <row r="1325" spans="1:3" x14ac:dyDescent="0.3">
      <c r="A1325" t="s">
        <v>112</v>
      </c>
      <c r="B1325" s="283">
        <v>210.5</v>
      </c>
      <c r="C1325" s="437">
        <v>45342</v>
      </c>
    </row>
    <row r="1326" spans="1:3" x14ac:dyDescent="0.3">
      <c r="A1326" t="s">
        <v>289</v>
      </c>
      <c r="B1326" s="283">
        <v>197</v>
      </c>
      <c r="C1326" s="437">
        <v>45342</v>
      </c>
    </row>
    <row r="1327" spans="1:3" x14ac:dyDescent="0.3">
      <c r="A1327" t="s">
        <v>291</v>
      </c>
      <c r="B1327" s="283">
        <v>208.9</v>
      </c>
      <c r="C1327" s="437">
        <v>45342</v>
      </c>
    </row>
    <row r="1328" spans="1:3" x14ac:dyDescent="0.3">
      <c r="A1328" t="s">
        <v>7</v>
      </c>
      <c r="B1328" s="103">
        <v>29.9</v>
      </c>
      <c r="C1328" s="437">
        <v>45343</v>
      </c>
    </row>
    <row r="1329" spans="1:18" x14ac:dyDescent="0.3">
      <c r="A1329" t="s">
        <v>8</v>
      </c>
      <c r="B1329" s="63">
        <f>32.3+132.1</f>
        <v>164.39999999999998</v>
      </c>
      <c r="C1329" s="437">
        <v>45343</v>
      </c>
    </row>
    <row r="1330" spans="1:18" x14ac:dyDescent="0.3">
      <c r="A1330" t="s">
        <v>9</v>
      </c>
      <c r="B1330" s="283">
        <v>89.5</v>
      </c>
      <c r="C1330" s="437">
        <v>45343</v>
      </c>
      <c r="D1330" t="s">
        <v>377</v>
      </c>
      <c r="E1330" s="446" t="s">
        <v>386</v>
      </c>
      <c r="F1330" s="446" t="s">
        <v>387</v>
      </c>
      <c r="G1330" s="447">
        <v>1</v>
      </c>
      <c r="H1330" s="447">
        <v>7</v>
      </c>
      <c r="I1330" s="446" t="s">
        <v>388</v>
      </c>
      <c r="J1330" s="446">
        <v>9</v>
      </c>
      <c r="K1330" s="446" t="s">
        <v>389</v>
      </c>
      <c r="L1330" s="446" t="s">
        <v>390</v>
      </c>
      <c r="M1330" s="446" t="s">
        <v>391</v>
      </c>
      <c r="N1330" s="447">
        <v>2871084585</v>
      </c>
      <c r="O1330" s="446" t="s">
        <v>384</v>
      </c>
      <c r="P1330" s="447">
        <v>20</v>
      </c>
      <c r="Q1330" s="447"/>
      <c r="R1330" s="448" t="s">
        <v>385</v>
      </c>
    </row>
    <row r="1331" spans="1:18" x14ac:dyDescent="0.3">
      <c r="A1331" t="s">
        <v>10</v>
      </c>
      <c r="B1331" s="63">
        <v>50.7</v>
      </c>
      <c r="C1331" s="437">
        <v>45343</v>
      </c>
      <c r="D1331" t="s">
        <v>377</v>
      </c>
      <c r="E1331" s="446" t="s">
        <v>386</v>
      </c>
      <c r="F1331" s="446" t="s">
        <v>387</v>
      </c>
      <c r="G1331" s="447">
        <v>1</v>
      </c>
      <c r="H1331" s="447">
        <v>8</v>
      </c>
      <c r="I1331" s="446" t="s">
        <v>388</v>
      </c>
      <c r="J1331" s="446">
        <v>9</v>
      </c>
      <c r="K1331" s="446" t="s">
        <v>389</v>
      </c>
      <c r="L1331" s="446" t="s">
        <v>390</v>
      </c>
      <c r="M1331" s="446" t="s">
        <v>391</v>
      </c>
      <c r="N1331" s="447">
        <v>2871090604</v>
      </c>
      <c r="O1331" s="446" t="s">
        <v>384</v>
      </c>
      <c r="P1331" s="447" t="s">
        <v>392</v>
      </c>
      <c r="Q1331" s="447"/>
      <c r="R1331" s="448" t="s">
        <v>385</v>
      </c>
    </row>
    <row r="1332" spans="1:18" x14ac:dyDescent="0.3">
      <c r="A1332" t="s">
        <v>11</v>
      </c>
      <c r="B1332" s="63">
        <v>26.6</v>
      </c>
      <c r="C1332" s="437">
        <v>45343</v>
      </c>
    </row>
    <row r="1333" spans="1:18" x14ac:dyDescent="0.3">
      <c r="A1333" t="s">
        <v>12</v>
      </c>
      <c r="B1333" s="63">
        <v>56.7</v>
      </c>
      <c r="C1333" s="437">
        <v>45343</v>
      </c>
    </row>
    <row r="1334" spans="1:18" x14ac:dyDescent="0.3">
      <c r="A1334" t="s">
        <v>13</v>
      </c>
      <c r="B1334" s="63">
        <v>238.5</v>
      </c>
      <c r="C1334" s="437">
        <v>45343</v>
      </c>
    </row>
    <row r="1335" spans="1:18" x14ac:dyDescent="0.3">
      <c r="A1335" t="s">
        <v>14</v>
      </c>
      <c r="B1335" s="82">
        <v>140.6</v>
      </c>
      <c r="C1335" s="437">
        <v>45343</v>
      </c>
    </row>
    <row r="1336" spans="1:18" x14ac:dyDescent="0.3">
      <c r="A1336" t="s">
        <v>17</v>
      </c>
      <c r="B1336" s="63">
        <v>232</v>
      </c>
      <c r="C1336" s="437">
        <v>45343</v>
      </c>
    </row>
    <row r="1337" spans="1:18" x14ac:dyDescent="0.3">
      <c r="A1337" t="s">
        <v>18</v>
      </c>
      <c r="B1337" s="63">
        <v>313.5</v>
      </c>
      <c r="C1337" s="437">
        <v>45343</v>
      </c>
    </row>
    <row r="1338" spans="1:18" x14ac:dyDescent="0.3">
      <c r="A1338" t="s">
        <v>110</v>
      </c>
      <c r="B1338" s="63">
        <v>87.2</v>
      </c>
      <c r="C1338" s="437">
        <v>45343</v>
      </c>
    </row>
    <row r="1339" spans="1:18" x14ac:dyDescent="0.3">
      <c r="A1339" t="s">
        <v>20</v>
      </c>
      <c r="B1339" s="63">
        <v>305.7</v>
      </c>
      <c r="C1339" s="437">
        <v>45343</v>
      </c>
    </row>
    <row r="1340" spans="1:18" x14ac:dyDescent="0.3">
      <c r="A1340" t="s">
        <v>22</v>
      </c>
      <c r="B1340" s="63">
        <v>257.2</v>
      </c>
      <c r="C1340" s="437">
        <v>45343</v>
      </c>
    </row>
    <row r="1341" spans="1:18" x14ac:dyDescent="0.3">
      <c r="A1341" t="s">
        <v>23</v>
      </c>
      <c r="B1341" s="63">
        <v>292.89999999999998</v>
      </c>
      <c r="C1341" s="437">
        <v>45343</v>
      </c>
    </row>
    <row r="1342" spans="1:18" x14ac:dyDescent="0.3">
      <c r="A1342" t="s">
        <v>24</v>
      </c>
      <c r="B1342" s="316">
        <v>242.7</v>
      </c>
      <c r="C1342" s="437">
        <v>45343</v>
      </c>
    </row>
    <row r="1343" spans="1:18" x14ac:dyDescent="0.3">
      <c r="A1343" t="s">
        <v>25</v>
      </c>
      <c r="B1343" s="283">
        <v>294.5</v>
      </c>
      <c r="C1343" s="437">
        <v>45343</v>
      </c>
    </row>
    <row r="1344" spans="1:18" x14ac:dyDescent="0.3">
      <c r="A1344" t="s">
        <v>26</v>
      </c>
      <c r="B1344" s="282">
        <v>79</v>
      </c>
      <c r="C1344" s="437">
        <v>45343</v>
      </c>
    </row>
    <row r="1345" spans="1:18" x14ac:dyDescent="0.3">
      <c r="A1345" t="s">
        <v>28</v>
      </c>
      <c r="B1345" s="63">
        <v>426.3</v>
      </c>
      <c r="C1345" s="437">
        <v>45343</v>
      </c>
    </row>
    <row r="1346" spans="1:18" x14ac:dyDescent="0.3">
      <c r="A1346" t="s">
        <v>29</v>
      </c>
      <c r="B1346" s="63">
        <v>345.2</v>
      </c>
      <c r="C1346" s="437">
        <v>45343</v>
      </c>
    </row>
    <row r="1347" spans="1:18" x14ac:dyDescent="0.3">
      <c r="A1347" t="s">
        <v>30</v>
      </c>
      <c r="B1347" s="63">
        <v>1343.3</v>
      </c>
      <c r="C1347" s="437">
        <v>45343</v>
      </c>
    </row>
    <row r="1348" spans="1:18" x14ac:dyDescent="0.3">
      <c r="A1348" t="s">
        <v>111</v>
      </c>
      <c r="B1348" s="63">
        <v>371.3</v>
      </c>
      <c r="C1348" s="437">
        <v>45343</v>
      </c>
    </row>
    <row r="1349" spans="1:18" x14ac:dyDescent="0.3">
      <c r="A1349" t="s">
        <v>32</v>
      </c>
      <c r="B1349" s="63">
        <v>347.2</v>
      </c>
      <c r="C1349" s="437">
        <v>45343</v>
      </c>
    </row>
    <row r="1350" spans="1:18" x14ac:dyDescent="0.3">
      <c r="A1350" t="s">
        <v>288</v>
      </c>
      <c r="B1350" s="282">
        <v>0</v>
      </c>
      <c r="C1350" s="437">
        <v>45343</v>
      </c>
      <c r="D1350" t="s">
        <v>377</v>
      </c>
      <c r="E1350" s="446" t="s">
        <v>378</v>
      </c>
      <c r="F1350" s="446" t="s">
        <v>379</v>
      </c>
      <c r="G1350" s="447">
        <v>1</v>
      </c>
      <c r="H1350" s="447">
        <v>4</v>
      </c>
      <c r="I1350" s="446" t="s">
        <v>388</v>
      </c>
      <c r="J1350" s="446">
        <v>28</v>
      </c>
      <c r="K1350" s="446" t="s">
        <v>393</v>
      </c>
      <c r="L1350" s="446" t="s">
        <v>394</v>
      </c>
      <c r="M1350" s="446" t="s">
        <v>383</v>
      </c>
      <c r="N1350" s="447">
        <v>2359232451</v>
      </c>
      <c r="O1350" s="446" t="s">
        <v>384</v>
      </c>
      <c r="P1350" s="447">
        <v>4</v>
      </c>
      <c r="Q1350" s="447"/>
      <c r="R1350" s="448" t="s">
        <v>385</v>
      </c>
    </row>
    <row r="1351" spans="1:18" x14ac:dyDescent="0.3">
      <c r="A1351" t="s">
        <v>112</v>
      </c>
      <c r="B1351" s="282">
        <v>0</v>
      </c>
      <c r="C1351" s="437">
        <v>45343</v>
      </c>
      <c r="D1351" t="s">
        <v>377</v>
      </c>
      <c r="E1351" s="446" t="s">
        <v>386</v>
      </c>
      <c r="F1351" s="446" t="s">
        <v>379</v>
      </c>
      <c r="G1351" s="447">
        <v>1</v>
      </c>
      <c r="H1351" s="447">
        <v>5</v>
      </c>
      <c r="I1351" s="446" t="s">
        <v>388</v>
      </c>
      <c r="J1351" s="446">
        <v>28</v>
      </c>
      <c r="K1351" s="446" t="s">
        <v>393</v>
      </c>
      <c r="L1351" s="446" t="s">
        <v>394</v>
      </c>
      <c r="M1351" s="446" t="s">
        <v>383</v>
      </c>
      <c r="N1351" s="447">
        <v>2359235829</v>
      </c>
      <c r="O1351" s="446" t="s">
        <v>384</v>
      </c>
      <c r="P1351" s="447">
        <v>4</v>
      </c>
      <c r="Q1351" s="447"/>
      <c r="R1351" s="448" t="s">
        <v>385</v>
      </c>
    </row>
    <row r="1352" spans="1:18" x14ac:dyDescent="0.3">
      <c r="A1352" t="s">
        <v>289</v>
      </c>
      <c r="B1352" s="282">
        <v>0</v>
      </c>
      <c r="C1352" s="437">
        <v>45343</v>
      </c>
      <c r="D1352" t="s">
        <v>377</v>
      </c>
      <c r="E1352" s="446" t="s">
        <v>378</v>
      </c>
      <c r="F1352" s="446" t="s">
        <v>379</v>
      </c>
      <c r="G1352" s="447">
        <v>1</v>
      </c>
      <c r="H1352" s="447">
        <v>6</v>
      </c>
      <c r="I1352" s="446" t="s">
        <v>388</v>
      </c>
      <c r="J1352" s="446">
        <v>30</v>
      </c>
      <c r="K1352" s="446" t="s">
        <v>393</v>
      </c>
      <c r="L1352" s="446" t="s">
        <v>395</v>
      </c>
      <c r="M1352" s="446" t="s">
        <v>383</v>
      </c>
      <c r="N1352" s="447">
        <v>2359239341</v>
      </c>
      <c r="O1352" s="446" t="s">
        <v>384</v>
      </c>
      <c r="P1352" s="447">
        <v>4</v>
      </c>
      <c r="Q1352" s="447"/>
      <c r="R1352" s="448" t="s">
        <v>385</v>
      </c>
    </row>
    <row r="1353" spans="1:18" x14ac:dyDescent="0.3">
      <c r="A1353" t="s">
        <v>291</v>
      </c>
      <c r="B1353" s="63">
        <v>256.8</v>
      </c>
      <c r="C1353" s="437">
        <v>45343</v>
      </c>
    </row>
    <row r="1354" spans="1:18" x14ac:dyDescent="0.3">
      <c r="A1354" t="s">
        <v>7</v>
      </c>
      <c r="B1354" s="103">
        <v>16.600000000000001</v>
      </c>
      <c r="C1354" s="437">
        <v>45344</v>
      </c>
    </row>
    <row r="1355" spans="1:18" x14ac:dyDescent="0.3">
      <c r="A1355" t="s">
        <v>8</v>
      </c>
      <c r="B1355" s="63">
        <f>74.9+18.4</f>
        <v>93.300000000000011</v>
      </c>
      <c r="C1355" s="437">
        <v>45344</v>
      </c>
    </row>
    <row r="1356" spans="1:18" x14ac:dyDescent="0.3">
      <c r="A1356" t="s">
        <v>9</v>
      </c>
      <c r="B1356" s="283">
        <v>75.400000000000006</v>
      </c>
      <c r="C1356" s="437">
        <v>45344</v>
      </c>
    </row>
    <row r="1357" spans="1:18" x14ac:dyDescent="0.3">
      <c r="A1357" t="s">
        <v>10</v>
      </c>
      <c r="B1357" s="283">
        <v>43.5</v>
      </c>
      <c r="C1357" s="437">
        <v>45344</v>
      </c>
    </row>
    <row r="1358" spans="1:18" x14ac:dyDescent="0.3">
      <c r="A1358" t="s">
        <v>11</v>
      </c>
      <c r="B1358" s="63">
        <v>15.8</v>
      </c>
      <c r="C1358" s="437">
        <v>45344</v>
      </c>
    </row>
    <row r="1359" spans="1:18" x14ac:dyDescent="0.3">
      <c r="A1359" t="s">
        <v>12</v>
      </c>
      <c r="B1359" s="63">
        <v>34.299999999999997</v>
      </c>
      <c r="C1359" s="437">
        <v>45344</v>
      </c>
    </row>
    <row r="1360" spans="1:18" x14ac:dyDescent="0.3">
      <c r="A1360" t="s">
        <v>13</v>
      </c>
      <c r="B1360" s="63">
        <v>146.9</v>
      </c>
      <c r="C1360" s="437">
        <v>45344</v>
      </c>
    </row>
    <row r="1361" spans="1:3" x14ac:dyDescent="0.3">
      <c r="A1361" t="s">
        <v>14</v>
      </c>
      <c r="B1361" s="82">
        <v>87.4</v>
      </c>
      <c r="C1361" s="437">
        <v>45344</v>
      </c>
    </row>
    <row r="1362" spans="1:3" x14ac:dyDescent="0.3">
      <c r="A1362" t="s">
        <v>17</v>
      </c>
      <c r="B1362" s="63">
        <v>145.19999999999999</v>
      </c>
      <c r="C1362" s="437">
        <v>45344</v>
      </c>
    </row>
    <row r="1363" spans="1:3" x14ac:dyDescent="0.3">
      <c r="A1363" t="s">
        <v>18</v>
      </c>
      <c r="B1363" s="63">
        <v>191.2</v>
      </c>
      <c r="C1363" s="437">
        <v>45344</v>
      </c>
    </row>
    <row r="1364" spans="1:3" x14ac:dyDescent="0.3">
      <c r="A1364" t="s">
        <v>110</v>
      </c>
      <c r="B1364" s="63">
        <v>52.2</v>
      </c>
      <c r="C1364" s="437">
        <v>45344</v>
      </c>
    </row>
    <row r="1365" spans="1:3" x14ac:dyDescent="0.3">
      <c r="A1365" t="s">
        <v>20</v>
      </c>
      <c r="B1365" s="63">
        <v>145.19999999999999</v>
      </c>
      <c r="C1365" s="437">
        <v>45344</v>
      </c>
    </row>
    <row r="1366" spans="1:3" x14ac:dyDescent="0.3">
      <c r="A1366" t="s">
        <v>22</v>
      </c>
      <c r="B1366" s="63">
        <v>152</v>
      </c>
      <c r="C1366" s="437">
        <v>45344</v>
      </c>
    </row>
    <row r="1367" spans="1:3" x14ac:dyDescent="0.3">
      <c r="A1367" t="s">
        <v>23</v>
      </c>
      <c r="B1367" s="63">
        <v>175.6</v>
      </c>
      <c r="C1367" s="437">
        <v>45344</v>
      </c>
    </row>
    <row r="1368" spans="1:3" x14ac:dyDescent="0.3">
      <c r="A1368" t="s">
        <v>24</v>
      </c>
      <c r="B1368" s="316">
        <v>157.9</v>
      </c>
      <c r="C1368" s="437">
        <v>45344</v>
      </c>
    </row>
    <row r="1369" spans="1:3" x14ac:dyDescent="0.3">
      <c r="A1369" t="s">
        <v>25</v>
      </c>
      <c r="B1369" s="63">
        <v>203.5</v>
      </c>
      <c r="C1369" s="437">
        <v>45344</v>
      </c>
    </row>
    <row r="1370" spans="1:3" x14ac:dyDescent="0.3">
      <c r="A1370" t="s">
        <v>26</v>
      </c>
      <c r="B1370" s="283">
        <v>136.4</v>
      </c>
      <c r="C1370" s="437">
        <v>45344</v>
      </c>
    </row>
    <row r="1371" spans="1:3" x14ac:dyDescent="0.3">
      <c r="A1371" t="s">
        <v>28</v>
      </c>
      <c r="B1371" s="63">
        <v>245.8</v>
      </c>
      <c r="C1371" s="437">
        <v>45344</v>
      </c>
    </row>
    <row r="1372" spans="1:3" x14ac:dyDescent="0.3">
      <c r="A1372" t="s">
        <v>29</v>
      </c>
      <c r="B1372" s="63">
        <v>190.5</v>
      </c>
      <c r="C1372" s="437">
        <v>45344</v>
      </c>
    </row>
    <row r="1373" spans="1:3" x14ac:dyDescent="0.3">
      <c r="A1373" t="s">
        <v>30</v>
      </c>
      <c r="B1373" s="63">
        <v>751.2</v>
      </c>
      <c r="C1373" s="437">
        <v>45344</v>
      </c>
    </row>
    <row r="1374" spans="1:3" x14ac:dyDescent="0.3">
      <c r="A1374" t="s">
        <v>111</v>
      </c>
      <c r="B1374" s="63">
        <v>253</v>
      </c>
      <c r="C1374" s="437">
        <v>45344</v>
      </c>
    </row>
    <row r="1375" spans="1:3" x14ac:dyDescent="0.3">
      <c r="A1375" t="s">
        <v>32</v>
      </c>
      <c r="B1375" s="63">
        <v>254.3</v>
      </c>
      <c r="C1375" s="437">
        <v>45344</v>
      </c>
    </row>
    <row r="1376" spans="1:3" x14ac:dyDescent="0.3">
      <c r="A1376" t="s">
        <v>288</v>
      </c>
      <c r="B1376" s="282">
        <v>0</v>
      </c>
      <c r="C1376" s="437">
        <v>45344</v>
      </c>
    </row>
    <row r="1377" spans="1:3" x14ac:dyDescent="0.3">
      <c r="A1377" t="s">
        <v>112</v>
      </c>
      <c r="B1377" s="282">
        <v>0</v>
      </c>
      <c r="C1377" s="437">
        <v>45344</v>
      </c>
    </row>
    <row r="1378" spans="1:3" x14ac:dyDescent="0.3">
      <c r="A1378" t="s">
        <v>289</v>
      </c>
      <c r="B1378" s="282">
        <v>0</v>
      </c>
      <c r="C1378" s="437">
        <v>45344</v>
      </c>
    </row>
    <row r="1379" spans="1:3" x14ac:dyDescent="0.3">
      <c r="A1379" t="s">
        <v>291</v>
      </c>
      <c r="B1379" s="320">
        <v>205.7</v>
      </c>
      <c r="C1379" s="437">
        <v>45344</v>
      </c>
    </row>
    <row r="1380" spans="1:3" x14ac:dyDescent="0.3">
      <c r="A1380" t="s">
        <v>7</v>
      </c>
      <c r="B1380" s="104">
        <v>30.5</v>
      </c>
      <c r="C1380" s="437">
        <v>45345</v>
      </c>
    </row>
    <row r="1381" spans="1:3" x14ac:dyDescent="0.3">
      <c r="A1381" t="s">
        <v>8</v>
      </c>
      <c r="B1381" s="15">
        <f>146.6+35.9</f>
        <v>182.5</v>
      </c>
      <c r="C1381" s="437">
        <v>45345</v>
      </c>
    </row>
    <row r="1382" spans="1:3" x14ac:dyDescent="0.3">
      <c r="A1382" t="s">
        <v>9</v>
      </c>
      <c r="B1382" s="15">
        <v>137.30000000000001</v>
      </c>
      <c r="C1382" s="437">
        <v>45345</v>
      </c>
    </row>
    <row r="1383" spans="1:3" x14ac:dyDescent="0.3">
      <c r="A1383" t="s">
        <v>10</v>
      </c>
      <c r="B1383" s="15">
        <v>78.8</v>
      </c>
      <c r="C1383" s="437">
        <v>45345</v>
      </c>
    </row>
    <row r="1384" spans="1:3" x14ac:dyDescent="0.3">
      <c r="A1384" t="s">
        <v>11</v>
      </c>
      <c r="B1384" s="148">
        <v>31.5</v>
      </c>
      <c r="C1384" s="437">
        <v>45345</v>
      </c>
    </row>
    <row r="1385" spans="1:3" x14ac:dyDescent="0.3">
      <c r="A1385" t="s">
        <v>12</v>
      </c>
      <c r="B1385" s="15">
        <v>65.5</v>
      </c>
      <c r="C1385" s="437">
        <v>45345</v>
      </c>
    </row>
    <row r="1386" spans="1:3" x14ac:dyDescent="0.3">
      <c r="A1386" t="s">
        <v>13</v>
      </c>
      <c r="B1386" s="15">
        <v>206.6</v>
      </c>
      <c r="C1386" s="437">
        <v>45345</v>
      </c>
    </row>
    <row r="1387" spans="1:3" x14ac:dyDescent="0.3">
      <c r="A1387" t="s">
        <v>14</v>
      </c>
      <c r="B1387" s="16">
        <v>166.9</v>
      </c>
      <c r="C1387" s="437">
        <v>45345</v>
      </c>
    </row>
    <row r="1388" spans="1:3" x14ac:dyDescent="0.3">
      <c r="A1388" t="s">
        <v>17</v>
      </c>
      <c r="B1388" s="15">
        <v>271.7</v>
      </c>
      <c r="C1388" s="437">
        <v>45345</v>
      </c>
    </row>
    <row r="1389" spans="1:3" x14ac:dyDescent="0.3">
      <c r="A1389" t="s">
        <v>18</v>
      </c>
      <c r="B1389" s="15">
        <v>270.60000000000002</v>
      </c>
      <c r="C1389" s="437">
        <v>45345</v>
      </c>
    </row>
    <row r="1390" spans="1:3" x14ac:dyDescent="0.3">
      <c r="A1390" t="s">
        <v>110</v>
      </c>
      <c r="B1390" s="15">
        <v>74.5</v>
      </c>
      <c r="C1390" s="437">
        <v>45345</v>
      </c>
    </row>
    <row r="1391" spans="1:3" x14ac:dyDescent="0.3">
      <c r="A1391" t="s">
        <v>20</v>
      </c>
      <c r="B1391" s="15">
        <v>260.89999999999998</v>
      </c>
      <c r="C1391" s="437">
        <v>45345</v>
      </c>
    </row>
    <row r="1392" spans="1:3" x14ac:dyDescent="0.3">
      <c r="A1392" t="s">
        <v>22</v>
      </c>
      <c r="B1392" s="15">
        <v>274</v>
      </c>
      <c r="C1392" s="437">
        <v>45345</v>
      </c>
    </row>
    <row r="1393" spans="1:3" x14ac:dyDescent="0.3">
      <c r="A1393" t="s">
        <v>23</v>
      </c>
      <c r="B1393" s="15">
        <v>318.3</v>
      </c>
      <c r="C1393" s="437">
        <v>45345</v>
      </c>
    </row>
    <row r="1394" spans="1:3" x14ac:dyDescent="0.3">
      <c r="A1394" t="s">
        <v>24</v>
      </c>
      <c r="B1394" s="15">
        <v>271</v>
      </c>
      <c r="C1394" s="437">
        <v>45345</v>
      </c>
    </row>
    <row r="1395" spans="1:3" x14ac:dyDescent="0.3">
      <c r="A1395" t="s">
        <v>25</v>
      </c>
      <c r="B1395" s="15">
        <v>351.4</v>
      </c>
      <c r="C1395" s="437">
        <v>45345</v>
      </c>
    </row>
    <row r="1396" spans="1:3" x14ac:dyDescent="0.3">
      <c r="A1396" t="s">
        <v>26</v>
      </c>
      <c r="B1396" s="354">
        <v>169.6</v>
      </c>
      <c r="C1396" s="437">
        <v>45345</v>
      </c>
    </row>
    <row r="1397" spans="1:3" x14ac:dyDescent="0.3">
      <c r="A1397" t="s">
        <v>28</v>
      </c>
      <c r="B1397" s="15">
        <v>363.5</v>
      </c>
      <c r="C1397" s="437">
        <v>45345</v>
      </c>
    </row>
    <row r="1398" spans="1:3" x14ac:dyDescent="0.3">
      <c r="A1398" t="s">
        <v>29</v>
      </c>
      <c r="B1398" s="15">
        <v>294.39999999999998</v>
      </c>
      <c r="C1398" s="437">
        <v>45345</v>
      </c>
    </row>
    <row r="1399" spans="1:3" x14ac:dyDescent="0.3">
      <c r="A1399" t="s">
        <v>30</v>
      </c>
      <c r="B1399" s="15">
        <v>1130</v>
      </c>
      <c r="C1399" s="437">
        <v>45345</v>
      </c>
    </row>
    <row r="1400" spans="1:3" x14ac:dyDescent="0.3">
      <c r="A1400" t="s">
        <v>111</v>
      </c>
      <c r="B1400" s="221">
        <v>455.2</v>
      </c>
      <c r="C1400" s="437">
        <v>45345</v>
      </c>
    </row>
    <row r="1401" spans="1:3" x14ac:dyDescent="0.3">
      <c r="A1401" t="s">
        <v>32</v>
      </c>
      <c r="B1401" s="63">
        <v>319.60000000000002</v>
      </c>
      <c r="C1401" s="437">
        <v>45345</v>
      </c>
    </row>
    <row r="1402" spans="1:3" x14ac:dyDescent="0.3">
      <c r="A1402" t="s">
        <v>288</v>
      </c>
      <c r="B1402" s="221">
        <v>225.5</v>
      </c>
      <c r="C1402" s="437">
        <v>45345</v>
      </c>
    </row>
    <row r="1403" spans="1:3" x14ac:dyDescent="0.3">
      <c r="A1403" t="s">
        <v>112</v>
      </c>
      <c r="B1403" s="388">
        <v>230</v>
      </c>
      <c r="C1403" s="437">
        <v>45345</v>
      </c>
    </row>
    <row r="1404" spans="1:3" x14ac:dyDescent="0.3">
      <c r="A1404" t="s">
        <v>289</v>
      </c>
      <c r="B1404" s="221">
        <v>226.1</v>
      </c>
      <c r="C1404" s="437">
        <v>45345</v>
      </c>
    </row>
    <row r="1405" spans="1:3" x14ac:dyDescent="0.3">
      <c r="A1405" t="s">
        <v>291</v>
      </c>
      <c r="B1405" s="321">
        <v>21.2</v>
      </c>
      <c r="C1405" s="437">
        <v>45345</v>
      </c>
    </row>
    <row r="1406" spans="1:3" x14ac:dyDescent="0.3">
      <c r="A1406" t="s">
        <v>7</v>
      </c>
      <c r="B1406" s="332">
        <v>48.4</v>
      </c>
      <c r="C1406" s="437">
        <v>45346</v>
      </c>
    </row>
    <row r="1407" spans="1:3" x14ac:dyDescent="0.3">
      <c r="A1407" t="s">
        <v>8</v>
      </c>
      <c r="B1407" s="18">
        <f>235.1+56.9</f>
        <v>292</v>
      </c>
      <c r="C1407" s="437">
        <v>45346</v>
      </c>
    </row>
    <row r="1408" spans="1:3" x14ac:dyDescent="0.3">
      <c r="A1408" t="s">
        <v>9</v>
      </c>
      <c r="B1408" s="18">
        <v>195.5</v>
      </c>
      <c r="C1408" s="437">
        <v>45346</v>
      </c>
    </row>
    <row r="1409" spans="1:3" x14ac:dyDescent="0.3">
      <c r="A1409" t="s">
        <v>10</v>
      </c>
      <c r="B1409" s="18">
        <v>109.6</v>
      </c>
      <c r="C1409" s="437">
        <v>45346</v>
      </c>
    </row>
    <row r="1410" spans="1:3" x14ac:dyDescent="0.3">
      <c r="A1410" t="s">
        <v>11</v>
      </c>
      <c r="B1410" s="18">
        <v>55.8</v>
      </c>
      <c r="C1410" s="437">
        <v>45346</v>
      </c>
    </row>
    <row r="1411" spans="1:3" x14ac:dyDescent="0.3">
      <c r="A1411" t="s">
        <v>12</v>
      </c>
      <c r="B1411" s="18">
        <v>113.3</v>
      </c>
      <c r="C1411" s="437">
        <v>45346</v>
      </c>
    </row>
    <row r="1412" spans="1:3" x14ac:dyDescent="0.3">
      <c r="A1412" t="s">
        <v>13</v>
      </c>
      <c r="B1412" s="18">
        <v>402.8</v>
      </c>
      <c r="C1412" s="437">
        <v>45346</v>
      </c>
    </row>
    <row r="1413" spans="1:3" x14ac:dyDescent="0.3">
      <c r="A1413" t="s">
        <v>14</v>
      </c>
      <c r="B1413" s="17">
        <v>279.39999999999998</v>
      </c>
      <c r="C1413" s="437">
        <v>45346</v>
      </c>
    </row>
    <row r="1414" spans="1:3" x14ac:dyDescent="0.3">
      <c r="A1414" t="s">
        <v>17</v>
      </c>
      <c r="B1414" s="18">
        <v>462</v>
      </c>
      <c r="C1414" s="437">
        <v>45346</v>
      </c>
    </row>
    <row r="1415" spans="1:3" x14ac:dyDescent="0.3">
      <c r="A1415" t="s">
        <v>18</v>
      </c>
      <c r="B1415" s="18">
        <v>532.29999999999995</v>
      </c>
      <c r="C1415" s="437">
        <v>45346</v>
      </c>
    </row>
    <row r="1416" spans="1:3" x14ac:dyDescent="0.3">
      <c r="A1416" t="s">
        <v>110</v>
      </c>
      <c r="B1416" s="18">
        <v>152.80000000000001</v>
      </c>
      <c r="C1416" s="437">
        <v>45346</v>
      </c>
    </row>
    <row r="1417" spans="1:3" x14ac:dyDescent="0.3">
      <c r="A1417" t="s">
        <v>20</v>
      </c>
      <c r="B1417" s="61">
        <v>505</v>
      </c>
      <c r="C1417" s="437">
        <v>45346</v>
      </c>
    </row>
    <row r="1418" spans="1:3" x14ac:dyDescent="0.3">
      <c r="A1418" t="s">
        <v>22</v>
      </c>
      <c r="B1418" s="18">
        <v>421.1</v>
      </c>
      <c r="C1418" s="437">
        <v>45346</v>
      </c>
    </row>
    <row r="1419" spans="1:3" x14ac:dyDescent="0.3">
      <c r="A1419" t="s">
        <v>23</v>
      </c>
      <c r="B1419" s="18">
        <v>469.4</v>
      </c>
      <c r="C1419" s="437">
        <v>45346</v>
      </c>
    </row>
    <row r="1420" spans="1:3" x14ac:dyDescent="0.3">
      <c r="A1420" t="s">
        <v>24</v>
      </c>
      <c r="B1420" s="18">
        <v>432</v>
      </c>
      <c r="C1420" s="437">
        <v>45346</v>
      </c>
    </row>
    <row r="1421" spans="1:3" x14ac:dyDescent="0.3">
      <c r="A1421" t="s">
        <v>25</v>
      </c>
      <c r="B1421" s="18">
        <v>540.4</v>
      </c>
      <c r="C1421" s="437">
        <v>45346</v>
      </c>
    </row>
    <row r="1422" spans="1:3" x14ac:dyDescent="0.3">
      <c r="A1422" t="s">
        <v>26</v>
      </c>
      <c r="B1422" s="321">
        <v>203.1</v>
      </c>
      <c r="C1422" s="437">
        <v>45346</v>
      </c>
    </row>
    <row r="1423" spans="1:3" x14ac:dyDescent="0.3">
      <c r="A1423" t="s">
        <v>28</v>
      </c>
      <c r="B1423" s="18">
        <v>596.70000000000005</v>
      </c>
      <c r="C1423" s="437">
        <v>45346</v>
      </c>
    </row>
    <row r="1424" spans="1:3" x14ac:dyDescent="0.3">
      <c r="A1424" t="s">
        <v>29</v>
      </c>
      <c r="B1424" s="18">
        <v>529.5</v>
      </c>
      <c r="C1424" s="437">
        <v>45346</v>
      </c>
    </row>
    <row r="1425" spans="1:3" x14ac:dyDescent="0.3">
      <c r="A1425" t="s">
        <v>30</v>
      </c>
      <c r="B1425" s="18">
        <v>1870</v>
      </c>
      <c r="C1425" s="437">
        <v>45346</v>
      </c>
    </row>
    <row r="1426" spans="1:3" x14ac:dyDescent="0.3">
      <c r="A1426" t="s">
        <v>111</v>
      </c>
      <c r="B1426" s="18">
        <v>473.2</v>
      </c>
      <c r="C1426" s="437">
        <v>45346</v>
      </c>
    </row>
    <row r="1427" spans="1:3" x14ac:dyDescent="0.3">
      <c r="A1427" t="s">
        <v>32</v>
      </c>
      <c r="B1427" s="320">
        <v>457.6</v>
      </c>
      <c r="C1427" s="437">
        <v>45346</v>
      </c>
    </row>
    <row r="1428" spans="1:3" x14ac:dyDescent="0.3">
      <c r="A1428" t="s">
        <v>288</v>
      </c>
      <c r="B1428" s="320">
        <v>421.3</v>
      </c>
      <c r="C1428" s="437">
        <v>45346</v>
      </c>
    </row>
    <row r="1429" spans="1:3" x14ac:dyDescent="0.3">
      <c r="A1429" t="s">
        <v>112</v>
      </c>
      <c r="B1429" s="320">
        <v>460.6</v>
      </c>
      <c r="C1429" s="437">
        <v>45346</v>
      </c>
    </row>
    <row r="1430" spans="1:3" x14ac:dyDescent="0.3">
      <c r="A1430" t="s">
        <v>289</v>
      </c>
      <c r="B1430" s="320">
        <v>445.3</v>
      </c>
      <c r="C1430" s="437">
        <v>45346</v>
      </c>
    </row>
    <row r="1431" spans="1:3" x14ac:dyDescent="0.3">
      <c r="A1431" t="s">
        <v>291</v>
      </c>
      <c r="B1431" s="320">
        <v>396.5</v>
      </c>
      <c r="C1431" s="437">
        <v>45346</v>
      </c>
    </row>
    <row r="1432" spans="1:3" x14ac:dyDescent="0.3">
      <c r="A1432" t="s">
        <v>7</v>
      </c>
      <c r="B1432" s="333">
        <v>59.8</v>
      </c>
      <c r="C1432" s="437">
        <v>45347</v>
      </c>
    </row>
    <row r="1433" spans="1:3" x14ac:dyDescent="0.3">
      <c r="A1433" t="s">
        <v>8</v>
      </c>
      <c r="B1433" s="20">
        <f>66.7+274.4</f>
        <v>341.09999999999997</v>
      </c>
      <c r="C1433" s="437">
        <v>45347</v>
      </c>
    </row>
    <row r="1434" spans="1:3" x14ac:dyDescent="0.3">
      <c r="A1434" t="s">
        <v>9</v>
      </c>
      <c r="B1434" s="323">
        <v>240.9</v>
      </c>
      <c r="C1434" s="437">
        <v>45347</v>
      </c>
    </row>
    <row r="1435" spans="1:3" x14ac:dyDescent="0.3">
      <c r="A1435" t="s">
        <v>10</v>
      </c>
      <c r="B1435" s="20">
        <v>137.80000000000001</v>
      </c>
      <c r="C1435" s="437">
        <v>45347</v>
      </c>
    </row>
    <row r="1436" spans="1:3" x14ac:dyDescent="0.3">
      <c r="A1436" t="s">
        <v>11</v>
      </c>
      <c r="B1436" s="323">
        <v>57.3</v>
      </c>
      <c r="C1436" s="437">
        <v>45347</v>
      </c>
    </row>
    <row r="1437" spans="1:3" x14ac:dyDescent="0.3">
      <c r="A1437" t="s">
        <v>12</v>
      </c>
      <c r="B1437" s="323">
        <v>121.6</v>
      </c>
      <c r="C1437" s="437">
        <v>45347</v>
      </c>
    </row>
    <row r="1438" spans="1:3" x14ac:dyDescent="0.3">
      <c r="A1438" t="s">
        <v>13</v>
      </c>
      <c r="B1438" s="323">
        <v>371.2</v>
      </c>
      <c r="C1438" s="437">
        <v>45347</v>
      </c>
    </row>
    <row r="1439" spans="1:3" x14ac:dyDescent="0.3">
      <c r="A1439" t="s">
        <v>14</v>
      </c>
      <c r="B1439" s="324">
        <v>315.7</v>
      </c>
      <c r="C1439" s="437">
        <v>45347</v>
      </c>
    </row>
    <row r="1440" spans="1:3" x14ac:dyDescent="0.3">
      <c r="A1440" t="s">
        <v>17</v>
      </c>
      <c r="B1440" s="323">
        <v>508.6</v>
      </c>
      <c r="C1440" s="437">
        <v>45347</v>
      </c>
    </row>
    <row r="1441" spans="1:3" x14ac:dyDescent="0.3">
      <c r="A1441" t="s">
        <v>18</v>
      </c>
      <c r="B1441" s="323">
        <v>481.4</v>
      </c>
      <c r="C1441" s="437">
        <v>45347</v>
      </c>
    </row>
    <row r="1442" spans="1:3" x14ac:dyDescent="0.3">
      <c r="A1442" t="s">
        <v>110</v>
      </c>
      <c r="B1442" s="323">
        <v>138.80000000000001</v>
      </c>
      <c r="C1442" s="437">
        <v>45347</v>
      </c>
    </row>
    <row r="1443" spans="1:3" x14ac:dyDescent="0.3">
      <c r="A1443" t="s">
        <v>20</v>
      </c>
      <c r="B1443" s="323">
        <v>472.9</v>
      </c>
      <c r="C1443" s="437">
        <v>45347</v>
      </c>
    </row>
    <row r="1444" spans="1:3" x14ac:dyDescent="0.3">
      <c r="A1444" t="s">
        <v>22</v>
      </c>
      <c r="B1444" s="20">
        <v>304</v>
      </c>
      <c r="C1444" s="437">
        <v>45347</v>
      </c>
    </row>
    <row r="1445" spans="1:3" x14ac:dyDescent="0.3">
      <c r="A1445" t="s">
        <v>23</v>
      </c>
      <c r="B1445" s="20">
        <v>336.8</v>
      </c>
      <c r="C1445" s="437">
        <v>45347</v>
      </c>
    </row>
    <row r="1446" spans="1:3" x14ac:dyDescent="0.3">
      <c r="A1446" t="s">
        <v>24</v>
      </c>
      <c r="B1446" s="20">
        <v>325.60000000000002</v>
      </c>
      <c r="C1446" s="437">
        <v>45347</v>
      </c>
    </row>
    <row r="1447" spans="1:3" x14ac:dyDescent="0.3">
      <c r="A1447" t="s">
        <v>25</v>
      </c>
      <c r="B1447" s="20">
        <v>443.6</v>
      </c>
      <c r="C1447" s="437">
        <v>45347</v>
      </c>
    </row>
    <row r="1448" spans="1:3" x14ac:dyDescent="0.3">
      <c r="A1448" t="s">
        <v>26</v>
      </c>
      <c r="B1448" s="366">
        <v>233.1</v>
      </c>
      <c r="C1448" s="437">
        <v>45347</v>
      </c>
    </row>
    <row r="1449" spans="1:3" x14ac:dyDescent="0.3">
      <c r="A1449" t="s">
        <v>28</v>
      </c>
      <c r="B1449" s="20">
        <v>534.79999999999995</v>
      </c>
      <c r="C1449" s="437">
        <v>45347</v>
      </c>
    </row>
    <row r="1450" spans="1:3" x14ac:dyDescent="0.3">
      <c r="A1450" t="s">
        <v>29</v>
      </c>
      <c r="B1450" s="20">
        <v>475.7</v>
      </c>
      <c r="C1450" s="437">
        <v>45347</v>
      </c>
    </row>
    <row r="1451" spans="1:3" x14ac:dyDescent="0.3">
      <c r="A1451" t="s">
        <v>30</v>
      </c>
      <c r="B1451" s="323">
        <v>1763.3</v>
      </c>
      <c r="C1451" s="437">
        <v>45347</v>
      </c>
    </row>
    <row r="1452" spans="1:3" x14ac:dyDescent="0.3">
      <c r="A1452" t="s">
        <v>111</v>
      </c>
      <c r="B1452" s="20">
        <v>461.1</v>
      </c>
      <c r="C1452" s="437">
        <v>45347</v>
      </c>
    </row>
    <row r="1453" spans="1:3" x14ac:dyDescent="0.3">
      <c r="A1453" t="s">
        <v>32</v>
      </c>
      <c r="B1453" s="20">
        <v>505.1</v>
      </c>
      <c r="C1453" s="437">
        <v>45347</v>
      </c>
    </row>
    <row r="1454" spans="1:3" x14ac:dyDescent="0.3">
      <c r="A1454" t="s">
        <v>288</v>
      </c>
      <c r="B1454" s="323">
        <v>440.9</v>
      </c>
      <c r="C1454" s="437">
        <v>45347</v>
      </c>
    </row>
    <row r="1455" spans="1:3" x14ac:dyDescent="0.3">
      <c r="A1455" t="s">
        <v>112</v>
      </c>
      <c r="B1455" s="323">
        <v>428.4</v>
      </c>
      <c r="C1455" s="437">
        <v>45347</v>
      </c>
    </row>
    <row r="1456" spans="1:3" x14ac:dyDescent="0.3">
      <c r="A1456" t="s">
        <v>289</v>
      </c>
      <c r="B1456" s="323">
        <v>438.4</v>
      </c>
      <c r="C1456" s="437">
        <v>45347</v>
      </c>
    </row>
    <row r="1457" spans="1:18" x14ac:dyDescent="0.3">
      <c r="A1457" t="s">
        <v>291</v>
      </c>
      <c r="B1457" s="323">
        <v>409.6</v>
      </c>
      <c r="C1457" s="437">
        <v>45347</v>
      </c>
    </row>
    <row r="1458" spans="1:18" x14ac:dyDescent="0.3">
      <c r="A1458" t="s">
        <v>7</v>
      </c>
      <c r="B1458" s="104">
        <v>48.3</v>
      </c>
      <c r="C1458" s="437">
        <v>45348</v>
      </c>
    </row>
    <row r="1459" spans="1:18" x14ac:dyDescent="0.3">
      <c r="A1459" t="s">
        <v>8</v>
      </c>
      <c r="B1459" s="31">
        <f>230+55.8</f>
        <v>285.8</v>
      </c>
      <c r="C1459" s="437">
        <v>45348</v>
      </c>
    </row>
    <row r="1460" spans="1:18" x14ac:dyDescent="0.3">
      <c r="A1460" t="s">
        <v>9</v>
      </c>
      <c r="B1460" s="15">
        <v>192.5</v>
      </c>
      <c r="C1460" s="437">
        <v>45348</v>
      </c>
    </row>
    <row r="1461" spans="1:18" x14ac:dyDescent="0.3">
      <c r="A1461" t="s">
        <v>10</v>
      </c>
      <c r="B1461" s="15">
        <v>107</v>
      </c>
      <c r="C1461" s="437">
        <v>45348</v>
      </c>
    </row>
    <row r="1462" spans="1:18" x14ac:dyDescent="0.3">
      <c r="A1462" t="s">
        <v>11</v>
      </c>
      <c r="B1462" s="392">
        <v>13.7</v>
      </c>
      <c r="C1462" s="437">
        <v>45348</v>
      </c>
      <c r="D1462" t="s">
        <v>377</v>
      </c>
      <c r="E1462" s="446" t="s">
        <v>378</v>
      </c>
      <c r="F1462" s="446" t="s">
        <v>387</v>
      </c>
      <c r="G1462" s="447">
        <v>1</v>
      </c>
      <c r="H1462" s="447">
        <v>11</v>
      </c>
      <c r="I1462" s="446" t="s">
        <v>388</v>
      </c>
      <c r="J1462" s="446">
        <v>8</v>
      </c>
      <c r="K1462" s="446" t="s">
        <v>396</v>
      </c>
      <c r="L1462" s="446" t="s">
        <v>397</v>
      </c>
      <c r="M1462" s="446" t="s">
        <v>391</v>
      </c>
      <c r="N1462" s="447">
        <v>2873775392</v>
      </c>
      <c r="O1462" s="446" t="s">
        <v>384</v>
      </c>
      <c r="P1462" s="447" t="s">
        <v>398</v>
      </c>
      <c r="Q1462" s="447"/>
      <c r="R1462" s="448" t="s">
        <v>385</v>
      </c>
    </row>
    <row r="1463" spans="1:18" x14ac:dyDescent="0.3">
      <c r="A1463" t="s">
        <v>12</v>
      </c>
      <c r="B1463" s="392">
        <v>28.7</v>
      </c>
      <c r="C1463" s="437">
        <v>45348</v>
      </c>
      <c r="D1463" t="s">
        <v>377</v>
      </c>
      <c r="E1463" s="446" t="s">
        <v>399</v>
      </c>
      <c r="F1463" s="446" t="s">
        <v>387</v>
      </c>
      <c r="G1463" s="447">
        <v>1</v>
      </c>
      <c r="H1463" s="447">
        <v>12</v>
      </c>
      <c r="I1463" s="446" t="s">
        <v>388</v>
      </c>
      <c r="J1463" s="446">
        <v>8</v>
      </c>
      <c r="K1463" s="446" t="s">
        <v>396</v>
      </c>
      <c r="L1463" s="446" t="s">
        <v>397</v>
      </c>
      <c r="M1463" s="446" t="s">
        <v>391</v>
      </c>
      <c r="N1463" s="447">
        <v>2873775392</v>
      </c>
      <c r="O1463" s="446" t="s">
        <v>384</v>
      </c>
      <c r="P1463" s="447" t="s">
        <v>398</v>
      </c>
      <c r="Q1463" s="447"/>
      <c r="R1463" s="448" t="s">
        <v>385</v>
      </c>
    </row>
    <row r="1464" spans="1:18" x14ac:dyDescent="0.3">
      <c r="A1464" t="s">
        <v>13</v>
      </c>
      <c r="B1464" s="221">
        <v>405.1</v>
      </c>
      <c r="C1464" s="437">
        <v>45348</v>
      </c>
    </row>
    <row r="1465" spans="1:18" x14ac:dyDescent="0.3">
      <c r="A1465" t="s">
        <v>14</v>
      </c>
      <c r="B1465" s="392">
        <v>84.5</v>
      </c>
      <c r="C1465" s="437">
        <v>45348</v>
      </c>
      <c r="D1465" t="s">
        <v>377</v>
      </c>
      <c r="E1465" s="446" t="s">
        <v>386</v>
      </c>
      <c r="F1465" s="446" t="s">
        <v>387</v>
      </c>
      <c r="G1465" s="447">
        <v>1</v>
      </c>
      <c r="H1465" s="447">
        <v>9</v>
      </c>
      <c r="I1465" s="446" t="s">
        <v>388</v>
      </c>
      <c r="J1465" s="446">
        <v>8</v>
      </c>
      <c r="K1465" s="446" t="s">
        <v>396</v>
      </c>
      <c r="L1465" s="446" t="s">
        <v>397</v>
      </c>
      <c r="M1465" s="446" t="s">
        <v>391</v>
      </c>
      <c r="N1465" s="447">
        <v>2873775392</v>
      </c>
      <c r="O1465" s="446" t="s">
        <v>384</v>
      </c>
      <c r="P1465" s="447">
        <v>4</v>
      </c>
      <c r="Q1465" s="447"/>
      <c r="R1465" s="448" t="s">
        <v>385</v>
      </c>
    </row>
    <row r="1466" spans="1:18" x14ac:dyDescent="0.3">
      <c r="A1466" t="s">
        <v>17</v>
      </c>
      <c r="B1466" s="392">
        <v>140</v>
      </c>
      <c r="C1466" s="437">
        <v>45348</v>
      </c>
      <c r="D1466" t="s">
        <v>377</v>
      </c>
      <c r="E1466" s="446" t="s">
        <v>378</v>
      </c>
      <c r="F1466" s="446" t="s">
        <v>400</v>
      </c>
      <c r="G1466" s="447">
        <v>1</v>
      </c>
      <c r="H1466" s="447">
        <v>10</v>
      </c>
      <c r="I1466" s="446" t="s">
        <v>388</v>
      </c>
      <c r="J1466" s="446">
        <v>8</v>
      </c>
      <c r="K1466" s="446" t="s">
        <v>396</v>
      </c>
      <c r="L1466" s="446" t="s">
        <v>397</v>
      </c>
      <c r="M1466" s="446" t="s">
        <v>391</v>
      </c>
      <c r="N1466" s="447">
        <v>2873775392</v>
      </c>
      <c r="O1466" s="446" t="s">
        <v>384</v>
      </c>
      <c r="P1466" s="447">
        <v>4</v>
      </c>
      <c r="Q1466" s="447"/>
      <c r="R1466" s="448" t="s">
        <v>385</v>
      </c>
    </row>
    <row r="1467" spans="1:18" x14ac:dyDescent="0.3">
      <c r="A1467" t="s">
        <v>18</v>
      </c>
      <c r="B1467" s="221">
        <v>417.8</v>
      </c>
      <c r="C1467" s="437">
        <v>45348</v>
      </c>
    </row>
    <row r="1468" spans="1:18" x14ac:dyDescent="0.3">
      <c r="A1468" t="s">
        <v>110</v>
      </c>
      <c r="B1468" s="221">
        <v>154.30000000000001</v>
      </c>
      <c r="C1468" s="437">
        <v>45348</v>
      </c>
    </row>
    <row r="1469" spans="1:18" x14ac:dyDescent="0.3">
      <c r="A1469" t="s">
        <v>20</v>
      </c>
      <c r="B1469" s="15">
        <v>378.7</v>
      </c>
      <c r="C1469" s="437">
        <v>45348</v>
      </c>
    </row>
    <row r="1470" spans="1:18" x14ac:dyDescent="0.3">
      <c r="A1470" t="s">
        <v>22</v>
      </c>
      <c r="B1470" s="15">
        <v>391.8</v>
      </c>
      <c r="C1470" s="437">
        <v>45348</v>
      </c>
    </row>
    <row r="1471" spans="1:18" x14ac:dyDescent="0.3">
      <c r="A1471" t="s">
        <v>23</v>
      </c>
      <c r="B1471" s="15">
        <v>436.2</v>
      </c>
      <c r="C1471" s="437">
        <v>45348</v>
      </c>
    </row>
    <row r="1472" spans="1:18" x14ac:dyDescent="0.3">
      <c r="A1472" t="s">
        <v>24</v>
      </c>
      <c r="B1472" s="15">
        <v>412</v>
      </c>
      <c r="C1472" s="437">
        <v>45348</v>
      </c>
    </row>
    <row r="1473" spans="1:3" x14ac:dyDescent="0.3">
      <c r="A1473" t="s">
        <v>25</v>
      </c>
      <c r="B1473" s="15">
        <v>519.9</v>
      </c>
      <c r="C1473" s="437">
        <v>45348</v>
      </c>
    </row>
    <row r="1474" spans="1:3" x14ac:dyDescent="0.3">
      <c r="A1474" t="s">
        <v>26</v>
      </c>
      <c r="B1474" s="354">
        <v>227.4</v>
      </c>
      <c r="C1474" s="437">
        <v>45348</v>
      </c>
    </row>
    <row r="1475" spans="1:3" x14ac:dyDescent="0.3">
      <c r="A1475" t="s">
        <v>28</v>
      </c>
      <c r="B1475" s="15">
        <v>547</v>
      </c>
      <c r="C1475" s="437">
        <v>45348</v>
      </c>
    </row>
    <row r="1476" spans="1:3" x14ac:dyDescent="0.3">
      <c r="A1476" t="s">
        <v>29</v>
      </c>
      <c r="B1476" s="15">
        <v>479.2</v>
      </c>
      <c r="C1476" s="437">
        <v>45348</v>
      </c>
    </row>
    <row r="1477" spans="1:3" x14ac:dyDescent="0.3">
      <c r="A1477" t="s">
        <v>30</v>
      </c>
      <c r="B1477" s="221">
        <v>1761.6</v>
      </c>
      <c r="C1477" s="437">
        <v>45348</v>
      </c>
    </row>
    <row r="1478" spans="1:3" x14ac:dyDescent="0.3">
      <c r="A1478" t="s">
        <v>111</v>
      </c>
      <c r="B1478" s="15">
        <v>484.2</v>
      </c>
      <c r="C1478" s="437">
        <v>45348</v>
      </c>
    </row>
    <row r="1479" spans="1:3" x14ac:dyDescent="0.3">
      <c r="A1479" t="s">
        <v>32</v>
      </c>
      <c r="B1479" s="15">
        <v>331.8</v>
      </c>
      <c r="C1479" s="437">
        <v>45348</v>
      </c>
    </row>
    <row r="1480" spans="1:3" x14ac:dyDescent="0.3">
      <c r="A1480" t="s">
        <v>288</v>
      </c>
      <c r="B1480" s="283">
        <v>445.4</v>
      </c>
      <c r="C1480" s="437">
        <v>45348</v>
      </c>
    </row>
    <row r="1481" spans="1:3" x14ac:dyDescent="0.3">
      <c r="A1481" t="s">
        <v>112</v>
      </c>
      <c r="B1481" s="283">
        <v>430.7</v>
      </c>
      <c r="C1481" s="437">
        <v>45348</v>
      </c>
    </row>
    <row r="1482" spans="1:3" x14ac:dyDescent="0.3">
      <c r="A1482" t="s">
        <v>289</v>
      </c>
      <c r="B1482" s="283">
        <v>416.7</v>
      </c>
      <c r="C1482" s="437">
        <v>45348</v>
      </c>
    </row>
    <row r="1483" spans="1:3" x14ac:dyDescent="0.3">
      <c r="A1483" t="s">
        <v>291</v>
      </c>
      <c r="B1483" s="15">
        <v>344.6</v>
      </c>
      <c r="C1483" s="437">
        <v>45348</v>
      </c>
    </row>
    <row r="1484" spans="1:3" x14ac:dyDescent="0.3">
      <c r="A1484" t="s">
        <v>7</v>
      </c>
      <c r="B1484" s="104">
        <v>58.1</v>
      </c>
      <c r="C1484" s="437">
        <v>45349</v>
      </c>
    </row>
    <row r="1485" spans="1:3" x14ac:dyDescent="0.3">
      <c r="A1485" t="s">
        <v>8</v>
      </c>
      <c r="B1485" s="15">
        <f>65.6+270.8</f>
        <v>336.4</v>
      </c>
      <c r="C1485" s="437">
        <v>45349</v>
      </c>
    </row>
    <row r="1486" spans="1:3" x14ac:dyDescent="0.3">
      <c r="A1486" t="s">
        <v>9</v>
      </c>
      <c r="B1486" s="15">
        <v>248.1</v>
      </c>
      <c r="C1486" s="437">
        <v>45349</v>
      </c>
    </row>
    <row r="1487" spans="1:3" x14ac:dyDescent="0.3">
      <c r="A1487" t="s">
        <v>10</v>
      </c>
      <c r="B1487" s="15">
        <v>138.69999999999999</v>
      </c>
      <c r="C1487" s="437">
        <v>45349</v>
      </c>
    </row>
    <row r="1488" spans="1:3" x14ac:dyDescent="0.3">
      <c r="A1488" t="s">
        <v>11</v>
      </c>
      <c r="B1488" s="15">
        <v>53.5</v>
      </c>
      <c r="C1488" s="437">
        <v>45349</v>
      </c>
    </row>
    <row r="1489" spans="1:18" x14ac:dyDescent="0.3">
      <c r="A1489" t="s">
        <v>12</v>
      </c>
      <c r="B1489" s="15">
        <v>112.9</v>
      </c>
      <c r="C1489" s="437">
        <v>45349</v>
      </c>
    </row>
    <row r="1490" spans="1:18" x14ac:dyDescent="0.3">
      <c r="A1490" t="s">
        <v>13</v>
      </c>
      <c r="B1490" s="15">
        <v>354</v>
      </c>
      <c r="C1490" s="437">
        <v>45349</v>
      </c>
    </row>
    <row r="1491" spans="1:18" x14ac:dyDescent="0.3">
      <c r="A1491" t="s">
        <v>14</v>
      </c>
      <c r="B1491" s="16">
        <v>298.2</v>
      </c>
      <c r="C1491" s="437">
        <v>45349</v>
      </c>
    </row>
    <row r="1492" spans="1:18" x14ac:dyDescent="0.3">
      <c r="A1492" t="s">
        <v>17</v>
      </c>
      <c r="B1492" s="15">
        <v>466.6</v>
      </c>
      <c r="C1492" s="437">
        <v>45349</v>
      </c>
    </row>
    <row r="1493" spans="1:18" x14ac:dyDescent="0.3">
      <c r="A1493" t="s">
        <v>18</v>
      </c>
      <c r="B1493" s="15">
        <v>115.1</v>
      </c>
      <c r="C1493" s="437">
        <v>45349</v>
      </c>
      <c r="D1493" t="s">
        <v>377</v>
      </c>
      <c r="E1493" s="446" t="s">
        <v>378</v>
      </c>
      <c r="F1493" s="446" t="s">
        <v>400</v>
      </c>
      <c r="G1493" s="447">
        <v>1</v>
      </c>
      <c r="H1493" s="447">
        <v>14</v>
      </c>
      <c r="I1493" s="446" t="s">
        <v>388</v>
      </c>
      <c r="J1493" s="446">
        <v>18</v>
      </c>
      <c r="K1493" s="446" t="s">
        <v>401</v>
      </c>
      <c r="L1493" s="446" t="s">
        <v>402</v>
      </c>
      <c r="M1493" s="446" t="s">
        <v>391</v>
      </c>
      <c r="N1493" s="447">
        <v>2874238058</v>
      </c>
      <c r="O1493" s="446" t="s">
        <v>384</v>
      </c>
      <c r="P1493" s="447">
        <v>21</v>
      </c>
      <c r="Q1493" s="447"/>
      <c r="R1493" s="448" t="s">
        <v>385</v>
      </c>
    </row>
    <row r="1494" spans="1:18" x14ac:dyDescent="0.3">
      <c r="A1494" t="s">
        <v>110</v>
      </c>
      <c r="B1494" s="221">
        <v>138.30000000000001</v>
      </c>
      <c r="C1494" s="437">
        <v>45349</v>
      </c>
    </row>
    <row r="1495" spans="1:18" x14ac:dyDescent="0.3">
      <c r="A1495" t="s">
        <v>20</v>
      </c>
      <c r="B1495" s="15">
        <v>487.8</v>
      </c>
      <c r="C1495" s="437">
        <v>45349</v>
      </c>
    </row>
    <row r="1496" spans="1:18" x14ac:dyDescent="0.3">
      <c r="A1496" t="s">
        <v>22</v>
      </c>
      <c r="B1496" s="283">
        <v>479.1</v>
      </c>
      <c r="C1496" s="437">
        <v>45349</v>
      </c>
    </row>
    <row r="1497" spans="1:18" x14ac:dyDescent="0.3">
      <c r="A1497" t="s">
        <v>23</v>
      </c>
      <c r="B1497" s="283">
        <v>553</v>
      </c>
      <c r="C1497" s="437">
        <v>45349</v>
      </c>
    </row>
    <row r="1498" spans="1:18" x14ac:dyDescent="0.3">
      <c r="A1498" t="s">
        <v>24</v>
      </c>
      <c r="B1498" s="283">
        <v>478.7</v>
      </c>
      <c r="C1498" s="437">
        <v>45349</v>
      </c>
    </row>
    <row r="1499" spans="1:18" x14ac:dyDescent="0.3">
      <c r="A1499" t="s">
        <v>25</v>
      </c>
      <c r="B1499" s="283">
        <v>578.1</v>
      </c>
      <c r="C1499" s="437">
        <v>45349</v>
      </c>
    </row>
    <row r="1500" spans="1:18" x14ac:dyDescent="0.3">
      <c r="A1500" t="s">
        <v>26</v>
      </c>
      <c r="B1500" s="282">
        <v>249.2</v>
      </c>
      <c r="C1500" s="437">
        <v>45349</v>
      </c>
    </row>
    <row r="1501" spans="1:18" x14ac:dyDescent="0.3">
      <c r="A1501" t="s">
        <v>28</v>
      </c>
      <c r="B1501" s="221">
        <v>475.2</v>
      </c>
      <c r="C1501" s="437">
        <v>45349</v>
      </c>
      <c r="D1501" t="s">
        <v>377</v>
      </c>
      <c r="E1501" s="446" t="s">
        <v>378</v>
      </c>
      <c r="F1501" s="446" t="s">
        <v>379</v>
      </c>
      <c r="G1501" s="447">
        <v>1</v>
      </c>
      <c r="H1501" s="447">
        <v>13</v>
      </c>
      <c r="I1501" s="446" t="s">
        <v>388</v>
      </c>
      <c r="J1501" s="446" t="s">
        <v>403</v>
      </c>
      <c r="K1501" s="446" t="s">
        <v>397</v>
      </c>
      <c r="L1501" s="446" t="s">
        <v>404</v>
      </c>
      <c r="M1501" s="446" t="s">
        <v>383</v>
      </c>
      <c r="N1501" s="447">
        <v>3672351703</v>
      </c>
      <c r="O1501" s="446" t="s">
        <v>384</v>
      </c>
      <c r="P1501" s="447">
        <v>3</v>
      </c>
      <c r="Q1501" s="447"/>
      <c r="R1501" s="448" t="s">
        <v>385</v>
      </c>
    </row>
    <row r="1502" spans="1:18" x14ac:dyDescent="0.3">
      <c r="A1502" t="s">
        <v>29</v>
      </c>
      <c r="B1502" s="15">
        <v>412.7</v>
      </c>
      <c r="C1502" s="437">
        <v>45349</v>
      </c>
      <c r="D1502" t="s">
        <v>377</v>
      </c>
      <c r="E1502" s="446" t="s">
        <v>378</v>
      </c>
      <c r="F1502" s="446" t="s">
        <v>379</v>
      </c>
      <c r="G1502" s="447">
        <v>1</v>
      </c>
      <c r="H1502" s="447">
        <v>13</v>
      </c>
      <c r="I1502" s="446" t="s">
        <v>388</v>
      </c>
      <c r="J1502" s="446" t="s">
        <v>403</v>
      </c>
      <c r="K1502" s="446" t="s">
        <v>397</v>
      </c>
      <c r="L1502" s="446" t="s">
        <v>404</v>
      </c>
      <c r="M1502" s="446" t="s">
        <v>383</v>
      </c>
      <c r="N1502" s="447">
        <v>3672351703</v>
      </c>
      <c r="O1502" s="446" t="s">
        <v>384</v>
      </c>
      <c r="P1502" s="447">
        <v>3</v>
      </c>
      <c r="Q1502" s="447"/>
      <c r="R1502" s="448" t="s">
        <v>385</v>
      </c>
    </row>
    <row r="1503" spans="1:18" x14ac:dyDescent="0.3">
      <c r="A1503" t="s">
        <v>30</v>
      </c>
      <c r="B1503" s="15">
        <v>1519.6</v>
      </c>
      <c r="C1503" s="437">
        <v>45349</v>
      </c>
      <c r="D1503" t="s">
        <v>377</v>
      </c>
      <c r="E1503" s="446" t="s">
        <v>378</v>
      </c>
      <c r="F1503" s="446" t="s">
        <v>379</v>
      </c>
      <c r="G1503" s="447">
        <v>1</v>
      </c>
      <c r="H1503" s="447">
        <v>13</v>
      </c>
      <c r="I1503" s="446" t="s">
        <v>388</v>
      </c>
      <c r="J1503" s="446" t="s">
        <v>403</v>
      </c>
      <c r="K1503" s="446" t="s">
        <v>397</v>
      </c>
      <c r="L1503" s="446" t="s">
        <v>404</v>
      </c>
      <c r="M1503" s="446" t="s">
        <v>383</v>
      </c>
      <c r="N1503" s="447">
        <v>3672351703</v>
      </c>
      <c r="O1503" s="446" t="s">
        <v>384</v>
      </c>
      <c r="P1503" s="447">
        <v>3</v>
      </c>
      <c r="Q1503" s="447"/>
      <c r="R1503" s="448" t="s">
        <v>385</v>
      </c>
    </row>
    <row r="1504" spans="1:18" x14ac:dyDescent="0.3">
      <c r="A1504" t="s">
        <v>111</v>
      </c>
      <c r="B1504" s="15">
        <v>572.4</v>
      </c>
      <c r="C1504" s="437">
        <v>45349</v>
      </c>
    </row>
    <row r="1505" spans="1:3" x14ac:dyDescent="0.3">
      <c r="A1505" t="s">
        <v>32</v>
      </c>
      <c r="B1505" s="221">
        <v>544.5</v>
      </c>
      <c r="C1505" s="437">
        <v>45349</v>
      </c>
    </row>
    <row r="1506" spans="1:3" x14ac:dyDescent="0.3">
      <c r="A1506" t="s">
        <v>288</v>
      </c>
      <c r="B1506" s="221">
        <v>468.1</v>
      </c>
      <c r="C1506" s="437">
        <v>45349</v>
      </c>
    </row>
    <row r="1507" spans="1:3" x14ac:dyDescent="0.3">
      <c r="A1507" t="s">
        <v>112</v>
      </c>
      <c r="B1507" s="221">
        <v>410.9</v>
      </c>
      <c r="C1507" s="437">
        <v>45349</v>
      </c>
    </row>
    <row r="1508" spans="1:3" x14ac:dyDescent="0.3">
      <c r="A1508" t="s">
        <v>289</v>
      </c>
      <c r="B1508" s="221">
        <v>439.6</v>
      </c>
      <c r="C1508" s="437">
        <v>45349</v>
      </c>
    </row>
    <row r="1509" spans="1:3" x14ac:dyDescent="0.3">
      <c r="A1509" t="s">
        <v>291</v>
      </c>
      <c r="B1509" s="221">
        <v>452.1</v>
      </c>
      <c r="C1509" s="437">
        <v>45349</v>
      </c>
    </row>
    <row r="1510" spans="1:3" x14ac:dyDescent="0.3">
      <c r="A1510" t="s">
        <v>7</v>
      </c>
      <c r="B1510" s="104">
        <v>50.7</v>
      </c>
      <c r="C1510" s="437">
        <v>45350</v>
      </c>
    </row>
    <row r="1511" spans="1:3" x14ac:dyDescent="0.3">
      <c r="A1511" t="s">
        <v>8</v>
      </c>
      <c r="B1511" s="15">
        <f>237+57.9</f>
        <v>294.89999999999998</v>
      </c>
      <c r="C1511" s="437">
        <v>45350</v>
      </c>
    </row>
    <row r="1512" spans="1:3" x14ac:dyDescent="0.3">
      <c r="A1512" t="s">
        <v>9</v>
      </c>
      <c r="B1512" s="15">
        <v>223.9</v>
      </c>
      <c r="C1512" s="437">
        <v>45350</v>
      </c>
    </row>
    <row r="1513" spans="1:3" x14ac:dyDescent="0.3">
      <c r="A1513" t="s">
        <v>10</v>
      </c>
      <c r="B1513" s="15">
        <v>126.2</v>
      </c>
      <c r="C1513" s="437">
        <v>45350</v>
      </c>
    </row>
    <row r="1514" spans="1:3" x14ac:dyDescent="0.3">
      <c r="A1514" t="s">
        <v>11</v>
      </c>
      <c r="B1514" s="15">
        <v>52.3</v>
      </c>
      <c r="C1514" s="437">
        <v>45350</v>
      </c>
    </row>
    <row r="1515" spans="1:3" x14ac:dyDescent="0.3">
      <c r="A1515" t="s">
        <v>12</v>
      </c>
      <c r="B1515" s="15">
        <v>111.5</v>
      </c>
      <c r="C1515" s="437">
        <v>45350</v>
      </c>
    </row>
    <row r="1516" spans="1:3" x14ac:dyDescent="0.3">
      <c r="A1516" t="s">
        <v>13</v>
      </c>
      <c r="B1516" s="221">
        <v>368.4</v>
      </c>
      <c r="C1516" s="437">
        <v>45350</v>
      </c>
    </row>
    <row r="1517" spans="1:3" x14ac:dyDescent="0.3">
      <c r="A1517" t="s">
        <v>14</v>
      </c>
      <c r="B1517" s="16">
        <v>274.2</v>
      </c>
      <c r="C1517" s="437">
        <v>45350</v>
      </c>
    </row>
    <row r="1518" spans="1:3" x14ac:dyDescent="0.3">
      <c r="A1518" t="s">
        <v>17</v>
      </c>
      <c r="B1518" s="15">
        <v>466.2</v>
      </c>
      <c r="C1518" s="437">
        <v>45350</v>
      </c>
    </row>
    <row r="1519" spans="1:3" x14ac:dyDescent="0.3">
      <c r="A1519" t="s">
        <v>18</v>
      </c>
      <c r="B1519" s="15">
        <v>94.9</v>
      </c>
      <c r="C1519" s="437">
        <v>45350</v>
      </c>
    </row>
    <row r="1520" spans="1:3" x14ac:dyDescent="0.3">
      <c r="A1520" t="s">
        <v>110</v>
      </c>
      <c r="B1520" s="15">
        <v>134.19999999999999</v>
      </c>
      <c r="C1520" s="437">
        <v>45350</v>
      </c>
    </row>
    <row r="1521" spans="1:3" x14ac:dyDescent="0.3">
      <c r="A1521" t="s">
        <v>20</v>
      </c>
      <c r="B1521" s="15">
        <v>449.5</v>
      </c>
      <c r="C1521" s="437">
        <v>45350</v>
      </c>
    </row>
    <row r="1522" spans="1:3" x14ac:dyDescent="0.3">
      <c r="A1522" t="s">
        <v>22</v>
      </c>
      <c r="B1522" s="15">
        <v>417.1</v>
      </c>
      <c r="C1522" s="437">
        <v>45350</v>
      </c>
    </row>
    <row r="1523" spans="1:3" x14ac:dyDescent="0.3">
      <c r="A1523" t="s">
        <v>23</v>
      </c>
      <c r="B1523" s="15">
        <v>485.8</v>
      </c>
      <c r="C1523" s="437">
        <v>45350</v>
      </c>
    </row>
    <row r="1524" spans="1:3" x14ac:dyDescent="0.3">
      <c r="A1524" t="s">
        <v>24</v>
      </c>
      <c r="B1524" s="221">
        <v>411.8</v>
      </c>
      <c r="C1524" s="437">
        <v>45350</v>
      </c>
    </row>
    <row r="1525" spans="1:3" x14ac:dyDescent="0.3">
      <c r="A1525" t="s">
        <v>25</v>
      </c>
      <c r="B1525" s="221">
        <v>548.6</v>
      </c>
      <c r="C1525" s="437">
        <v>45350</v>
      </c>
    </row>
    <row r="1526" spans="1:3" x14ac:dyDescent="0.3">
      <c r="A1526" t="s">
        <v>26</v>
      </c>
      <c r="B1526" s="354">
        <v>238.9</v>
      </c>
      <c r="C1526" s="437">
        <v>45350</v>
      </c>
    </row>
    <row r="1527" spans="1:3" x14ac:dyDescent="0.3">
      <c r="A1527" t="s">
        <v>28</v>
      </c>
      <c r="B1527" s="15">
        <v>573.6</v>
      </c>
      <c r="C1527" s="437">
        <v>45350</v>
      </c>
    </row>
    <row r="1528" spans="1:3" x14ac:dyDescent="0.3">
      <c r="A1528" t="s">
        <v>29</v>
      </c>
      <c r="B1528" s="15">
        <v>458</v>
      </c>
      <c r="C1528" s="437">
        <v>45350</v>
      </c>
    </row>
    <row r="1529" spans="1:3" x14ac:dyDescent="0.3">
      <c r="A1529" t="s">
        <v>30</v>
      </c>
      <c r="B1529" s="15">
        <f>628.8+474.3+654.9</f>
        <v>1758</v>
      </c>
      <c r="C1529" s="437">
        <v>45350</v>
      </c>
    </row>
    <row r="1530" spans="1:3" x14ac:dyDescent="0.3">
      <c r="A1530" t="s">
        <v>111</v>
      </c>
      <c r="B1530" s="15">
        <v>389.8</v>
      </c>
      <c r="C1530" s="437">
        <v>45350</v>
      </c>
    </row>
    <row r="1531" spans="1:3" x14ac:dyDescent="0.3">
      <c r="A1531" t="s">
        <v>32</v>
      </c>
      <c r="B1531" s="15">
        <v>483.9</v>
      </c>
      <c r="C1531" s="437">
        <v>45350</v>
      </c>
    </row>
    <row r="1532" spans="1:3" x14ac:dyDescent="0.3">
      <c r="A1532" t="s">
        <v>288</v>
      </c>
      <c r="B1532" s="221">
        <v>360.6</v>
      </c>
      <c r="C1532" s="437">
        <v>45350</v>
      </c>
    </row>
    <row r="1533" spans="1:3" x14ac:dyDescent="0.3">
      <c r="A1533" t="s">
        <v>112</v>
      </c>
      <c r="B1533" s="221">
        <v>361.7</v>
      </c>
      <c r="C1533" s="437">
        <v>45350</v>
      </c>
    </row>
    <row r="1534" spans="1:3" x14ac:dyDescent="0.3">
      <c r="A1534" t="s">
        <v>289</v>
      </c>
      <c r="B1534" s="221">
        <v>342.6</v>
      </c>
      <c r="C1534" s="437">
        <v>45350</v>
      </c>
    </row>
    <row r="1535" spans="1:3" x14ac:dyDescent="0.3">
      <c r="A1535" t="s">
        <v>291</v>
      </c>
      <c r="B1535" s="15">
        <v>452.5</v>
      </c>
      <c r="C1535" s="437">
        <v>45350</v>
      </c>
    </row>
    <row r="1536" spans="1:3" x14ac:dyDescent="0.3">
      <c r="A1536" t="s">
        <v>7</v>
      </c>
      <c r="B1536" s="104">
        <v>39.799999999999997</v>
      </c>
      <c r="C1536" s="437">
        <v>45351</v>
      </c>
    </row>
    <row r="1537" spans="1:3" x14ac:dyDescent="0.3">
      <c r="A1537" t="s">
        <v>8</v>
      </c>
      <c r="B1537" s="15">
        <f>203+49.5</f>
        <v>252.5</v>
      </c>
      <c r="C1537" s="437">
        <v>45351</v>
      </c>
    </row>
    <row r="1538" spans="1:3" x14ac:dyDescent="0.3">
      <c r="A1538" t="s">
        <v>9</v>
      </c>
      <c r="B1538" s="15">
        <v>184.1</v>
      </c>
      <c r="C1538" s="437">
        <v>45351</v>
      </c>
    </row>
    <row r="1539" spans="1:3" x14ac:dyDescent="0.3">
      <c r="A1539" t="s">
        <v>10</v>
      </c>
      <c r="B1539" s="15">
        <v>104.3</v>
      </c>
      <c r="C1539" s="437">
        <v>45351</v>
      </c>
    </row>
    <row r="1540" spans="1:3" x14ac:dyDescent="0.3">
      <c r="A1540" t="s">
        <v>11</v>
      </c>
      <c r="B1540" s="15">
        <v>43.6</v>
      </c>
      <c r="C1540" s="437">
        <v>45351</v>
      </c>
    </row>
    <row r="1541" spans="1:3" x14ac:dyDescent="0.3">
      <c r="A1541" t="s">
        <v>12</v>
      </c>
      <c r="B1541" s="15">
        <v>92.6</v>
      </c>
      <c r="C1541" s="437">
        <v>45351</v>
      </c>
    </row>
    <row r="1542" spans="1:3" x14ac:dyDescent="0.3">
      <c r="A1542" t="s">
        <v>13</v>
      </c>
      <c r="B1542" s="15">
        <v>360.7</v>
      </c>
      <c r="C1542" s="437">
        <v>45351</v>
      </c>
    </row>
    <row r="1543" spans="1:3" x14ac:dyDescent="0.3">
      <c r="A1543" t="s">
        <v>14</v>
      </c>
      <c r="B1543" s="16">
        <v>231</v>
      </c>
      <c r="C1543" s="437">
        <v>45351</v>
      </c>
    </row>
    <row r="1544" spans="1:3" x14ac:dyDescent="0.3">
      <c r="A1544" t="s">
        <v>17</v>
      </c>
      <c r="B1544" s="15">
        <v>404.8</v>
      </c>
      <c r="C1544" s="437">
        <v>45351</v>
      </c>
    </row>
    <row r="1545" spans="1:3" x14ac:dyDescent="0.3">
      <c r="A1545" t="s">
        <v>18</v>
      </c>
      <c r="B1545" s="15">
        <v>479.9</v>
      </c>
      <c r="C1545" s="437">
        <v>45351</v>
      </c>
    </row>
    <row r="1546" spans="1:3" x14ac:dyDescent="0.3">
      <c r="A1546" t="s">
        <v>110</v>
      </c>
      <c r="B1546" s="15">
        <v>132.4</v>
      </c>
      <c r="C1546" s="437">
        <v>45351</v>
      </c>
    </row>
    <row r="1547" spans="1:3" x14ac:dyDescent="0.3">
      <c r="A1547" t="s">
        <v>20</v>
      </c>
      <c r="B1547" s="15">
        <v>448.2</v>
      </c>
      <c r="C1547" s="437">
        <v>45351</v>
      </c>
    </row>
    <row r="1548" spans="1:3" x14ac:dyDescent="0.3">
      <c r="A1548" t="s">
        <v>22</v>
      </c>
      <c r="B1548" s="15">
        <v>407.6</v>
      </c>
      <c r="C1548" s="437">
        <v>45351</v>
      </c>
    </row>
    <row r="1549" spans="1:3" x14ac:dyDescent="0.3">
      <c r="A1549" t="s">
        <v>23</v>
      </c>
      <c r="B1549" s="15">
        <v>460.1</v>
      </c>
      <c r="C1549" s="437">
        <v>45351</v>
      </c>
    </row>
    <row r="1550" spans="1:3" x14ac:dyDescent="0.3">
      <c r="A1550" t="s">
        <v>24</v>
      </c>
      <c r="B1550" s="15">
        <v>394.5</v>
      </c>
      <c r="C1550" s="437">
        <v>45351</v>
      </c>
    </row>
    <row r="1551" spans="1:3" x14ac:dyDescent="0.3">
      <c r="A1551" t="s">
        <v>25</v>
      </c>
      <c r="B1551" s="15">
        <v>528.79999999999995</v>
      </c>
      <c r="C1551" s="437">
        <v>45351</v>
      </c>
    </row>
    <row r="1552" spans="1:3" x14ac:dyDescent="0.3">
      <c r="A1552" t="s">
        <v>26</v>
      </c>
      <c r="B1552" s="354">
        <v>213.2</v>
      </c>
      <c r="C1552" s="437">
        <v>45351</v>
      </c>
    </row>
    <row r="1553" spans="1:18" x14ac:dyDescent="0.3">
      <c r="A1553" t="s">
        <v>28</v>
      </c>
      <c r="B1553" s="15">
        <v>592.1</v>
      </c>
      <c r="C1553" s="437">
        <v>45351</v>
      </c>
    </row>
    <row r="1554" spans="1:18" x14ac:dyDescent="0.3">
      <c r="A1554" t="s">
        <v>29</v>
      </c>
      <c r="B1554" s="15">
        <v>494.5</v>
      </c>
      <c r="C1554" s="437">
        <v>45351</v>
      </c>
    </row>
    <row r="1555" spans="1:18" x14ac:dyDescent="0.3">
      <c r="A1555" t="s">
        <v>30</v>
      </c>
      <c r="B1555" s="15">
        <f>641.3+505.9+675.4</f>
        <v>1822.6</v>
      </c>
      <c r="C1555" s="437">
        <v>45351</v>
      </c>
    </row>
    <row r="1556" spans="1:18" x14ac:dyDescent="0.3">
      <c r="A1556" t="s">
        <v>111</v>
      </c>
      <c r="B1556" s="15">
        <v>448.9</v>
      </c>
      <c r="C1556" s="437">
        <v>45351</v>
      </c>
    </row>
    <row r="1557" spans="1:18" x14ac:dyDescent="0.3">
      <c r="A1557" t="s">
        <v>32</v>
      </c>
      <c r="B1557" s="283">
        <v>433.3</v>
      </c>
      <c r="C1557" s="437">
        <v>45351</v>
      </c>
    </row>
    <row r="1558" spans="1:18" x14ac:dyDescent="0.3">
      <c r="A1558" t="s">
        <v>288</v>
      </c>
      <c r="B1558" s="15">
        <v>415.2</v>
      </c>
      <c r="C1558" s="437">
        <v>45351</v>
      </c>
    </row>
    <row r="1559" spans="1:18" x14ac:dyDescent="0.3">
      <c r="A1559" t="s">
        <v>112</v>
      </c>
      <c r="B1559" s="15">
        <v>389</v>
      </c>
      <c r="C1559" s="437">
        <v>45351</v>
      </c>
    </row>
    <row r="1560" spans="1:18" x14ac:dyDescent="0.3">
      <c r="A1560" t="s">
        <v>289</v>
      </c>
      <c r="B1560" s="15">
        <v>389.5</v>
      </c>
      <c r="C1560" s="437">
        <v>45351</v>
      </c>
    </row>
    <row r="1561" spans="1:18" x14ac:dyDescent="0.3">
      <c r="A1561" t="s">
        <v>291</v>
      </c>
      <c r="B1561" s="15">
        <v>421</v>
      </c>
      <c r="C1561" s="437">
        <v>45351</v>
      </c>
    </row>
    <row r="1562" spans="1:18" x14ac:dyDescent="0.3">
      <c r="A1562" t="s">
        <v>7</v>
      </c>
      <c r="C1562" s="437">
        <v>45352</v>
      </c>
    </row>
    <row r="1563" spans="1:18" x14ac:dyDescent="0.3">
      <c r="A1563" t="s">
        <v>8</v>
      </c>
      <c r="C1563" s="437">
        <v>45352</v>
      </c>
    </row>
    <row r="1564" spans="1:18" x14ac:dyDescent="0.3">
      <c r="A1564" t="s">
        <v>9</v>
      </c>
      <c r="C1564" s="437">
        <v>45352</v>
      </c>
    </row>
    <row r="1565" spans="1:18" x14ac:dyDescent="0.3">
      <c r="A1565" t="s">
        <v>10</v>
      </c>
      <c r="C1565" s="437">
        <v>45352</v>
      </c>
    </row>
    <row r="1566" spans="1:18" x14ac:dyDescent="0.3">
      <c r="A1566" t="s">
        <v>11</v>
      </c>
      <c r="C1566" s="437">
        <v>45352</v>
      </c>
      <c r="D1566" t="s">
        <v>377</v>
      </c>
      <c r="E1566" s="446" t="s">
        <v>378</v>
      </c>
      <c r="F1566" s="446" t="s">
        <v>387</v>
      </c>
      <c r="G1566" s="447">
        <v>1</v>
      </c>
      <c r="H1566" s="447">
        <v>15</v>
      </c>
      <c r="I1566" s="446" t="s">
        <v>388</v>
      </c>
      <c r="J1566" s="446">
        <v>17</v>
      </c>
      <c r="K1566" s="450">
        <v>45294.25</v>
      </c>
      <c r="L1566" s="450">
        <v>45325.451388888891</v>
      </c>
      <c r="M1566" s="446" t="s">
        <v>391</v>
      </c>
      <c r="N1566" s="447">
        <v>2876682565</v>
      </c>
      <c r="O1566" s="446" t="s">
        <v>384</v>
      </c>
      <c r="P1566" s="447" t="s">
        <v>403</v>
      </c>
      <c r="Q1566" s="447"/>
      <c r="R1566" s="448" t="s">
        <v>385</v>
      </c>
    </row>
    <row r="1567" spans="1:18" x14ac:dyDescent="0.3">
      <c r="A1567" t="s">
        <v>12</v>
      </c>
      <c r="C1567" s="437">
        <v>45352</v>
      </c>
      <c r="D1567" t="s">
        <v>377</v>
      </c>
      <c r="E1567" s="446" t="s">
        <v>399</v>
      </c>
      <c r="F1567" s="446" t="s">
        <v>387</v>
      </c>
      <c r="G1567" s="447">
        <v>1</v>
      </c>
      <c r="H1567" s="447">
        <v>15</v>
      </c>
      <c r="I1567" s="446" t="s">
        <v>388</v>
      </c>
      <c r="J1567" s="446">
        <v>17</v>
      </c>
      <c r="K1567" s="450">
        <v>45294.25</v>
      </c>
      <c r="L1567" s="450">
        <v>45325.451388888891</v>
      </c>
      <c r="M1567" s="446" t="s">
        <v>391</v>
      </c>
      <c r="N1567" s="447">
        <v>2876682565</v>
      </c>
      <c r="O1567" s="446" t="s">
        <v>384</v>
      </c>
      <c r="P1567" s="447" t="s">
        <v>403</v>
      </c>
      <c r="Q1567" s="447"/>
      <c r="R1567" s="448" t="s">
        <v>385</v>
      </c>
    </row>
    <row r="1568" spans="1:18" x14ac:dyDescent="0.3">
      <c r="A1568" t="s">
        <v>13</v>
      </c>
      <c r="C1568" s="437">
        <v>45352</v>
      </c>
    </row>
    <row r="1569" spans="1:18" x14ac:dyDescent="0.3">
      <c r="A1569" t="s">
        <v>14</v>
      </c>
      <c r="C1569" s="437">
        <v>45352</v>
      </c>
      <c r="D1569" t="s">
        <v>377</v>
      </c>
      <c r="E1569" s="446" t="s">
        <v>386</v>
      </c>
      <c r="F1569" s="446" t="s">
        <v>387</v>
      </c>
      <c r="G1569" s="447">
        <v>1</v>
      </c>
      <c r="H1569" s="447">
        <v>16</v>
      </c>
      <c r="I1569" s="446" t="s">
        <v>388</v>
      </c>
      <c r="J1569" s="446">
        <v>9</v>
      </c>
      <c r="K1569" s="450">
        <v>45294.25</v>
      </c>
      <c r="L1569" s="450">
        <v>45294.625</v>
      </c>
      <c r="M1569" s="446" t="s">
        <v>391</v>
      </c>
      <c r="N1569" s="447">
        <v>2876677057</v>
      </c>
      <c r="O1569" s="446" t="s">
        <v>384</v>
      </c>
      <c r="P1569" s="447" t="s">
        <v>403</v>
      </c>
      <c r="Q1569" s="447"/>
      <c r="R1569" s="448" t="s">
        <v>385</v>
      </c>
    </row>
    <row r="1570" spans="1:18" x14ac:dyDescent="0.3">
      <c r="A1570" t="s">
        <v>17</v>
      </c>
      <c r="C1570" s="437">
        <v>45352</v>
      </c>
      <c r="D1570" t="s">
        <v>377</v>
      </c>
      <c r="E1570" s="446" t="s">
        <v>378</v>
      </c>
      <c r="F1570" s="446" t="s">
        <v>405</v>
      </c>
      <c r="G1570" s="447">
        <v>1</v>
      </c>
      <c r="H1570" s="447">
        <v>16</v>
      </c>
      <c r="I1570" s="446" t="s">
        <v>388</v>
      </c>
      <c r="J1570" s="446">
        <v>9</v>
      </c>
      <c r="K1570" s="450">
        <v>45294.25</v>
      </c>
      <c r="L1570" s="450">
        <v>45294.625</v>
      </c>
      <c r="M1570" s="446" t="s">
        <v>391</v>
      </c>
      <c r="N1570" s="447">
        <v>2876677057</v>
      </c>
      <c r="O1570" s="446" t="s">
        <v>384</v>
      </c>
      <c r="P1570" s="447" t="s">
        <v>403</v>
      </c>
      <c r="Q1570" s="447"/>
      <c r="R1570" s="448" t="s">
        <v>385</v>
      </c>
    </row>
    <row r="1571" spans="1:18" x14ac:dyDescent="0.3">
      <c r="A1571" t="s">
        <v>18</v>
      </c>
      <c r="C1571" s="437">
        <v>45352</v>
      </c>
    </row>
    <row r="1572" spans="1:18" x14ac:dyDescent="0.3">
      <c r="A1572" t="s">
        <v>110</v>
      </c>
      <c r="C1572" s="437">
        <v>45352</v>
      </c>
    </row>
    <row r="1573" spans="1:18" x14ac:dyDescent="0.3">
      <c r="A1573" t="s">
        <v>20</v>
      </c>
      <c r="C1573" s="437">
        <v>45352</v>
      </c>
    </row>
    <row r="1574" spans="1:18" x14ac:dyDescent="0.3">
      <c r="A1574" t="s">
        <v>22</v>
      </c>
      <c r="C1574" s="437">
        <v>45352</v>
      </c>
    </row>
    <row r="1575" spans="1:18" x14ac:dyDescent="0.3">
      <c r="A1575" t="s">
        <v>23</v>
      </c>
      <c r="C1575" s="437">
        <v>45352</v>
      </c>
    </row>
    <row r="1576" spans="1:18" x14ac:dyDescent="0.3">
      <c r="A1576" t="s">
        <v>24</v>
      </c>
      <c r="C1576" s="437">
        <v>45352</v>
      </c>
    </row>
    <row r="1577" spans="1:18" x14ac:dyDescent="0.3">
      <c r="A1577" t="s">
        <v>25</v>
      </c>
      <c r="C1577" s="437">
        <v>45352</v>
      </c>
    </row>
    <row r="1578" spans="1:18" x14ac:dyDescent="0.3">
      <c r="A1578" t="s">
        <v>26</v>
      </c>
      <c r="C1578" s="437">
        <v>45352</v>
      </c>
    </row>
    <row r="1579" spans="1:18" x14ac:dyDescent="0.3">
      <c r="A1579" t="s">
        <v>28</v>
      </c>
      <c r="C1579" s="437">
        <v>45352</v>
      </c>
    </row>
    <row r="1580" spans="1:18" x14ac:dyDescent="0.3">
      <c r="A1580" t="s">
        <v>29</v>
      </c>
      <c r="C1580" s="437">
        <v>45352</v>
      </c>
    </row>
    <row r="1581" spans="1:18" x14ac:dyDescent="0.3">
      <c r="A1581" t="s">
        <v>30</v>
      </c>
      <c r="C1581" s="437">
        <v>45352</v>
      </c>
    </row>
    <row r="1582" spans="1:18" x14ac:dyDescent="0.3">
      <c r="A1582" t="s">
        <v>111</v>
      </c>
      <c r="C1582" s="437">
        <v>45352</v>
      </c>
    </row>
    <row r="1583" spans="1:18" x14ac:dyDescent="0.3">
      <c r="A1583" t="s">
        <v>32</v>
      </c>
      <c r="C1583" s="437">
        <v>45352</v>
      </c>
    </row>
    <row r="1584" spans="1:18" x14ac:dyDescent="0.3">
      <c r="A1584" t="s">
        <v>288</v>
      </c>
      <c r="C1584" s="437">
        <v>45352</v>
      </c>
    </row>
    <row r="1585" spans="1:18" x14ac:dyDescent="0.3">
      <c r="A1585" t="s">
        <v>112</v>
      </c>
      <c r="C1585" s="437">
        <v>45352</v>
      </c>
    </row>
    <row r="1586" spans="1:18" x14ac:dyDescent="0.3">
      <c r="A1586" t="s">
        <v>289</v>
      </c>
      <c r="C1586" s="437">
        <v>45352</v>
      </c>
    </row>
    <row r="1587" spans="1:18" x14ac:dyDescent="0.3">
      <c r="A1587" t="s">
        <v>291</v>
      </c>
      <c r="C1587" s="437">
        <v>45352</v>
      </c>
    </row>
    <row r="1588" spans="1:18" x14ac:dyDescent="0.3">
      <c r="A1588" t="s">
        <v>7</v>
      </c>
      <c r="C1588" s="437">
        <v>45353</v>
      </c>
    </row>
    <row r="1589" spans="1:18" x14ac:dyDescent="0.3">
      <c r="A1589" t="s">
        <v>8</v>
      </c>
      <c r="C1589" s="437">
        <v>45353</v>
      </c>
    </row>
    <row r="1590" spans="1:18" x14ac:dyDescent="0.3">
      <c r="A1590" t="s">
        <v>9</v>
      </c>
      <c r="C1590" s="437">
        <v>45353</v>
      </c>
    </row>
    <row r="1591" spans="1:18" x14ac:dyDescent="0.3">
      <c r="A1591" t="s">
        <v>10</v>
      </c>
      <c r="C1591" s="437">
        <v>45353</v>
      </c>
    </row>
    <row r="1592" spans="1:18" x14ac:dyDescent="0.3">
      <c r="A1592" t="s">
        <v>11</v>
      </c>
      <c r="C1592" s="437">
        <v>45353</v>
      </c>
    </row>
    <row r="1593" spans="1:18" x14ac:dyDescent="0.3">
      <c r="A1593" t="s">
        <v>12</v>
      </c>
      <c r="C1593" s="437">
        <v>45353</v>
      </c>
    </row>
    <row r="1594" spans="1:18" x14ac:dyDescent="0.3">
      <c r="A1594" t="s">
        <v>13</v>
      </c>
      <c r="C1594" s="437">
        <v>45353</v>
      </c>
    </row>
    <row r="1595" spans="1:18" x14ac:dyDescent="0.3">
      <c r="A1595" t="s">
        <v>14</v>
      </c>
      <c r="C1595" s="437">
        <v>45353</v>
      </c>
    </row>
    <row r="1596" spans="1:18" x14ac:dyDescent="0.3">
      <c r="A1596" t="s">
        <v>17</v>
      </c>
      <c r="C1596" s="437">
        <v>45353</v>
      </c>
    </row>
    <row r="1597" spans="1:18" x14ac:dyDescent="0.3">
      <c r="A1597" t="s">
        <v>18</v>
      </c>
      <c r="C1597" s="437">
        <v>45353</v>
      </c>
    </row>
    <row r="1598" spans="1:18" x14ac:dyDescent="0.3">
      <c r="A1598" t="s">
        <v>110</v>
      </c>
      <c r="C1598" s="437">
        <v>45353</v>
      </c>
    </row>
    <row r="1599" spans="1:18" x14ac:dyDescent="0.3">
      <c r="A1599" t="s">
        <v>20</v>
      </c>
      <c r="C1599" s="437">
        <v>45353</v>
      </c>
    </row>
    <row r="1600" spans="1:18" x14ac:dyDescent="0.3">
      <c r="A1600" t="s">
        <v>22</v>
      </c>
      <c r="C1600" s="437">
        <v>45353</v>
      </c>
      <c r="D1600" t="s">
        <v>377</v>
      </c>
      <c r="E1600" s="467" t="s">
        <v>378</v>
      </c>
      <c r="F1600" s="467" t="s">
        <v>406</v>
      </c>
      <c r="G1600" s="468">
        <v>1</v>
      </c>
      <c r="H1600" s="468">
        <v>18</v>
      </c>
      <c r="I1600" s="467" t="s">
        <v>388</v>
      </c>
      <c r="J1600" s="467">
        <v>8</v>
      </c>
      <c r="K1600" s="469">
        <v>45294.680555555555</v>
      </c>
      <c r="L1600" s="469">
        <v>45325.479166666664</v>
      </c>
      <c r="M1600" s="467" t="s">
        <v>383</v>
      </c>
      <c r="N1600" s="468">
        <v>2361105496</v>
      </c>
      <c r="O1600" s="467" t="s">
        <v>384</v>
      </c>
      <c r="P1600" s="468">
        <v>21</v>
      </c>
      <c r="Q1600" s="468"/>
      <c r="R1600" s="468" t="s">
        <v>385</v>
      </c>
    </row>
    <row r="1601" spans="1:18" x14ac:dyDescent="0.3">
      <c r="A1601" t="s">
        <v>23</v>
      </c>
      <c r="C1601" s="437">
        <v>45353</v>
      </c>
      <c r="D1601" t="s">
        <v>377</v>
      </c>
      <c r="E1601" s="467" t="s">
        <v>378</v>
      </c>
      <c r="F1601" s="467" t="s">
        <v>406</v>
      </c>
      <c r="G1601" s="468">
        <v>1</v>
      </c>
      <c r="H1601" s="468">
        <v>18</v>
      </c>
      <c r="I1601" s="467" t="s">
        <v>388</v>
      </c>
      <c r="J1601" s="467">
        <v>8</v>
      </c>
      <c r="K1601" s="469">
        <v>45294.680555555555</v>
      </c>
      <c r="L1601" s="469">
        <v>45325.479166666664</v>
      </c>
      <c r="M1601" s="467" t="s">
        <v>383</v>
      </c>
      <c r="N1601" s="468">
        <v>2361105496</v>
      </c>
      <c r="O1601" s="467" t="s">
        <v>384</v>
      </c>
      <c r="P1601" s="468">
        <v>21</v>
      </c>
      <c r="Q1601" s="468"/>
      <c r="R1601" s="468" t="s">
        <v>385</v>
      </c>
    </row>
    <row r="1602" spans="1:18" x14ac:dyDescent="0.3">
      <c r="A1602" t="s">
        <v>24</v>
      </c>
      <c r="C1602" s="437">
        <v>45353</v>
      </c>
    </row>
    <row r="1603" spans="1:18" x14ac:dyDescent="0.3">
      <c r="A1603" t="s">
        <v>25</v>
      </c>
      <c r="C1603" s="437">
        <v>45353</v>
      </c>
    </row>
    <row r="1604" spans="1:18" x14ac:dyDescent="0.3">
      <c r="A1604" t="s">
        <v>26</v>
      </c>
      <c r="C1604" s="437">
        <v>45353</v>
      </c>
    </row>
    <row r="1605" spans="1:18" x14ac:dyDescent="0.3">
      <c r="A1605" t="s">
        <v>28</v>
      </c>
      <c r="C1605" s="437">
        <v>45353</v>
      </c>
    </row>
    <row r="1606" spans="1:18" x14ac:dyDescent="0.3">
      <c r="A1606" t="s">
        <v>29</v>
      </c>
      <c r="C1606" s="437">
        <v>45353</v>
      </c>
    </row>
    <row r="1607" spans="1:18" x14ac:dyDescent="0.3">
      <c r="A1607" t="s">
        <v>30</v>
      </c>
      <c r="C1607" s="437">
        <v>45353</v>
      </c>
    </row>
    <row r="1608" spans="1:18" x14ac:dyDescent="0.3">
      <c r="A1608" t="s">
        <v>111</v>
      </c>
      <c r="C1608" s="437">
        <v>45353</v>
      </c>
    </row>
    <row r="1609" spans="1:18" x14ac:dyDescent="0.3">
      <c r="A1609" t="s">
        <v>32</v>
      </c>
      <c r="C1609" s="437">
        <v>45353</v>
      </c>
      <c r="D1609" t="s">
        <v>377</v>
      </c>
      <c r="E1609" s="446" t="s">
        <v>378</v>
      </c>
      <c r="F1609" s="446" t="s">
        <v>379</v>
      </c>
      <c r="G1609" s="447">
        <v>1</v>
      </c>
      <c r="H1609" s="447">
        <v>17</v>
      </c>
      <c r="I1609" s="446" t="s">
        <v>388</v>
      </c>
      <c r="J1609" s="446" t="s">
        <v>407</v>
      </c>
      <c r="K1609" s="450">
        <v>45294.645833333336</v>
      </c>
      <c r="L1609" s="450">
        <v>45325.75</v>
      </c>
      <c r="M1609" s="446" t="s">
        <v>383</v>
      </c>
      <c r="N1609" s="447">
        <v>3673446561</v>
      </c>
      <c r="O1609" s="446" t="s">
        <v>384</v>
      </c>
      <c r="P1609" s="447" t="s">
        <v>408</v>
      </c>
      <c r="Q1609" s="447"/>
      <c r="R1609" s="448" t="s">
        <v>385</v>
      </c>
    </row>
    <row r="1610" spans="1:18" x14ac:dyDescent="0.3">
      <c r="A1610" t="s">
        <v>288</v>
      </c>
      <c r="C1610" s="437">
        <v>45353</v>
      </c>
    </row>
    <row r="1611" spans="1:18" x14ac:dyDescent="0.3">
      <c r="A1611" t="s">
        <v>112</v>
      </c>
      <c r="C1611" s="437">
        <v>45353</v>
      </c>
    </row>
    <row r="1612" spans="1:18" x14ac:dyDescent="0.3">
      <c r="A1612" t="s">
        <v>289</v>
      </c>
      <c r="C1612" s="437">
        <v>45353</v>
      </c>
    </row>
    <row r="1613" spans="1:18" x14ac:dyDescent="0.3">
      <c r="A1613" t="s">
        <v>291</v>
      </c>
      <c r="C1613" s="437">
        <v>45353</v>
      </c>
    </row>
    <row r="1614" spans="1:18" ht="15" customHeight="1" x14ac:dyDescent="0.3">
      <c r="A1614" t="s">
        <v>7</v>
      </c>
      <c r="C1614" s="437">
        <v>45354</v>
      </c>
    </row>
    <row r="1615" spans="1:18" ht="15" customHeight="1" x14ac:dyDescent="0.3">
      <c r="A1615" t="s">
        <v>8</v>
      </c>
      <c r="C1615" s="437">
        <v>45354</v>
      </c>
    </row>
    <row r="1616" spans="1:18" ht="15" customHeight="1" x14ac:dyDescent="0.3">
      <c r="A1616" t="s">
        <v>9</v>
      </c>
      <c r="C1616" s="437">
        <v>45354</v>
      </c>
    </row>
    <row r="1617" spans="1:3" ht="15" customHeight="1" x14ac:dyDescent="0.3">
      <c r="A1617" t="s">
        <v>10</v>
      </c>
      <c r="C1617" s="437">
        <v>45354</v>
      </c>
    </row>
    <row r="1618" spans="1:3" ht="15" customHeight="1" x14ac:dyDescent="0.3">
      <c r="A1618" t="s">
        <v>11</v>
      </c>
      <c r="C1618" s="437">
        <v>45354</v>
      </c>
    </row>
    <row r="1619" spans="1:3" ht="15" customHeight="1" x14ac:dyDescent="0.3">
      <c r="A1619" t="s">
        <v>12</v>
      </c>
      <c r="C1619" s="437">
        <v>45354</v>
      </c>
    </row>
    <row r="1620" spans="1:3" ht="15" customHeight="1" x14ac:dyDescent="0.3">
      <c r="A1620" t="s">
        <v>13</v>
      </c>
      <c r="C1620" s="437">
        <v>45354</v>
      </c>
    </row>
    <row r="1621" spans="1:3" ht="15" customHeight="1" x14ac:dyDescent="0.3">
      <c r="A1621" t="s">
        <v>14</v>
      </c>
      <c r="C1621" s="437">
        <v>45354</v>
      </c>
    </row>
    <row r="1622" spans="1:3" ht="15" customHeight="1" x14ac:dyDescent="0.3">
      <c r="A1622" t="s">
        <v>17</v>
      </c>
      <c r="C1622" s="437">
        <v>45354</v>
      </c>
    </row>
    <row r="1623" spans="1:3" ht="15" customHeight="1" x14ac:dyDescent="0.3">
      <c r="A1623" t="s">
        <v>18</v>
      </c>
      <c r="C1623" s="437">
        <v>45354</v>
      </c>
    </row>
    <row r="1624" spans="1:3" ht="15" customHeight="1" x14ac:dyDescent="0.3">
      <c r="A1624" t="s">
        <v>110</v>
      </c>
      <c r="C1624" s="437">
        <v>45354</v>
      </c>
    </row>
    <row r="1625" spans="1:3" ht="15" customHeight="1" x14ac:dyDescent="0.3">
      <c r="A1625" t="s">
        <v>20</v>
      </c>
      <c r="C1625" s="437">
        <v>45354</v>
      </c>
    </row>
    <row r="1626" spans="1:3" ht="15" customHeight="1" x14ac:dyDescent="0.3">
      <c r="A1626" t="s">
        <v>22</v>
      </c>
      <c r="C1626" s="437">
        <v>45354</v>
      </c>
    </row>
    <row r="1627" spans="1:3" ht="15" customHeight="1" x14ac:dyDescent="0.3">
      <c r="A1627" t="s">
        <v>23</v>
      </c>
      <c r="C1627" s="437">
        <v>45354</v>
      </c>
    </row>
    <row r="1628" spans="1:3" ht="15" customHeight="1" x14ac:dyDescent="0.3">
      <c r="A1628" t="s">
        <v>24</v>
      </c>
      <c r="C1628" s="437">
        <v>45354</v>
      </c>
    </row>
    <row r="1629" spans="1:3" ht="15" customHeight="1" x14ac:dyDescent="0.3">
      <c r="A1629" t="s">
        <v>25</v>
      </c>
      <c r="C1629" s="437">
        <v>45354</v>
      </c>
    </row>
    <row r="1630" spans="1:3" ht="15" customHeight="1" x14ac:dyDescent="0.3">
      <c r="A1630" t="s">
        <v>26</v>
      </c>
      <c r="C1630" s="437">
        <v>45354</v>
      </c>
    </row>
    <row r="1631" spans="1:3" ht="15" customHeight="1" x14ac:dyDescent="0.3">
      <c r="A1631" t="s">
        <v>28</v>
      </c>
      <c r="C1631" s="437">
        <v>45354</v>
      </c>
    </row>
    <row r="1632" spans="1:3" ht="15" customHeight="1" x14ac:dyDescent="0.3">
      <c r="A1632" t="s">
        <v>29</v>
      </c>
      <c r="C1632" s="437">
        <v>45354</v>
      </c>
    </row>
    <row r="1633" spans="1:3" ht="15" customHeight="1" x14ac:dyDescent="0.3">
      <c r="A1633" t="s">
        <v>30</v>
      </c>
      <c r="C1633" s="437">
        <v>45354</v>
      </c>
    </row>
    <row r="1634" spans="1:3" ht="15" customHeight="1" x14ac:dyDescent="0.3">
      <c r="A1634" t="s">
        <v>111</v>
      </c>
      <c r="C1634" s="437">
        <v>45354</v>
      </c>
    </row>
    <row r="1635" spans="1:3" ht="15" customHeight="1" x14ac:dyDescent="0.3">
      <c r="A1635" t="s">
        <v>32</v>
      </c>
      <c r="C1635" s="437">
        <v>45354</v>
      </c>
    </row>
    <row r="1636" spans="1:3" ht="15" customHeight="1" x14ac:dyDescent="0.3">
      <c r="A1636" t="s">
        <v>288</v>
      </c>
      <c r="C1636" s="437">
        <v>45354</v>
      </c>
    </row>
    <row r="1637" spans="1:3" ht="15" customHeight="1" x14ac:dyDescent="0.3">
      <c r="A1637" t="s">
        <v>112</v>
      </c>
      <c r="C1637" s="437">
        <v>45354</v>
      </c>
    </row>
    <row r="1638" spans="1:3" ht="15" customHeight="1" x14ac:dyDescent="0.3">
      <c r="A1638" t="s">
        <v>289</v>
      </c>
      <c r="C1638" s="437">
        <v>45354</v>
      </c>
    </row>
    <row r="1639" spans="1:3" ht="15" customHeight="1" x14ac:dyDescent="0.3">
      <c r="A1639" t="s">
        <v>291</v>
      </c>
      <c r="C1639" s="437">
        <v>45354</v>
      </c>
    </row>
    <row r="1640" spans="1:3" ht="15" customHeight="1" x14ac:dyDescent="0.3">
      <c r="A1640" t="s">
        <v>7</v>
      </c>
      <c r="C1640" s="437">
        <v>45355</v>
      </c>
    </row>
    <row r="1641" spans="1:3" ht="15" customHeight="1" x14ac:dyDescent="0.3">
      <c r="A1641" t="s">
        <v>8</v>
      </c>
      <c r="C1641" s="437">
        <v>45355</v>
      </c>
    </row>
    <row r="1642" spans="1:3" ht="15" customHeight="1" x14ac:dyDescent="0.3">
      <c r="A1642" t="s">
        <v>9</v>
      </c>
      <c r="C1642" s="437">
        <v>45355</v>
      </c>
    </row>
    <row r="1643" spans="1:3" ht="15" customHeight="1" x14ac:dyDescent="0.3">
      <c r="A1643" t="s">
        <v>10</v>
      </c>
      <c r="C1643" s="437">
        <v>45355</v>
      </c>
    </row>
    <row r="1644" spans="1:3" ht="15" customHeight="1" x14ac:dyDescent="0.3">
      <c r="A1644" t="s">
        <v>11</v>
      </c>
      <c r="C1644" s="437">
        <v>45355</v>
      </c>
    </row>
    <row r="1645" spans="1:3" ht="15" customHeight="1" x14ac:dyDescent="0.3">
      <c r="A1645" t="s">
        <v>12</v>
      </c>
      <c r="C1645" s="437">
        <v>45355</v>
      </c>
    </row>
    <row r="1646" spans="1:3" ht="15" customHeight="1" x14ac:dyDescent="0.3">
      <c r="A1646" t="s">
        <v>13</v>
      </c>
      <c r="C1646" s="437">
        <v>45355</v>
      </c>
    </row>
    <row r="1647" spans="1:3" ht="15" customHeight="1" x14ac:dyDescent="0.3">
      <c r="A1647" t="s">
        <v>14</v>
      </c>
      <c r="C1647" s="437">
        <v>45355</v>
      </c>
    </row>
    <row r="1648" spans="1:3" ht="15" customHeight="1" x14ac:dyDescent="0.3">
      <c r="A1648" t="s">
        <v>17</v>
      </c>
      <c r="C1648" s="437">
        <v>45355</v>
      </c>
    </row>
    <row r="1649" spans="1:3" ht="15" customHeight="1" x14ac:dyDescent="0.3">
      <c r="A1649" t="s">
        <v>18</v>
      </c>
      <c r="C1649" s="437">
        <v>45355</v>
      </c>
    </row>
    <row r="1650" spans="1:3" ht="15" customHeight="1" x14ac:dyDescent="0.3">
      <c r="A1650" t="s">
        <v>110</v>
      </c>
      <c r="C1650" s="437">
        <v>45355</v>
      </c>
    </row>
    <row r="1651" spans="1:3" ht="15" customHeight="1" x14ac:dyDescent="0.3">
      <c r="A1651" t="s">
        <v>20</v>
      </c>
      <c r="C1651" s="437">
        <v>45355</v>
      </c>
    </row>
    <row r="1652" spans="1:3" ht="15" customHeight="1" x14ac:dyDescent="0.3">
      <c r="A1652" t="s">
        <v>22</v>
      </c>
      <c r="C1652" s="437">
        <v>45355</v>
      </c>
    </row>
    <row r="1653" spans="1:3" ht="15" customHeight="1" x14ac:dyDescent="0.3">
      <c r="A1653" t="s">
        <v>23</v>
      </c>
      <c r="C1653" s="437">
        <v>45355</v>
      </c>
    </row>
    <row r="1654" spans="1:3" ht="15" customHeight="1" x14ac:dyDescent="0.3">
      <c r="A1654" t="s">
        <v>24</v>
      </c>
      <c r="C1654" s="437">
        <v>45355</v>
      </c>
    </row>
    <row r="1655" spans="1:3" ht="15" customHeight="1" x14ac:dyDescent="0.3">
      <c r="A1655" t="s">
        <v>25</v>
      </c>
      <c r="C1655" s="437">
        <v>45355</v>
      </c>
    </row>
    <row r="1656" spans="1:3" ht="15" customHeight="1" x14ac:dyDescent="0.3">
      <c r="A1656" t="s">
        <v>26</v>
      </c>
      <c r="C1656" s="437">
        <v>45355</v>
      </c>
    </row>
    <row r="1657" spans="1:3" ht="15" customHeight="1" x14ac:dyDescent="0.3">
      <c r="A1657" t="s">
        <v>28</v>
      </c>
      <c r="C1657" s="437">
        <v>45355</v>
      </c>
    </row>
    <row r="1658" spans="1:3" ht="15" customHeight="1" x14ac:dyDescent="0.3">
      <c r="A1658" t="s">
        <v>29</v>
      </c>
      <c r="C1658" s="437">
        <v>45355</v>
      </c>
    </row>
    <row r="1659" spans="1:3" ht="15" customHeight="1" x14ac:dyDescent="0.3">
      <c r="A1659" t="s">
        <v>30</v>
      </c>
      <c r="C1659" s="437">
        <v>45355</v>
      </c>
    </row>
    <row r="1660" spans="1:3" ht="15" customHeight="1" x14ac:dyDescent="0.3">
      <c r="A1660" t="s">
        <v>111</v>
      </c>
      <c r="C1660" s="437">
        <v>45355</v>
      </c>
    </row>
    <row r="1661" spans="1:3" ht="15" customHeight="1" x14ac:dyDescent="0.3">
      <c r="A1661" t="s">
        <v>32</v>
      </c>
      <c r="C1661" s="437">
        <v>45355</v>
      </c>
    </row>
    <row r="1662" spans="1:3" ht="15" customHeight="1" x14ac:dyDescent="0.3">
      <c r="A1662" t="s">
        <v>288</v>
      </c>
      <c r="C1662" s="437">
        <v>45355</v>
      </c>
    </row>
    <row r="1663" spans="1:3" ht="15" customHeight="1" x14ac:dyDescent="0.3">
      <c r="A1663" t="s">
        <v>112</v>
      </c>
      <c r="C1663" s="437">
        <v>45355</v>
      </c>
    </row>
    <row r="1664" spans="1:3" ht="15" customHeight="1" x14ac:dyDescent="0.3">
      <c r="A1664" t="s">
        <v>289</v>
      </c>
      <c r="C1664" s="437">
        <v>45355</v>
      </c>
    </row>
    <row r="1665" spans="1:3" ht="15" customHeight="1" x14ac:dyDescent="0.3">
      <c r="A1665" t="s">
        <v>291</v>
      </c>
      <c r="C1665" s="437">
        <v>45355</v>
      </c>
    </row>
    <row r="1666" spans="1:3" ht="15" customHeight="1" x14ac:dyDescent="0.3">
      <c r="A1666" t="s">
        <v>7</v>
      </c>
      <c r="C1666" s="437">
        <v>45356</v>
      </c>
    </row>
    <row r="1667" spans="1:3" ht="15" customHeight="1" x14ac:dyDescent="0.3">
      <c r="A1667" t="s">
        <v>8</v>
      </c>
      <c r="C1667" s="437">
        <v>45356</v>
      </c>
    </row>
    <row r="1668" spans="1:3" ht="15" customHeight="1" x14ac:dyDescent="0.3">
      <c r="A1668" t="s">
        <v>9</v>
      </c>
      <c r="C1668" s="437">
        <v>45356</v>
      </c>
    </row>
    <row r="1669" spans="1:3" ht="15" customHeight="1" x14ac:dyDescent="0.3">
      <c r="A1669" t="s">
        <v>10</v>
      </c>
      <c r="C1669" s="437">
        <v>45356</v>
      </c>
    </row>
    <row r="1670" spans="1:3" ht="15" customHeight="1" x14ac:dyDescent="0.3">
      <c r="A1670" t="s">
        <v>11</v>
      </c>
      <c r="C1670" s="437">
        <v>45356</v>
      </c>
    </row>
    <row r="1671" spans="1:3" ht="15" customHeight="1" x14ac:dyDescent="0.3">
      <c r="A1671" t="s">
        <v>12</v>
      </c>
      <c r="C1671" s="437">
        <v>45356</v>
      </c>
    </row>
    <row r="1672" spans="1:3" ht="15" customHeight="1" x14ac:dyDescent="0.3">
      <c r="A1672" t="s">
        <v>13</v>
      </c>
      <c r="C1672" s="437">
        <v>45356</v>
      </c>
    </row>
    <row r="1673" spans="1:3" ht="15" customHeight="1" x14ac:dyDescent="0.3">
      <c r="A1673" t="s">
        <v>14</v>
      </c>
      <c r="C1673" s="437">
        <v>45356</v>
      </c>
    </row>
    <row r="1674" spans="1:3" ht="15" customHeight="1" x14ac:dyDescent="0.3">
      <c r="A1674" t="s">
        <v>17</v>
      </c>
      <c r="C1674" s="437">
        <v>45356</v>
      </c>
    </row>
    <row r="1675" spans="1:3" ht="15" customHeight="1" x14ac:dyDescent="0.3">
      <c r="A1675" t="s">
        <v>18</v>
      </c>
      <c r="C1675" s="437">
        <v>45356</v>
      </c>
    </row>
    <row r="1676" spans="1:3" ht="15" customHeight="1" x14ac:dyDescent="0.3">
      <c r="A1676" t="s">
        <v>110</v>
      </c>
      <c r="C1676" s="437">
        <v>45356</v>
      </c>
    </row>
    <row r="1677" spans="1:3" ht="15" customHeight="1" x14ac:dyDescent="0.3">
      <c r="A1677" t="s">
        <v>20</v>
      </c>
      <c r="C1677" s="437">
        <v>45356</v>
      </c>
    </row>
    <row r="1678" spans="1:3" ht="15" customHeight="1" x14ac:dyDescent="0.3">
      <c r="A1678" t="s">
        <v>22</v>
      </c>
      <c r="C1678" s="437">
        <v>45356</v>
      </c>
    </row>
    <row r="1679" spans="1:3" ht="15" customHeight="1" x14ac:dyDescent="0.3">
      <c r="A1679" t="s">
        <v>23</v>
      </c>
      <c r="C1679" s="437">
        <v>45356</v>
      </c>
    </row>
    <row r="1680" spans="1:3" ht="15" customHeight="1" x14ac:dyDescent="0.3">
      <c r="A1680" t="s">
        <v>24</v>
      </c>
      <c r="C1680" s="437">
        <v>45356</v>
      </c>
    </row>
    <row r="1681" spans="1:3" ht="15" customHeight="1" x14ac:dyDescent="0.3">
      <c r="A1681" t="s">
        <v>25</v>
      </c>
      <c r="C1681" s="437">
        <v>45356</v>
      </c>
    </row>
    <row r="1682" spans="1:3" ht="15" customHeight="1" x14ac:dyDescent="0.3">
      <c r="A1682" t="s">
        <v>26</v>
      </c>
      <c r="C1682" s="437">
        <v>45356</v>
      </c>
    </row>
    <row r="1683" spans="1:3" ht="15" customHeight="1" x14ac:dyDescent="0.3">
      <c r="A1683" t="s">
        <v>28</v>
      </c>
      <c r="C1683" s="437">
        <v>45356</v>
      </c>
    </row>
    <row r="1684" spans="1:3" ht="15" customHeight="1" x14ac:dyDescent="0.3">
      <c r="A1684" t="s">
        <v>29</v>
      </c>
      <c r="C1684" s="437">
        <v>45356</v>
      </c>
    </row>
    <row r="1685" spans="1:3" ht="15" customHeight="1" x14ac:dyDescent="0.3">
      <c r="A1685" t="s">
        <v>30</v>
      </c>
      <c r="C1685" s="437">
        <v>45356</v>
      </c>
    </row>
    <row r="1686" spans="1:3" ht="15" customHeight="1" x14ac:dyDescent="0.3">
      <c r="A1686" t="s">
        <v>111</v>
      </c>
      <c r="C1686" s="437">
        <v>45356</v>
      </c>
    </row>
    <row r="1687" spans="1:3" ht="15" customHeight="1" x14ac:dyDescent="0.3">
      <c r="A1687" t="s">
        <v>32</v>
      </c>
      <c r="C1687" s="437">
        <v>45356</v>
      </c>
    </row>
    <row r="1688" spans="1:3" ht="15" customHeight="1" x14ac:dyDescent="0.3">
      <c r="A1688" t="s">
        <v>288</v>
      </c>
      <c r="C1688" s="437">
        <v>45356</v>
      </c>
    </row>
    <row r="1689" spans="1:3" ht="15" customHeight="1" x14ac:dyDescent="0.3">
      <c r="A1689" t="s">
        <v>112</v>
      </c>
      <c r="C1689" s="437">
        <v>45356</v>
      </c>
    </row>
    <row r="1690" spans="1:3" ht="15" customHeight="1" x14ac:dyDescent="0.3">
      <c r="A1690" t="s">
        <v>289</v>
      </c>
      <c r="C1690" s="437">
        <v>45356</v>
      </c>
    </row>
    <row r="1691" spans="1:3" ht="15" customHeight="1" x14ac:dyDescent="0.3">
      <c r="A1691" t="s">
        <v>291</v>
      </c>
      <c r="C1691" s="437">
        <v>45356</v>
      </c>
    </row>
  </sheetData>
  <autoFilter ref="A1:T1691" xr:uid="{E5C88CFF-E75C-44E6-947B-FCC433ADB67C}"/>
  <dataValidations count="11">
    <dataValidation type="list" allowBlank="1" showInputMessage="1" showErrorMessage="1" sqref="D2:D1048576" xr:uid="{9D173EB7-7A2A-4BCC-B29D-8B74B57E610D}">
      <formula1>"FALTA DE ENERGIA,FALHA NO INVERSOR,MANUTENÇÃO EXTERNA,MANUTENÇÃO INTERNA"</formula1>
    </dataValidation>
    <dataValidation allowBlank="1" showInputMessage="1" showErrorMessage="1" sqref="A1:H1" xr:uid="{6FBECDE2-48FE-4DC0-8445-B792C15266BF}"/>
    <dataValidation type="list" allowBlank="1" showInputMessage="1" showErrorMessage="1" sqref="E1332:E1349 E2:E1329 E1464 E1353:E1461 E1494:E1500 E1467:E1492 E1504:E1565 E1568 E1610:E1048576 E1571:E1599 E1602:E1608" xr:uid="{67138F03-6C9F-4A4A-8485-6ED7DE2FCD34}">
      <formula1>"CANADIAN,PHB,FRONIUS,GROWATT,REFULOG,DEYE"</formula1>
    </dataValidation>
    <dataValidation type="list" allowBlank="1" showInputMessage="1" showErrorMessage="1" sqref="F2:F1048576" xr:uid="{B3F0199A-77D9-45EB-B9E0-0F5AC588C9CC}">
      <formula1>"GSM01,PRIME01,PRIME02,PRIME03"</formula1>
    </dataValidation>
    <dataValidation type="list" allowBlank="1" showInputMessage="1" showErrorMessage="1" sqref="I2:I1048576" xr:uid="{909ABF5A-4671-4599-8725-E8DB5E032C2C}">
      <formula1>"SIM,NÃO"</formula1>
    </dataValidation>
    <dataValidation type="list" allowBlank="1" showInputMessage="1" showErrorMessage="1" sqref="M2:M1048576" xr:uid="{E939C888-FAE2-42F7-A646-B9EE80FE1B28}">
      <formula1>"LIGHT,CEMIG,ENEL,ENERGISA"</formula1>
    </dataValidation>
    <dataValidation type="list" allowBlank="1" showInputMessage="1" showErrorMessage="1" sqref="O1332:O1349 O2:O1329 O1464 O1353:O1461 O1494:O1500 O1467:O1492 O1504:O1565 O1568 O1610:O1048576 O1571:O1599 O1602:O1608" xr:uid="{FAE66F1C-7B7E-4038-9B95-93887BB3D59F}">
      <formula1>"INTERNA,EXTERNA"</formula1>
    </dataValidation>
    <dataValidation type="list" allowBlank="1" showInputMessage="1" showErrorMessage="1" sqref="R1332:R1349 R2:R1329 R1464 R1353:R1461 R1494:R1500 R1467:R1492 R1504:R1565 R1568 R1610:R1048576 R1571:R1599 R1602:R1608" xr:uid="{987B848B-07FA-48C9-9CA8-A5873BD0EC4F}">
      <formula1>"EM ANDAMENTO,CONCLUÍDA"</formula1>
    </dataValidation>
    <dataValidation type="list" allowBlank="1" showInputMessage="1" showErrorMessage="1" sqref="E1350:E1352 E1330:E1331 E1465:E1466 E1462:E1463 E1501:E1503 E1493 E1566:E1567 E1569:E1570 E1609 E1600:E1601" xr:uid="{20B83392-06B1-4B99-AE8D-4F520C7C011A}">
      <formula1>"PHB,CANADIAN,GROWATT,REFULOG,FRONIUS"</formula1>
    </dataValidation>
    <dataValidation type="list" allowBlank="1" showInputMessage="1" showErrorMessage="1" sqref="O1350:O1352 O1330:O1331 O1465:O1466 O1462:O1463 O1501:O1503 O1493 O1566:O1567 O1569:O1570 O1609 O1600:O1601" xr:uid="{67D69B89-FB93-44B6-814F-DB29A2D262B3}">
      <formula1>"EXTERNA,INTERNA"</formula1>
    </dataValidation>
    <dataValidation type="list" allowBlank="1" showInputMessage="1" showErrorMessage="1" sqref="R1350:R1352 R1330:R1331 R1465:R1466 R1462:R1463 R1501:R1503 R1493 R1566:R1567 R1569:R1570 R1609 R1600:R1601" xr:uid="{B685A212-B0AA-418A-93B0-2270062395F2}">
      <formula1>"Concluída,Em andamento"</formula1>
    </dataValidation>
  </dataValidation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A3CB8-D63E-4FAA-8F15-AA5B42882BF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FDBC5-D46C-411B-A3EE-8A4F9B4AC58E}">
  <dimension ref="B3:BX69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5" sqref="C5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23" width="16.44140625" customWidth="1"/>
    <col min="24" max="24" width="17.109375" customWidth="1"/>
    <col min="25" max="25" width="17.5546875" customWidth="1"/>
    <col min="26" max="26" width="16.44140625" customWidth="1"/>
    <col min="27" max="27" width="18.109375" customWidth="1"/>
    <col min="28" max="28" width="17.33203125" customWidth="1"/>
    <col min="29" max="29" width="18.88671875" customWidth="1"/>
    <col min="30" max="31" width="18.33203125" customWidth="1"/>
    <col min="32" max="32" width="17.6640625" customWidth="1"/>
    <col min="33" max="34" width="17.8867187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409</v>
      </c>
      <c r="E4" s="344" t="s">
        <v>410</v>
      </c>
      <c r="F4" s="344" t="s">
        <v>411</v>
      </c>
      <c r="G4" s="344" t="s">
        <v>412</v>
      </c>
      <c r="H4" s="344" t="s">
        <v>413</v>
      </c>
      <c r="I4" s="344" t="s">
        <v>414</v>
      </c>
      <c r="J4" s="344" t="s">
        <v>415</v>
      </c>
      <c r="K4" s="344" t="s">
        <v>416</v>
      </c>
      <c r="L4" s="344" t="s">
        <v>417</v>
      </c>
      <c r="M4" s="344" t="s">
        <v>418</v>
      </c>
      <c r="N4" s="344" t="s">
        <v>419</v>
      </c>
      <c r="O4" s="344" t="s">
        <v>420</v>
      </c>
      <c r="P4" s="344" t="s">
        <v>421</v>
      </c>
      <c r="Q4" s="344" t="s">
        <v>422</v>
      </c>
      <c r="R4" s="344" t="s">
        <v>423</v>
      </c>
      <c r="S4" s="344" t="s">
        <v>424</v>
      </c>
      <c r="T4" s="344" t="s">
        <v>425</v>
      </c>
      <c r="U4" s="344" t="s">
        <v>426</v>
      </c>
      <c r="V4" s="344" t="s">
        <v>427</v>
      </c>
      <c r="W4" s="344" t="s">
        <v>428</v>
      </c>
      <c r="X4" s="344" t="s">
        <v>429</v>
      </c>
      <c r="Y4" s="344" t="s">
        <v>430</v>
      </c>
      <c r="Z4" s="344" t="s">
        <v>431</v>
      </c>
      <c r="AA4" s="344" t="s">
        <v>432</v>
      </c>
      <c r="AB4" s="344" t="s">
        <v>433</v>
      </c>
      <c r="AC4" s="344" t="s">
        <v>434</v>
      </c>
      <c r="AD4" s="344" t="s">
        <v>435</v>
      </c>
      <c r="AE4" s="344" t="s">
        <v>436</v>
      </c>
      <c r="AF4" s="344" t="s">
        <v>437</v>
      </c>
      <c r="AG4" s="345" t="s">
        <v>438</v>
      </c>
      <c r="AH4" s="345" t="s">
        <v>439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38.5</v>
      </c>
      <c r="E5" s="103">
        <v>39.700000000000003</v>
      </c>
      <c r="F5" s="103">
        <v>50.9</v>
      </c>
      <c r="G5" s="103">
        <v>41.3</v>
      </c>
      <c r="H5" s="103">
        <v>41.5</v>
      </c>
      <c r="I5" s="331">
        <v>49.9</v>
      </c>
      <c r="J5" s="103">
        <v>61.6</v>
      </c>
      <c r="K5" s="103">
        <v>53.7</v>
      </c>
      <c r="L5" s="103">
        <v>59.7</v>
      </c>
      <c r="M5" s="103">
        <v>50.7</v>
      </c>
      <c r="N5" s="283">
        <v>59.4</v>
      </c>
      <c r="O5" s="103">
        <v>69.3</v>
      </c>
      <c r="P5" s="103">
        <v>56.5</v>
      </c>
      <c r="Q5" s="331">
        <v>35.1</v>
      </c>
      <c r="R5" s="103">
        <v>17</v>
      </c>
      <c r="S5" s="103">
        <v>54.4</v>
      </c>
      <c r="T5" s="103">
        <v>66.400000000000006</v>
      </c>
      <c r="U5" s="103">
        <v>43.2</v>
      </c>
      <c r="V5" s="103">
        <v>50.3</v>
      </c>
      <c r="W5" s="331">
        <v>20</v>
      </c>
      <c r="X5" s="103">
        <v>29.9</v>
      </c>
      <c r="Y5" s="103">
        <v>16.600000000000001</v>
      </c>
      <c r="Z5" s="104">
        <v>30.5</v>
      </c>
      <c r="AA5" s="332">
        <v>48.4</v>
      </c>
      <c r="AB5" s="333">
        <v>59.8</v>
      </c>
      <c r="AC5" s="104">
        <v>48.3</v>
      </c>
      <c r="AD5" s="104">
        <v>58.1</v>
      </c>
      <c r="AE5" s="104">
        <v>50.7</v>
      </c>
      <c r="AF5" s="104">
        <v>39.799999999999997</v>
      </c>
      <c r="AG5" s="104"/>
      <c r="AH5" s="334"/>
      <c r="AI5" s="335">
        <f>SUM(D5:AH5)</f>
        <v>1341.1999999999998</v>
      </c>
      <c r="AJ5" s="160">
        <v>12</v>
      </c>
      <c r="AK5" s="336">
        <f t="shared" ref="AK5:AK11" si="0">F5/(AJ5*432)</f>
        <v>9.8186728395061734E-3</v>
      </c>
      <c r="AL5" s="337">
        <f t="shared" ref="AL5:BA21" si="1">IF(OR(D5="",D5="Sem monitoramento"),"VAZIO",IFERROR(D5/($AJ5*24),"-"))</f>
        <v>0.13368055555555555</v>
      </c>
      <c r="AM5" s="338">
        <f t="shared" si="1"/>
        <v>0.13784722222222223</v>
      </c>
      <c r="AN5" s="338">
        <f t="shared" si="1"/>
        <v>0.17673611111111109</v>
      </c>
      <c r="AO5" s="338">
        <f t="shared" si="1"/>
        <v>0.14340277777777777</v>
      </c>
      <c r="AP5" s="338">
        <f t="shared" si="1"/>
        <v>0.14409722222222221</v>
      </c>
      <c r="AQ5" s="338">
        <f t="shared" si="1"/>
        <v>0.17326388888888888</v>
      </c>
      <c r="AR5" s="338">
        <f t="shared" si="1"/>
        <v>0.21388888888888891</v>
      </c>
      <c r="AS5" s="338">
        <f t="shared" si="1"/>
        <v>0.18645833333333334</v>
      </c>
      <c r="AT5" s="338">
        <f t="shared" si="1"/>
        <v>0.20729166666666668</v>
      </c>
      <c r="AU5" s="338">
        <f t="shared" si="1"/>
        <v>0.17604166666666668</v>
      </c>
      <c r="AV5" s="338">
        <f t="shared" si="1"/>
        <v>0.20624999999999999</v>
      </c>
      <c r="AW5" s="338">
        <f t="shared" si="1"/>
        <v>0.24062499999999998</v>
      </c>
      <c r="AX5" s="338">
        <f t="shared" si="1"/>
        <v>0.19618055555555555</v>
      </c>
      <c r="AY5" s="338">
        <f t="shared" si="1"/>
        <v>0.12187500000000001</v>
      </c>
      <c r="AZ5" s="338">
        <f t="shared" si="1"/>
        <v>5.9027777777777776E-2</v>
      </c>
      <c r="BA5" s="338">
        <f t="shared" si="1"/>
        <v>0.18888888888888888</v>
      </c>
      <c r="BB5" s="338">
        <f t="shared" ref="BB5:BO20" si="2">IF(OR(T5="",T5="Sem monitoramento"),"VAZIO",IFERROR(T5/($AJ5*24),"-"))</f>
        <v>0.23055555555555557</v>
      </c>
      <c r="BC5" s="338">
        <f t="shared" si="2"/>
        <v>0.15000000000000002</v>
      </c>
      <c r="BD5" s="338">
        <f t="shared" si="2"/>
        <v>0.17465277777777777</v>
      </c>
      <c r="BE5" s="338">
        <f t="shared" si="2"/>
        <v>6.9444444444444448E-2</v>
      </c>
      <c r="BF5" s="338">
        <f t="shared" si="2"/>
        <v>0.10381944444444444</v>
      </c>
      <c r="BG5" s="338">
        <f t="shared" si="2"/>
        <v>5.7638888888888892E-2</v>
      </c>
      <c r="BH5" s="338">
        <f t="shared" si="2"/>
        <v>0.10590277777777778</v>
      </c>
      <c r="BI5" s="338">
        <f t="shared" si="2"/>
        <v>0.16805555555555554</v>
      </c>
      <c r="BJ5" s="338">
        <f t="shared" si="2"/>
        <v>0.20763888888888887</v>
      </c>
      <c r="BK5" s="338" t="e">
        <f>IF(OR(#REF!="",#REF!="Sem monitoramento"),"VAZIO",IFERROR(#REF!/($AJ5*24),"-"))</f>
        <v>#REF!</v>
      </c>
      <c r="BL5" s="338">
        <f t="shared" si="2"/>
        <v>0.20173611111111112</v>
      </c>
      <c r="BM5" s="338">
        <f t="shared" si="2"/>
        <v>0.17604166666666668</v>
      </c>
      <c r="BN5" s="338">
        <f t="shared" si="2"/>
        <v>0.13819444444444443</v>
      </c>
      <c r="BO5" s="338" t="str">
        <f t="shared" si="2"/>
        <v>VAZIO</v>
      </c>
      <c r="BP5" s="339">
        <f t="shared" ref="BP5:BP31" si="3">AI5/(AJ5*(COUNTA(D5:AG5)*24))</f>
        <v>0.16058429118773945</v>
      </c>
      <c r="BQ5" s="180">
        <f>'FCs estimados em PVsyst'!Y3</f>
        <v>0.1804398148148148</v>
      </c>
      <c r="BR5" s="340">
        <f t="shared" ref="BR5:BR11" si="4">AJ5*BQ5</f>
        <v>2.1652777777777779</v>
      </c>
      <c r="BS5" s="341">
        <f t="shared" ref="BS5:BS11" si="5">AN5-BQ5</f>
        <v>-3.703703703703709E-3</v>
      </c>
      <c r="BT5" s="342">
        <f t="shared" ref="BT5:BT30" si="6">BP5-BQ5</f>
        <v>-1.985552362707535E-2</v>
      </c>
      <c r="BU5" s="15" t="s">
        <v>7</v>
      </c>
      <c r="BV5" s="75" t="s">
        <v>107</v>
      </c>
      <c r="BW5" s="7">
        <f>COUNTIF(BT5:BT29,"&gt;0")</f>
        <v>9</v>
      </c>
      <c r="BX5" s="2"/>
    </row>
    <row r="6" spans="2:76" x14ac:dyDescent="0.3">
      <c r="B6" s="771"/>
      <c r="C6" s="325" t="s">
        <v>8</v>
      </c>
      <c r="D6" s="62">
        <f>43.2+176.2</f>
        <v>219.39999999999998</v>
      </c>
      <c r="E6" s="63">
        <f>163.7+39.9</f>
        <v>203.6</v>
      </c>
      <c r="F6" s="63">
        <f>56.6+232.3</f>
        <v>288.90000000000003</v>
      </c>
      <c r="G6" s="63">
        <f>181.43+45</f>
        <v>226.43</v>
      </c>
      <c r="H6" s="63">
        <f>200.3+48.5</f>
        <v>248.8</v>
      </c>
      <c r="I6" s="283">
        <f>57+236.7</f>
        <v>293.7</v>
      </c>
      <c r="J6" s="63">
        <f>267.24+64.2</f>
        <v>331.44</v>
      </c>
      <c r="K6" s="63">
        <f>67+276.94</f>
        <v>343.94</v>
      </c>
      <c r="L6" s="63">
        <f>68.7+288.2</f>
        <v>356.9</v>
      </c>
      <c r="M6" s="63">
        <f>59.3+247.96</f>
        <v>307.26</v>
      </c>
      <c r="N6" s="283">
        <f>256.2+61.7</f>
        <v>317.89999999999998</v>
      </c>
      <c r="O6" s="63">
        <f>320.9+76.9</f>
        <v>397.79999999999995</v>
      </c>
      <c r="P6" s="63">
        <f>258.1+62.9</f>
        <v>321</v>
      </c>
      <c r="Q6" s="283">
        <f>188.83+45.8</f>
        <v>234.63</v>
      </c>
      <c r="R6" s="63">
        <f>77.4+19.2</f>
        <v>96.600000000000009</v>
      </c>
      <c r="S6" s="63">
        <f>253.1+61</f>
        <v>314.10000000000002</v>
      </c>
      <c r="T6" s="63">
        <f>311.3+75.1</f>
        <v>386.4</v>
      </c>
      <c r="U6" s="63">
        <f>189.5+46.2</f>
        <v>235.7</v>
      </c>
      <c r="V6" s="63">
        <f>233.68+56.8</f>
        <v>290.48</v>
      </c>
      <c r="W6" s="283">
        <f>22.5+91.2</f>
        <v>113.7</v>
      </c>
      <c r="X6" s="63">
        <f>32.3+132.1</f>
        <v>164.39999999999998</v>
      </c>
      <c r="Y6" s="63">
        <f>74.9+18.4</f>
        <v>93.300000000000011</v>
      </c>
      <c r="Z6" s="15">
        <f>146.6+35.9</f>
        <v>182.5</v>
      </c>
      <c r="AA6" s="18">
        <f>235.1+56.9</f>
        <v>292</v>
      </c>
      <c r="AB6" s="20">
        <f>66.7+274.4</f>
        <v>341.09999999999997</v>
      </c>
      <c r="AC6" s="31">
        <f>230+55.8</f>
        <v>285.8</v>
      </c>
      <c r="AD6" s="15">
        <f>65.6+270.8</f>
        <v>336.4</v>
      </c>
      <c r="AE6" s="15">
        <f>237+57.9</f>
        <v>294.89999999999998</v>
      </c>
      <c r="AF6" s="15">
        <f>203+49.5</f>
        <v>252.5</v>
      </c>
      <c r="AG6" s="15"/>
      <c r="AH6" s="64"/>
      <c r="AI6" s="290">
        <f>SUM(D6:AH6)</f>
        <v>7771.579999999999</v>
      </c>
      <c r="AJ6" s="118">
        <v>67</v>
      </c>
      <c r="AK6" s="121">
        <f t="shared" si="0"/>
        <v>9.9813432835820903E-3</v>
      </c>
      <c r="AL6" s="67">
        <f t="shared" si="1"/>
        <v>0.13644278606965174</v>
      </c>
      <c r="AM6" s="68">
        <f t="shared" si="1"/>
        <v>0.12661691542288556</v>
      </c>
      <c r="AN6" s="68">
        <f t="shared" si="1"/>
        <v>0.17966417910447763</v>
      </c>
      <c r="AO6" s="68">
        <f t="shared" si="1"/>
        <v>0.14081467661691544</v>
      </c>
      <c r="AP6" s="68">
        <f t="shared" si="1"/>
        <v>0.15472636815920399</v>
      </c>
      <c r="AQ6" s="68">
        <f t="shared" si="1"/>
        <v>0.18264925373134328</v>
      </c>
      <c r="AR6" s="68">
        <f t="shared" si="1"/>
        <v>0.20611940298507461</v>
      </c>
      <c r="AS6" s="68">
        <f t="shared" si="1"/>
        <v>0.21389303482587063</v>
      </c>
      <c r="AT6" s="68">
        <f t="shared" si="1"/>
        <v>0.22195273631840795</v>
      </c>
      <c r="AU6" s="68">
        <f t="shared" si="1"/>
        <v>0.19108208955223879</v>
      </c>
      <c r="AV6" s="68">
        <f t="shared" si="1"/>
        <v>0.19769900497512435</v>
      </c>
      <c r="AW6" s="68">
        <f t="shared" si="1"/>
        <v>0.2473880597014925</v>
      </c>
      <c r="AX6" s="68">
        <f t="shared" si="1"/>
        <v>0.19962686567164178</v>
      </c>
      <c r="AY6" s="68">
        <f t="shared" si="1"/>
        <v>0.1459141791044776</v>
      </c>
      <c r="AZ6" s="68">
        <f t="shared" si="1"/>
        <v>6.0074626865671645E-2</v>
      </c>
      <c r="BA6" s="68">
        <f t="shared" si="1"/>
        <v>0.1953358208955224</v>
      </c>
      <c r="BB6" s="68">
        <f t="shared" si="2"/>
        <v>0.24029850746268655</v>
      </c>
      <c r="BC6" s="68">
        <f t="shared" si="2"/>
        <v>0.14657960199004974</v>
      </c>
      <c r="BD6" s="68">
        <f t="shared" si="2"/>
        <v>0.18064676616915423</v>
      </c>
      <c r="BE6" s="68">
        <f t="shared" si="2"/>
        <v>7.0708955223880599E-2</v>
      </c>
      <c r="BF6" s="68">
        <f t="shared" si="2"/>
        <v>0.10223880597014924</v>
      </c>
      <c r="BG6" s="68">
        <f t="shared" si="2"/>
        <v>5.8022388059701502E-2</v>
      </c>
      <c r="BH6" s="68">
        <f t="shared" si="2"/>
        <v>0.11349502487562189</v>
      </c>
      <c r="BI6" s="68">
        <f t="shared" si="2"/>
        <v>0.18159203980099503</v>
      </c>
      <c r="BJ6" s="68">
        <f t="shared" si="2"/>
        <v>0.21212686567164177</v>
      </c>
      <c r="BK6" s="68">
        <f>IF(OR(AC5="",AC5="Sem monitoramento"),"VAZIO",IFERROR(AC5/($AJ6*24),"-"))</f>
        <v>3.0037313432835819E-2</v>
      </c>
      <c r="BL6" s="68">
        <f t="shared" si="2"/>
        <v>0.20920398009950247</v>
      </c>
      <c r="BM6" s="68">
        <f t="shared" si="2"/>
        <v>0.1833955223880597</v>
      </c>
      <c r="BN6" s="68">
        <f t="shared" si="2"/>
        <v>0.15702736318407962</v>
      </c>
      <c r="BO6" s="68" t="str">
        <f t="shared" si="2"/>
        <v>VAZIO</v>
      </c>
      <c r="BP6" s="70">
        <f t="shared" si="3"/>
        <v>0.16665765997598214</v>
      </c>
      <c r="BQ6" s="180">
        <f>'FCs estimados em PVsyst'!Y4</f>
        <v>0.1868988391376451</v>
      </c>
      <c r="BR6" s="72">
        <f t="shared" si="4"/>
        <v>12.522222222222222</v>
      </c>
      <c r="BS6" s="73">
        <f t="shared" si="5"/>
        <v>-7.2346600331674726E-3</v>
      </c>
      <c r="BT6" s="74">
        <f t="shared" si="6"/>
        <v>-2.0241179161662959E-2</v>
      </c>
      <c r="BU6" s="15" t="s">
        <v>8</v>
      </c>
      <c r="BV6" s="77" t="s">
        <v>108</v>
      </c>
      <c r="BW6" s="78">
        <f>(COUNTA(BU5:BU29)-BW5-BW7)</f>
        <v>5</v>
      </c>
      <c r="BX6" s="2"/>
    </row>
    <row r="7" spans="2:76" x14ac:dyDescent="0.3">
      <c r="B7" s="771"/>
      <c r="C7" s="326" t="s">
        <v>9</v>
      </c>
      <c r="D7" s="62">
        <v>170.5</v>
      </c>
      <c r="E7" s="63">
        <v>177.4</v>
      </c>
      <c r="F7" s="63">
        <v>218.6</v>
      </c>
      <c r="G7" s="63">
        <v>183.6</v>
      </c>
      <c r="H7" s="63">
        <v>179.7</v>
      </c>
      <c r="I7" s="283">
        <v>216.4</v>
      </c>
      <c r="J7" s="63">
        <v>257.8</v>
      </c>
      <c r="K7" s="63">
        <v>217.3</v>
      </c>
      <c r="L7" s="283">
        <v>252.9</v>
      </c>
      <c r="M7" s="283">
        <v>206.8</v>
      </c>
      <c r="N7" s="283">
        <v>255.2</v>
      </c>
      <c r="O7" s="360">
        <v>288.8</v>
      </c>
      <c r="P7" s="283">
        <v>228.9</v>
      </c>
      <c r="Q7" s="283">
        <v>144.80000000000001</v>
      </c>
      <c r="R7" s="283">
        <v>75</v>
      </c>
      <c r="S7" s="283">
        <v>233.3</v>
      </c>
      <c r="T7" s="283">
        <v>268.5</v>
      </c>
      <c r="U7" s="63">
        <v>182.2</v>
      </c>
      <c r="V7" s="283">
        <v>205.9</v>
      </c>
      <c r="W7" s="283">
        <v>77.099999999999994</v>
      </c>
      <c r="X7" s="283">
        <v>89.5</v>
      </c>
      <c r="Y7" s="283">
        <v>75.400000000000006</v>
      </c>
      <c r="Z7" s="15">
        <v>137.30000000000001</v>
      </c>
      <c r="AA7" s="18">
        <v>195.5</v>
      </c>
      <c r="AB7" s="323">
        <v>240.9</v>
      </c>
      <c r="AC7" s="15">
        <v>192.5</v>
      </c>
      <c r="AD7" s="15">
        <v>248.1</v>
      </c>
      <c r="AE7" s="15">
        <v>223.9</v>
      </c>
      <c r="AF7" s="15">
        <v>184.1</v>
      </c>
      <c r="AG7" s="15"/>
      <c r="AH7" s="64"/>
      <c r="AI7" s="290">
        <f t="shared" ref="AI7:AI31" si="7">SUM(D7:AH7)</f>
        <v>5627.9000000000005</v>
      </c>
      <c r="AJ7" s="118">
        <v>49</v>
      </c>
      <c r="AK7" s="121">
        <f t="shared" si="0"/>
        <v>1.0326908541194255E-2</v>
      </c>
      <c r="AL7" s="67">
        <f t="shared" si="1"/>
        <v>0.14498299319727892</v>
      </c>
      <c r="AM7" s="68">
        <f t="shared" si="1"/>
        <v>0.15085034013605442</v>
      </c>
      <c r="AN7" s="68">
        <f t="shared" si="1"/>
        <v>0.18588435374149659</v>
      </c>
      <c r="AO7" s="68">
        <f t="shared" si="1"/>
        <v>0.15612244897959182</v>
      </c>
      <c r="AP7" s="68">
        <f t="shared" si="1"/>
        <v>0.15280612244897959</v>
      </c>
      <c r="AQ7" s="68">
        <f t="shared" si="1"/>
        <v>0.18401360544217688</v>
      </c>
      <c r="AR7" s="68">
        <f t="shared" si="1"/>
        <v>0.21921768707482994</v>
      </c>
      <c r="AS7" s="68">
        <f t="shared" si="1"/>
        <v>0.18477891156462586</v>
      </c>
      <c r="AT7" s="68">
        <f t="shared" si="1"/>
        <v>0.21505102040816326</v>
      </c>
      <c r="AU7" s="68">
        <f t="shared" si="1"/>
        <v>0.17585034013605444</v>
      </c>
      <c r="AV7" s="68">
        <f t="shared" si="1"/>
        <v>0.21700680272108844</v>
      </c>
      <c r="AW7" s="68">
        <f t="shared" si="1"/>
        <v>0.24557823129251702</v>
      </c>
      <c r="AX7" s="68">
        <f t="shared" si="1"/>
        <v>0.19464285714285715</v>
      </c>
      <c r="AY7" s="68">
        <f t="shared" si="1"/>
        <v>0.12312925170068029</v>
      </c>
      <c r="AZ7" s="68">
        <f t="shared" si="1"/>
        <v>6.3775510204081634E-2</v>
      </c>
      <c r="BA7" s="68">
        <f t="shared" si="1"/>
        <v>0.1983843537414966</v>
      </c>
      <c r="BB7" s="68">
        <f t="shared" si="2"/>
        <v>0.22831632653061223</v>
      </c>
      <c r="BC7" s="68">
        <f t="shared" si="2"/>
        <v>0.15493197278911564</v>
      </c>
      <c r="BD7" s="68">
        <f t="shared" si="2"/>
        <v>0.17508503401360545</v>
      </c>
      <c r="BE7" s="68">
        <f t="shared" si="2"/>
        <v>6.5561224489795913E-2</v>
      </c>
      <c r="BF7" s="68">
        <f t="shared" si="2"/>
        <v>7.610544217687075E-2</v>
      </c>
      <c r="BG7" s="68">
        <f t="shared" si="2"/>
        <v>6.4115646258503411E-2</v>
      </c>
      <c r="BH7" s="68">
        <f t="shared" si="2"/>
        <v>0.11675170068027212</v>
      </c>
      <c r="BI7" s="68">
        <f t="shared" si="2"/>
        <v>0.16624149659863946</v>
      </c>
      <c r="BJ7" s="68">
        <f t="shared" si="2"/>
        <v>0.20484693877551022</v>
      </c>
      <c r="BK7" s="68" t="e">
        <f>IF(OR(#REF!="",#REF!="Sem monitoramento"),"VAZIO",IFERROR(#REF!/($AJ7*24),"-"))</f>
        <v>#REF!</v>
      </c>
      <c r="BL7" s="68">
        <f t="shared" si="2"/>
        <v>0.21096938775510204</v>
      </c>
      <c r="BM7" s="68">
        <f t="shared" si="2"/>
        <v>0.19039115646258503</v>
      </c>
      <c r="BN7" s="68">
        <f t="shared" si="2"/>
        <v>0.15654761904761905</v>
      </c>
      <c r="BO7" s="68" t="e">
        <f>IF(OR(#REF!="",#REF!="Sem monitoramento"),"VAZIO",IFERROR(#REF!/($AJ7*24),"-"))</f>
        <v>#REF!</v>
      </c>
      <c r="BP7" s="70">
        <f>AI7/(AJ7*(COUNTA(D7:AG7)*24))</f>
        <v>0.16502169833450622</v>
      </c>
      <c r="BQ7" s="180">
        <f>'FCs estimados em PVsyst'!Y5</f>
        <v>0.17987528344671203</v>
      </c>
      <c r="BR7" s="72">
        <f t="shared" si="4"/>
        <v>8.81388888888889</v>
      </c>
      <c r="BS7" s="73">
        <f t="shared" si="5"/>
        <v>6.0090702947845631E-3</v>
      </c>
      <c r="BT7" s="74">
        <f t="shared" si="6"/>
        <v>-1.4853585112205803E-2</v>
      </c>
      <c r="BU7" s="15" t="s">
        <v>9</v>
      </c>
      <c r="BV7" s="79" t="s">
        <v>109</v>
      </c>
      <c r="BW7" s="80">
        <f>COUNTIF(BT5:BT29,"&lt;-0,01")</f>
        <v>11</v>
      </c>
      <c r="BX7" s="2"/>
    </row>
    <row r="8" spans="2:76" x14ac:dyDescent="0.3">
      <c r="B8" s="771"/>
      <c r="C8" s="326" t="s">
        <v>10</v>
      </c>
      <c r="D8" s="62">
        <v>95.1</v>
      </c>
      <c r="E8" s="63">
        <v>100.4</v>
      </c>
      <c r="F8" s="63">
        <v>125.2</v>
      </c>
      <c r="G8" s="63">
        <v>103.4</v>
      </c>
      <c r="H8" s="63">
        <v>101.4</v>
      </c>
      <c r="I8" s="283">
        <v>121.5</v>
      </c>
      <c r="J8" s="63">
        <v>146.30000000000001</v>
      </c>
      <c r="K8" s="63">
        <v>124</v>
      </c>
      <c r="L8" s="283">
        <v>143.69999999999999</v>
      </c>
      <c r="M8" s="283">
        <v>120.2</v>
      </c>
      <c r="N8" s="283">
        <v>148.69999999999999</v>
      </c>
      <c r="O8" s="63">
        <v>165.7</v>
      </c>
      <c r="P8" s="63">
        <v>130.4</v>
      </c>
      <c r="Q8" s="283">
        <v>82</v>
      </c>
      <c r="R8" s="63">
        <v>43.4</v>
      </c>
      <c r="S8" s="63">
        <v>131</v>
      </c>
      <c r="T8" s="63">
        <v>153.1</v>
      </c>
      <c r="U8" s="63">
        <v>103.1</v>
      </c>
      <c r="V8" s="63">
        <v>117.8</v>
      </c>
      <c r="W8" s="283">
        <v>43.8</v>
      </c>
      <c r="X8" s="63">
        <v>50.7</v>
      </c>
      <c r="Y8" s="283">
        <v>43.5</v>
      </c>
      <c r="Z8" s="15">
        <v>78.8</v>
      </c>
      <c r="AA8" s="18">
        <v>109.6</v>
      </c>
      <c r="AB8" s="20">
        <v>137.80000000000001</v>
      </c>
      <c r="AC8" s="15">
        <v>107</v>
      </c>
      <c r="AD8" s="15">
        <v>138.69999999999999</v>
      </c>
      <c r="AE8" s="15">
        <v>126.2</v>
      </c>
      <c r="AF8" s="15">
        <v>104.3</v>
      </c>
      <c r="AG8" s="15"/>
      <c r="AH8" s="64"/>
      <c r="AI8" s="290">
        <f t="shared" si="7"/>
        <v>3196.8000000000006</v>
      </c>
      <c r="AJ8" s="118">
        <v>33</v>
      </c>
      <c r="AK8" s="121">
        <f t="shared" si="0"/>
        <v>8.7822671156004492E-3</v>
      </c>
      <c r="AL8" s="67">
        <f t="shared" si="1"/>
        <v>0.12007575757575757</v>
      </c>
      <c r="AM8" s="68">
        <f t="shared" si="1"/>
        <v>0.12676767676767678</v>
      </c>
      <c r="AN8" s="68">
        <f t="shared" si="1"/>
        <v>0.15808080808080807</v>
      </c>
      <c r="AO8" s="68">
        <f t="shared" si="1"/>
        <v>0.13055555555555556</v>
      </c>
      <c r="AP8" s="68">
        <f t="shared" si="1"/>
        <v>0.12803030303030305</v>
      </c>
      <c r="AQ8" s="68">
        <f t="shared" si="1"/>
        <v>0.15340909090909091</v>
      </c>
      <c r="AR8" s="68">
        <f t="shared" si="1"/>
        <v>0.18472222222222223</v>
      </c>
      <c r="AS8" s="68">
        <f t="shared" si="1"/>
        <v>0.15656565656565657</v>
      </c>
      <c r="AT8" s="68">
        <f t="shared" si="1"/>
        <v>0.18143939393939393</v>
      </c>
      <c r="AU8" s="68">
        <f t="shared" si="1"/>
        <v>0.15176767676767677</v>
      </c>
      <c r="AV8" s="68">
        <f t="shared" si="1"/>
        <v>0.18775252525252523</v>
      </c>
      <c r="AW8" s="68">
        <f t="shared" si="1"/>
        <v>0.20921717171717169</v>
      </c>
      <c r="AX8" s="68">
        <f t="shared" si="1"/>
        <v>0.16464646464646465</v>
      </c>
      <c r="AY8" s="68">
        <f t="shared" si="1"/>
        <v>0.10353535353535354</v>
      </c>
      <c r="AZ8" s="68">
        <f t="shared" si="1"/>
        <v>5.4797979797979797E-2</v>
      </c>
      <c r="BA8" s="68">
        <f t="shared" si="1"/>
        <v>0.16540404040404041</v>
      </c>
      <c r="BB8" s="68">
        <f t="shared" si="2"/>
        <v>0.19330808080808079</v>
      </c>
      <c r="BC8" s="68">
        <f t="shared" si="2"/>
        <v>0.13017676767676767</v>
      </c>
      <c r="BD8" s="68">
        <f t="shared" si="2"/>
        <v>0.14873737373737372</v>
      </c>
      <c r="BE8" s="68">
        <f t="shared" si="2"/>
        <v>5.5303030303030298E-2</v>
      </c>
      <c r="BF8" s="68">
        <f t="shared" si="2"/>
        <v>6.4015151515151525E-2</v>
      </c>
      <c r="BG8" s="68">
        <f t="shared" si="2"/>
        <v>5.4924242424242424E-2</v>
      </c>
      <c r="BH8" s="68">
        <f t="shared" si="2"/>
        <v>9.9494949494949497E-2</v>
      </c>
      <c r="BI8" s="68">
        <f t="shared" si="2"/>
        <v>0.13838383838383839</v>
      </c>
      <c r="BJ8" s="68">
        <f t="shared" si="2"/>
        <v>0.173989898989899</v>
      </c>
      <c r="BK8" s="68" t="e">
        <f>IF(OR(#REF!="",#REF!="Sem monitoramento"),"VAZIO",IFERROR(#REF!/($AJ8*24),"-"))</f>
        <v>#REF!</v>
      </c>
      <c r="BL8" s="68">
        <f t="shared" si="2"/>
        <v>0.1751262626262626</v>
      </c>
      <c r="BM8" s="68">
        <f t="shared" si="2"/>
        <v>0.15934343434343434</v>
      </c>
      <c r="BN8" s="68">
        <f t="shared" si="2"/>
        <v>0.13169191919191919</v>
      </c>
      <c r="BO8" s="68" t="e">
        <f>IF(OR(#REF!="",#REF!="Sem monitoramento"),"VAZIO",IFERROR(#REF!/($AJ8*24),"-"))</f>
        <v>#REF!</v>
      </c>
      <c r="BP8" s="70">
        <f>AI8/(AJ8*(COUNTA(D8:AG8)*24))</f>
        <v>0.13918495297805644</v>
      </c>
      <c r="BQ8" s="180">
        <f>'FCs estimados em PVsyst'!Y6</f>
        <v>0.18501683501683502</v>
      </c>
      <c r="BR8" s="72">
        <f t="shared" si="4"/>
        <v>6.1055555555555561</v>
      </c>
      <c r="BS8" s="73">
        <f t="shared" si="5"/>
        <v>-2.6936026936026952E-2</v>
      </c>
      <c r="BT8" s="74">
        <f t="shared" si="6"/>
        <v>-4.5831882038778582E-2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223">
        <v>12.8</v>
      </c>
      <c r="E9" s="63">
        <v>33</v>
      </c>
      <c r="F9" s="63">
        <v>41</v>
      </c>
      <c r="G9" s="82">
        <v>30</v>
      </c>
      <c r="H9" s="82">
        <v>36</v>
      </c>
      <c r="I9" s="308">
        <v>49.7</v>
      </c>
      <c r="J9" s="63">
        <v>53.6</v>
      </c>
      <c r="K9" s="283">
        <v>52.4</v>
      </c>
      <c r="L9" s="63">
        <v>55.3</v>
      </c>
      <c r="M9" s="63">
        <v>48.5</v>
      </c>
      <c r="N9" s="63">
        <v>57.2</v>
      </c>
      <c r="O9" s="63">
        <v>63.1</v>
      </c>
      <c r="P9" s="63">
        <v>61.8</v>
      </c>
      <c r="Q9" s="283">
        <v>38.1</v>
      </c>
      <c r="R9" s="308">
        <v>16</v>
      </c>
      <c r="S9" s="63">
        <v>50.4</v>
      </c>
      <c r="T9" s="63">
        <v>61.4</v>
      </c>
      <c r="U9" s="63">
        <v>42.3</v>
      </c>
      <c r="V9" s="63">
        <v>44.2</v>
      </c>
      <c r="W9" s="283">
        <v>18.100000000000001</v>
      </c>
      <c r="X9" s="63">
        <v>26.6</v>
      </c>
      <c r="Y9" s="63">
        <v>15.8</v>
      </c>
      <c r="Z9" s="148">
        <v>31.5</v>
      </c>
      <c r="AA9" s="18">
        <v>55.8</v>
      </c>
      <c r="AB9" s="323">
        <v>57.3</v>
      </c>
      <c r="AC9" s="392">
        <v>13.7</v>
      </c>
      <c r="AD9" s="15">
        <v>53.5</v>
      </c>
      <c r="AE9" s="15">
        <v>52.3</v>
      </c>
      <c r="AF9" s="15">
        <v>43.6</v>
      </c>
      <c r="AG9" s="15"/>
      <c r="AH9" s="64"/>
      <c r="AI9" s="290">
        <f t="shared" si="7"/>
        <v>1214.9999999999998</v>
      </c>
      <c r="AJ9" s="118">
        <v>12</v>
      </c>
      <c r="AK9" s="121">
        <f t="shared" si="0"/>
        <v>7.908950617283951E-3</v>
      </c>
      <c r="AL9" s="67">
        <f t="shared" si="1"/>
        <v>4.4444444444444446E-2</v>
      </c>
      <c r="AM9" s="68">
        <f t="shared" si="1"/>
        <v>0.11458333333333333</v>
      </c>
      <c r="AN9" s="68">
        <f t="shared" si="1"/>
        <v>0.1423611111111111</v>
      </c>
      <c r="AO9" s="68">
        <f t="shared" si="1"/>
        <v>0.10416666666666667</v>
      </c>
      <c r="AP9" s="68">
        <f t="shared" si="1"/>
        <v>0.125</v>
      </c>
      <c r="AQ9" s="68">
        <f t="shared" si="1"/>
        <v>0.17256944444444444</v>
      </c>
      <c r="AR9" s="68">
        <f t="shared" si="1"/>
        <v>0.18611111111111112</v>
      </c>
      <c r="AS9" s="68">
        <f t="shared" si="1"/>
        <v>0.18194444444444444</v>
      </c>
      <c r="AT9" s="68">
        <f t="shared" si="1"/>
        <v>0.19201388888888887</v>
      </c>
      <c r="AU9" s="68">
        <f t="shared" si="1"/>
        <v>0.16840277777777779</v>
      </c>
      <c r="AV9" s="68">
        <f t="shared" si="1"/>
        <v>0.19861111111111113</v>
      </c>
      <c r="AW9" s="68">
        <f t="shared" si="1"/>
        <v>0.21909722222222222</v>
      </c>
      <c r="AX9" s="68">
        <f t="shared" si="1"/>
        <v>0.21458333333333332</v>
      </c>
      <c r="AY9" s="68">
        <f t="shared" si="1"/>
        <v>0.13229166666666667</v>
      </c>
      <c r="AZ9" s="68">
        <f t="shared" si="1"/>
        <v>5.5555555555555552E-2</v>
      </c>
      <c r="BA9" s="68">
        <f t="shared" si="1"/>
        <v>0.17499999999999999</v>
      </c>
      <c r="BB9" s="68">
        <f t="shared" si="2"/>
        <v>0.21319444444444444</v>
      </c>
      <c r="BC9" s="68">
        <f>IF(OR(U7="",U7="Sem monitoramento"),"VAZIO",IFERROR(U7/($AJ9*24),"-"))</f>
        <v>0.63263888888888886</v>
      </c>
      <c r="BD9" s="68">
        <f t="shared" si="2"/>
        <v>0.15347222222222223</v>
      </c>
      <c r="BE9" s="68">
        <f t="shared" si="2"/>
        <v>6.2847222222222221E-2</v>
      </c>
      <c r="BF9" s="68">
        <f t="shared" si="2"/>
        <v>9.2361111111111116E-2</v>
      </c>
      <c r="BG9" s="68">
        <f t="shared" si="2"/>
        <v>5.486111111111111E-2</v>
      </c>
      <c r="BH9" s="68">
        <f>IF(OR(Z10="",Z10="Sem monitoramento"),"VAZIO",IFERROR(Z10/($AJ9*24),"-"))</f>
        <v>0.22743055555555555</v>
      </c>
      <c r="BI9" s="68">
        <f t="shared" si="2"/>
        <v>0.19374999999999998</v>
      </c>
      <c r="BJ9" s="68">
        <f t="shared" si="2"/>
        <v>0.19895833333333332</v>
      </c>
      <c r="BK9" s="68">
        <f>IF(OR(AC7="",AC7="Sem monitoramento"),"VAZIO",IFERROR(AC7/($AJ9*24),"-"))</f>
        <v>0.66840277777777779</v>
      </c>
      <c r="BL9" s="68">
        <f t="shared" si="2"/>
        <v>0.1857638888888889</v>
      </c>
      <c r="BM9" s="68">
        <f t="shared" si="2"/>
        <v>0.18159722222222222</v>
      </c>
      <c r="BN9" s="68">
        <f t="shared" si="2"/>
        <v>0.15138888888888891</v>
      </c>
      <c r="BO9" s="68" t="str">
        <f>IF(OR(AG7="",AG7="Sem monitoramento"),"VAZIO",IFERROR(AG7/($AJ9*24),"-"))</f>
        <v>VAZIO</v>
      </c>
      <c r="BP9" s="70">
        <f t="shared" si="3"/>
        <v>0.14547413793103445</v>
      </c>
      <c r="BQ9" s="180">
        <f>'FCs estimados em PVsyst'!Y7</f>
        <v>0.18333333333333332</v>
      </c>
      <c r="BR9" s="72">
        <f t="shared" si="4"/>
        <v>2.1999999999999997</v>
      </c>
      <c r="BS9" s="73">
        <f t="shared" si="5"/>
        <v>-4.0972222222222215E-2</v>
      </c>
      <c r="BT9" s="74">
        <f t="shared" si="6"/>
        <v>-3.7859195402298873E-2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15.4</v>
      </c>
      <c r="E10" s="63">
        <v>41</v>
      </c>
      <c r="F10" s="63">
        <v>85</v>
      </c>
      <c r="G10" s="82">
        <v>60</v>
      </c>
      <c r="H10" s="82">
        <v>52</v>
      </c>
      <c r="I10" s="63">
        <v>105.1</v>
      </c>
      <c r="J10" s="63">
        <v>114.7</v>
      </c>
      <c r="K10" s="283">
        <v>105.7</v>
      </c>
      <c r="L10" s="63">
        <v>113.7</v>
      </c>
      <c r="M10" s="63">
        <v>102.6</v>
      </c>
      <c r="N10" s="63">
        <v>115.1</v>
      </c>
      <c r="O10" s="63">
        <v>136.19999999999999</v>
      </c>
      <c r="P10" s="63">
        <v>132.4</v>
      </c>
      <c r="Q10" s="283">
        <v>83.4</v>
      </c>
      <c r="R10" s="308">
        <v>34.6</v>
      </c>
      <c r="S10" s="63">
        <v>103.1</v>
      </c>
      <c r="T10" s="63">
        <v>131</v>
      </c>
      <c r="U10" s="63">
        <v>87.3</v>
      </c>
      <c r="V10" s="63">
        <v>91.8</v>
      </c>
      <c r="W10" s="283">
        <v>38.9</v>
      </c>
      <c r="X10" s="63">
        <v>56.7</v>
      </c>
      <c r="Y10" s="63">
        <v>34.299999999999997</v>
      </c>
      <c r="Z10" s="15">
        <v>65.5</v>
      </c>
      <c r="AA10" s="18">
        <v>113.3</v>
      </c>
      <c r="AB10" s="323">
        <v>121.6</v>
      </c>
      <c r="AC10" s="392">
        <v>28.7</v>
      </c>
      <c r="AD10" s="15">
        <v>112.9</v>
      </c>
      <c r="AE10" s="15">
        <v>111.5</v>
      </c>
      <c r="AF10" s="15">
        <v>92.6</v>
      </c>
      <c r="AG10" s="15"/>
      <c r="AH10" s="64"/>
      <c r="AI10" s="290">
        <f t="shared" si="7"/>
        <v>2486.1</v>
      </c>
      <c r="AJ10" s="118">
        <v>25</v>
      </c>
      <c r="AK10" s="121">
        <f t="shared" si="0"/>
        <v>7.8703703703703696E-3</v>
      </c>
      <c r="AL10" s="67">
        <f t="shared" si="1"/>
        <v>2.5666666666666667E-2</v>
      </c>
      <c r="AM10" s="68">
        <f t="shared" si="1"/>
        <v>6.8333333333333329E-2</v>
      </c>
      <c r="AN10" s="68">
        <f t="shared" si="1"/>
        <v>0.14166666666666666</v>
      </c>
      <c r="AO10" s="68">
        <f t="shared" si="1"/>
        <v>0.1</v>
      </c>
      <c r="AP10" s="68">
        <f t="shared" si="1"/>
        <v>8.666666666666667E-2</v>
      </c>
      <c r="AQ10" s="68">
        <f t="shared" si="1"/>
        <v>0.17516666666666666</v>
      </c>
      <c r="AR10" s="68">
        <f t="shared" si="1"/>
        <v>0.19116666666666668</v>
      </c>
      <c r="AS10" s="68">
        <f t="shared" si="1"/>
        <v>0.17616666666666667</v>
      </c>
      <c r="AT10" s="68">
        <f t="shared" si="1"/>
        <v>0.1895</v>
      </c>
      <c r="AU10" s="68">
        <f t="shared" si="1"/>
        <v>0.17099999999999999</v>
      </c>
      <c r="AV10" s="68">
        <f t="shared" si="1"/>
        <v>0.19183333333333333</v>
      </c>
      <c r="AW10" s="68">
        <f t="shared" si="1"/>
        <v>0.22699999999999998</v>
      </c>
      <c r="AX10" s="68">
        <f t="shared" si="1"/>
        <v>0.22066666666666668</v>
      </c>
      <c r="AY10" s="68">
        <f t="shared" si="1"/>
        <v>0.13900000000000001</v>
      </c>
      <c r="AZ10" s="68">
        <f t="shared" si="1"/>
        <v>5.7666666666666672E-2</v>
      </c>
      <c r="BA10" s="68">
        <f t="shared" si="1"/>
        <v>0.17183333333333331</v>
      </c>
      <c r="BB10" s="68">
        <f t="shared" si="2"/>
        <v>0.21833333333333332</v>
      </c>
      <c r="BC10" s="68">
        <f>IF(OR(U8="",U8="Sem monitoramento"),"VAZIO",IFERROR(U8/($AJ10*24),"-"))</f>
        <v>0.17183333333333331</v>
      </c>
      <c r="BD10" s="68">
        <f t="shared" si="2"/>
        <v>0.153</v>
      </c>
      <c r="BE10" s="68">
        <f t="shared" si="2"/>
        <v>6.4833333333333326E-2</v>
      </c>
      <c r="BF10" s="68">
        <f t="shared" si="2"/>
        <v>9.4500000000000001E-2</v>
      </c>
      <c r="BG10" s="68">
        <f t="shared" si="2"/>
        <v>5.7166666666666664E-2</v>
      </c>
      <c r="BH10" s="68" t="e">
        <f>IF(OR(#REF!="",#REF!="Sem monitoramento"),"VAZIO",IFERROR(#REF!/($AJ10*24),"-"))</f>
        <v>#REF!</v>
      </c>
      <c r="BI10" s="68">
        <f t="shared" si="2"/>
        <v>0.18883333333333333</v>
      </c>
      <c r="BJ10" s="68">
        <f t="shared" si="2"/>
        <v>0.20266666666666666</v>
      </c>
      <c r="BK10" s="68">
        <f>IF(OR(AC8="",AC8="Sem monitoramento"),"VAZIO",IFERROR(AC8/($AJ10*24),"-"))</f>
        <v>0.17833333333333334</v>
      </c>
      <c r="BL10" s="68">
        <f t="shared" si="2"/>
        <v>0.18816666666666668</v>
      </c>
      <c r="BM10" s="68">
        <f t="shared" si="2"/>
        <v>0.18583333333333332</v>
      </c>
      <c r="BN10" s="68">
        <f t="shared" si="2"/>
        <v>0.15433333333333332</v>
      </c>
      <c r="BO10" s="68" t="str">
        <f>IF(OR(AG8="",AG8="Sem monitoramento"),"VAZIO",IFERROR(AG8/($AJ10*24),"-"))</f>
        <v>VAZIO</v>
      </c>
      <c r="BP10" s="70">
        <f t="shared" si="3"/>
        <v>0.14287931034482759</v>
      </c>
      <c r="BQ10" s="180">
        <f>'FCs estimados em PVsyst'!Y8</f>
        <v>0.185</v>
      </c>
      <c r="BR10" s="72">
        <f t="shared" si="4"/>
        <v>4.625</v>
      </c>
      <c r="BS10" s="73">
        <f t="shared" si="5"/>
        <v>-4.3333333333333335E-2</v>
      </c>
      <c r="BT10" s="74">
        <f t="shared" si="6"/>
        <v>-4.2120689655172405E-2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258.3</v>
      </c>
      <c r="E11" s="63">
        <v>264</v>
      </c>
      <c r="F11" s="63">
        <v>327.8</v>
      </c>
      <c r="G11" s="63">
        <v>293.39999999999998</v>
      </c>
      <c r="H11" s="63">
        <v>289.2</v>
      </c>
      <c r="I11" s="283">
        <v>389.8</v>
      </c>
      <c r="J11" s="283">
        <v>392.6</v>
      </c>
      <c r="K11" s="283">
        <v>377.4</v>
      </c>
      <c r="L11" s="63">
        <v>394.4</v>
      </c>
      <c r="M11" s="63">
        <v>338.3</v>
      </c>
      <c r="N11" s="63">
        <v>383.7</v>
      </c>
      <c r="O11" s="63">
        <v>430.4</v>
      </c>
      <c r="P11" s="63">
        <v>412.3</v>
      </c>
      <c r="Q11" s="283">
        <v>331.3</v>
      </c>
      <c r="R11" s="63">
        <v>117.5</v>
      </c>
      <c r="S11" s="63">
        <v>355.6</v>
      </c>
      <c r="T11" s="63">
        <v>409.3</v>
      </c>
      <c r="U11" s="63">
        <v>308</v>
      </c>
      <c r="V11" s="283">
        <v>340.9</v>
      </c>
      <c r="W11" s="283">
        <v>155.30000000000001</v>
      </c>
      <c r="X11" s="63">
        <v>238.5</v>
      </c>
      <c r="Y11" s="63">
        <v>146.9</v>
      </c>
      <c r="Z11" s="15">
        <v>206.6</v>
      </c>
      <c r="AA11" s="18">
        <v>402.8</v>
      </c>
      <c r="AB11" s="323">
        <v>371.2</v>
      </c>
      <c r="AC11" s="221">
        <v>405.1</v>
      </c>
      <c r="AD11" s="15">
        <v>354</v>
      </c>
      <c r="AE11" s="221">
        <v>368.4</v>
      </c>
      <c r="AF11" s="15">
        <v>360.7</v>
      </c>
      <c r="AG11" s="15"/>
      <c r="AH11" s="64"/>
      <c r="AI11" s="290">
        <f t="shared" si="7"/>
        <v>9423.7000000000007</v>
      </c>
      <c r="AJ11" s="118">
        <v>78</v>
      </c>
      <c r="AK11" s="121">
        <f t="shared" si="0"/>
        <v>9.7281576448243114E-3</v>
      </c>
      <c r="AL11" s="67">
        <f t="shared" si="1"/>
        <v>0.13798076923076924</v>
      </c>
      <c r="AM11" s="68">
        <f t="shared" si="1"/>
        <v>0.14102564102564102</v>
      </c>
      <c r="AN11" s="68">
        <f t="shared" si="1"/>
        <v>0.17510683760683762</v>
      </c>
      <c r="AO11" s="68">
        <f t="shared" si="1"/>
        <v>0.15673076923076923</v>
      </c>
      <c r="AP11" s="68">
        <f t="shared" si="1"/>
        <v>0.15448717948717949</v>
      </c>
      <c r="AQ11" s="68">
        <f t="shared" si="1"/>
        <v>0.20822649572649574</v>
      </c>
      <c r="AR11" s="68">
        <f t="shared" si="1"/>
        <v>0.20972222222222223</v>
      </c>
      <c r="AS11" s="68">
        <f t="shared" si="1"/>
        <v>0.20160256410256408</v>
      </c>
      <c r="AT11" s="68">
        <f t="shared" si="1"/>
        <v>0.21068376068376068</v>
      </c>
      <c r="AU11" s="68">
        <f t="shared" si="1"/>
        <v>0.18071581196581196</v>
      </c>
      <c r="AV11" s="68">
        <f t="shared" si="1"/>
        <v>0.20496794871794871</v>
      </c>
      <c r="AW11" s="68">
        <f t="shared" si="1"/>
        <v>0.2299145299145299</v>
      </c>
      <c r="AX11" s="68">
        <f t="shared" si="1"/>
        <v>0.22024572649572649</v>
      </c>
      <c r="AY11" s="68">
        <f t="shared" si="1"/>
        <v>0.17697649572649574</v>
      </c>
      <c r="AZ11" s="68">
        <f t="shared" si="1"/>
        <v>6.2767094017094016E-2</v>
      </c>
      <c r="BA11" s="68">
        <f t="shared" si="1"/>
        <v>0.18995726495726498</v>
      </c>
      <c r="BB11" s="68">
        <f t="shared" si="2"/>
        <v>0.21864316239316239</v>
      </c>
      <c r="BC11" s="68">
        <f t="shared" si="2"/>
        <v>0.16452991452991453</v>
      </c>
      <c r="BD11" s="68">
        <f t="shared" si="2"/>
        <v>0.18210470085470085</v>
      </c>
      <c r="BE11" s="68">
        <f t="shared" si="2"/>
        <v>8.295940170940172E-2</v>
      </c>
      <c r="BF11" s="68">
        <f t="shared" si="2"/>
        <v>0.12740384615384615</v>
      </c>
      <c r="BG11" s="68">
        <f t="shared" si="2"/>
        <v>7.8472222222222221E-2</v>
      </c>
      <c r="BH11" s="68">
        <f t="shared" si="2"/>
        <v>0.11036324786324786</v>
      </c>
      <c r="BI11" s="68">
        <f t="shared" si="2"/>
        <v>0.21517094017094018</v>
      </c>
      <c r="BJ11" s="68">
        <f>IF(OR(AB9="",AB9="Sem monitoramento"),"VAZIO",IFERROR(AB9/($AJ11*24),"-"))</f>
        <v>3.0608974358974358E-2</v>
      </c>
      <c r="BK11" s="68">
        <f t="shared" ref="BK11:BO31" si="8">IF(OR(AC11="",AC11="Sem monitoramento"),"VAZIO",IFERROR(AC11/($AJ11*24),"-"))</f>
        <v>0.21639957264957266</v>
      </c>
      <c r="BL11" s="68">
        <f t="shared" si="2"/>
        <v>0.1891025641025641</v>
      </c>
      <c r="BM11" s="68">
        <f t="shared" si="2"/>
        <v>0.19679487179487179</v>
      </c>
      <c r="BN11" s="68">
        <f t="shared" si="2"/>
        <v>0.19268162393162391</v>
      </c>
      <c r="BO11" s="68" t="str">
        <f t="shared" si="2"/>
        <v>VAZIO</v>
      </c>
      <c r="BP11" s="70">
        <f t="shared" si="3"/>
        <v>0.17358716475095787</v>
      </c>
      <c r="BQ11" s="198">
        <f>BQ19</f>
        <v>0.168125</v>
      </c>
      <c r="BR11" s="72">
        <f t="shared" si="4"/>
        <v>13.11375</v>
      </c>
      <c r="BS11" s="73">
        <f t="shared" si="5"/>
        <v>6.9818376068376264E-3</v>
      </c>
      <c r="BT11" s="74">
        <f t="shared" si="6"/>
        <v>5.4621647509578708E-3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291">
        <v>208.3</v>
      </c>
      <c r="E12" s="308">
        <v>214.5</v>
      </c>
      <c r="F12" s="82">
        <v>275.3</v>
      </c>
      <c r="G12" s="82">
        <v>205.5</v>
      </c>
      <c r="H12" s="82">
        <v>210.2</v>
      </c>
      <c r="I12" s="308">
        <v>278.89999999999998</v>
      </c>
      <c r="J12" s="82">
        <v>309.2</v>
      </c>
      <c r="K12" s="308">
        <v>298</v>
      </c>
      <c r="L12" s="82">
        <v>300.39999999999998</v>
      </c>
      <c r="M12" s="82">
        <v>279</v>
      </c>
      <c r="N12" s="82">
        <v>319.60000000000002</v>
      </c>
      <c r="O12" s="82">
        <v>362.3</v>
      </c>
      <c r="P12" s="82">
        <v>323.2</v>
      </c>
      <c r="Q12" s="308">
        <v>222.1</v>
      </c>
      <c r="R12" s="308">
        <v>88.9</v>
      </c>
      <c r="S12" s="82">
        <v>271.7</v>
      </c>
      <c r="T12" s="82">
        <v>351.7</v>
      </c>
      <c r="U12" s="82">
        <v>217</v>
      </c>
      <c r="V12" s="82">
        <v>251.9</v>
      </c>
      <c r="W12" s="308">
        <v>101.6</v>
      </c>
      <c r="X12" s="82">
        <v>140.6</v>
      </c>
      <c r="Y12" s="82">
        <v>87.4</v>
      </c>
      <c r="Z12" s="16">
        <v>166.9</v>
      </c>
      <c r="AA12" s="17">
        <v>279.39999999999998</v>
      </c>
      <c r="AB12" s="324">
        <v>315.7</v>
      </c>
      <c r="AC12" s="392">
        <v>84.5</v>
      </c>
      <c r="AD12" s="16">
        <v>298.2</v>
      </c>
      <c r="AE12" s="16">
        <v>274.2</v>
      </c>
      <c r="AF12" s="16">
        <v>231</v>
      </c>
      <c r="AG12" s="16"/>
      <c r="AH12" s="86"/>
      <c r="AI12" s="290">
        <f t="shared" si="7"/>
        <v>6967.199999999998</v>
      </c>
      <c r="AJ12" s="123">
        <v>61</v>
      </c>
      <c r="AK12" s="121" t="s">
        <v>31</v>
      </c>
      <c r="AL12" s="67">
        <f t="shared" si="1"/>
        <v>0.14228142076502734</v>
      </c>
      <c r="AM12" s="68">
        <f t="shared" si="1"/>
        <v>0.14651639344262296</v>
      </c>
      <c r="AN12" s="68">
        <f t="shared" si="1"/>
        <v>0.18804644808743171</v>
      </c>
      <c r="AO12" s="68">
        <f t="shared" si="1"/>
        <v>0.1403688524590164</v>
      </c>
      <c r="AP12" s="68">
        <f t="shared" si="1"/>
        <v>0.14357923497267758</v>
      </c>
      <c r="AQ12" s="68">
        <f t="shared" si="1"/>
        <v>0.1905054644808743</v>
      </c>
      <c r="AR12" s="68">
        <f t="shared" si="1"/>
        <v>0.21120218579234973</v>
      </c>
      <c r="AS12" s="68">
        <f t="shared" si="1"/>
        <v>0.20355191256830601</v>
      </c>
      <c r="AT12" s="68">
        <f t="shared" si="1"/>
        <v>0.20519125683060108</v>
      </c>
      <c r="AU12" s="68">
        <f t="shared" si="1"/>
        <v>0.19057377049180327</v>
      </c>
      <c r="AV12" s="68">
        <f t="shared" si="1"/>
        <v>0.21830601092896176</v>
      </c>
      <c r="AW12" s="68">
        <f t="shared" si="1"/>
        <v>0.24747267759562841</v>
      </c>
      <c r="AX12" s="68">
        <f t="shared" si="1"/>
        <v>0.22076502732240436</v>
      </c>
      <c r="AY12" s="68">
        <f t="shared" si="1"/>
        <v>0.15170765027322403</v>
      </c>
      <c r="AZ12" s="68">
        <f t="shared" si="1"/>
        <v>6.0724043715846998E-2</v>
      </c>
      <c r="BA12" s="68">
        <f t="shared" si="1"/>
        <v>0.18558743169398906</v>
      </c>
      <c r="BB12" s="68">
        <f t="shared" si="2"/>
        <v>0.24023224043715846</v>
      </c>
      <c r="BC12" s="68">
        <f t="shared" si="2"/>
        <v>0.14822404371584699</v>
      </c>
      <c r="BD12" s="68">
        <f t="shared" si="2"/>
        <v>0.17206284153005466</v>
      </c>
      <c r="BE12" s="68">
        <f t="shared" si="2"/>
        <v>6.9398907103825139E-2</v>
      </c>
      <c r="BF12" s="68">
        <f t="shared" si="2"/>
        <v>9.6038251366120209E-2</v>
      </c>
      <c r="BG12" s="68">
        <f t="shared" si="2"/>
        <v>5.9699453551912571E-2</v>
      </c>
      <c r="BH12" s="68">
        <f t="shared" si="2"/>
        <v>0.11400273224043717</v>
      </c>
      <c r="BI12" s="68">
        <f t="shared" si="2"/>
        <v>0.19084699453551912</v>
      </c>
      <c r="BJ12" s="68">
        <f t="shared" si="2"/>
        <v>0.21564207650273223</v>
      </c>
      <c r="BK12" s="68">
        <f t="shared" si="8"/>
        <v>5.7718579234972679E-2</v>
      </c>
      <c r="BL12" s="68">
        <f t="shared" si="2"/>
        <v>0.20368852459016393</v>
      </c>
      <c r="BM12" s="68">
        <f t="shared" si="2"/>
        <v>0.18729508196721312</v>
      </c>
      <c r="BN12" s="68">
        <f t="shared" si="2"/>
        <v>0.15778688524590165</v>
      </c>
      <c r="BO12" s="68" t="str">
        <f t="shared" si="2"/>
        <v>VAZIO</v>
      </c>
      <c r="BP12" s="70">
        <f t="shared" si="3"/>
        <v>0.16410401356698695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6"/>
        <v>-2.0549902644306312E-2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62">
        <v>342.7</v>
      </c>
      <c r="E13" s="63">
        <v>335.2</v>
      </c>
      <c r="F13" s="63">
        <v>439.8</v>
      </c>
      <c r="G13" s="63">
        <v>333.5</v>
      </c>
      <c r="H13" s="63">
        <v>337.3</v>
      </c>
      <c r="I13" s="283">
        <v>474.3</v>
      </c>
      <c r="J13" s="63">
        <v>489.8</v>
      </c>
      <c r="K13" s="283">
        <v>449.6</v>
      </c>
      <c r="L13" s="63">
        <v>471.9</v>
      </c>
      <c r="M13" s="63">
        <v>481.9</v>
      </c>
      <c r="N13" s="63">
        <v>481.6</v>
      </c>
      <c r="O13" s="63">
        <v>580.20000000000005</v>
      </c>
      <c r="P13" s="63">
        <v>529.5</v>
      </c>
      <c r="Q13" s="283">
        <v>392.8</v>
      </c>
      <c r="R13" s="308">
        <v>149.19999999999999</v>
      </c>
      <c r="S13" s="63">
        <v>441.6</v>
      </c>
      <c r="T13" s="63">
        <v>570.70000000000005</v>
      </c>
      <c r="U13" s="63">
        <v>367.3</v>
      </c>
      <c r="V13" s="63">
        <v>405.2</v>
      </c>
      <c r="W13" s="283">
        <v>168.2</v>
      </c>
      <c r="X13" s="63">
        <v>232</v>
      </c>
      <c r="Y13" s="63">
        <v>145.19999999999999</v>
      </c>
      <c r="Z13" s="15">
        <v>271.7</v>
      </c>
      <c r="AA13" s="18">
        <v>462</v>
      </c>
      <c r="AB13" s="323">
        <v>508.6</v>
      </c>
      <c r="AC13" s="392">
        <v>140</v>
      </c>
      <c r="AD13" s="15">
        <v>466.6</v>
      </c>
      <c r="AE13" s="15">
        <v>466.2</v>
      </c>
      <c r="AF13" s="15">
        <v>404.8</v>
      </c>
      <c r="AG13" s="15"/>
      <c r="AH13" s="64"/>
      <c r="AI13" s="290">
        <f t="shared" si="7"/>
        <v>11339.400000000003</v>
      </c>
      <c r="AJ13" s="118">
        <v>100</v>
      </c>
      <c r="AK13" s="121">
        <f t="shared" ref="AK13:AK25" si="9">F13/(AJ13*432)</f>
        <v>1.0180555555555556E-2</v>
      </c>
      <c r="AL13" s="67">
        <f t="shared" si="1"/>
        <v>0.14279166666666665</v>
      </c>
      <c r="AM13" s="68">
        <f t="shared" si="1"/>
        <v>0.13966666666666666</v>
      </c>
      <c r="AN13" s="68">
        <f t="shared" si="1"/>
        <v>0.18325</v>
      </c>
      <c r="AO13" s="68">
        <f t="shared" si="1"/>
        <v>0.13895833333333332</v>
      </c>
      <c r="AP13" s="68">
        <f t="shared" si="1"/>
        <v>0.14054166666666668</v>
      </c>
      <c r="AQ13" s="68">
        <f t="shared" si="1"/>
        <v>0.197625</v>
      </c>
      <c r="AR13" s="68">
        <f t="shared" si="1"/>
        <v>0.20408333333333334</v>
      </c>
      <c r="AS13" s="68">
        <f t="shared" si="1"/>
        <v>0.18733333333333335</v>
      </c>
      <c r="AT13" s="68">
        <f t="shared" si="1"/>
        <v>0.19662499999999999</v>
      </c>
      <c r="AU13" s="68">
        <f t="shared" si="1"/>
        <v>0.20079166666666665</v>
      </c>
      <c r="AV13" s="68">
        <f t="shared" si="1"/>
        <v>0.20066666666666669</v>
      </c>
      <c r="AW13" s="68">
        <f t="shared" si="1"/>
        <v>0.24175000000000002</v>
      </c>
      <c r="AX13" s="68">
        <f t="shared" si="1"/>
        <v>0.22062499999999999</v>
      </c>
      <c r="AY13" s="68">
        <f t="shared" si="1"/>
        <v>0.16366666666666668</v>
      </c>
      <c r="AZ13" s="68">
        <f t="shared" si="1"/>
        <v>6.2166666666666662E-2</v>
      </c>
      <c r="BA13" s="68">
        <f t="shared" si="1"/>
        <v>0.184</v>
      </c>
      <c r="BB13" s="68">
        <f t="shared" si="2"/>
        <v>0.23779166666666668</v>
      </c>
      <c r="BC13" s="68">
        <f t="shared" si="2"/>
        <v>0.15304166666666666</v>
      </c>
      <c r="BD13" s="68">
        <f t="shared" si="2"/>
        <v>0.16883333333333334</v>
      </c>
      <c r="BE13" s="68">
        <f t="shared" si="2"/>
        <v>7.0083333333333331E-2</v>
      </c>
      <c r="BF13" s="68">
        <f t="shared" si="2"/>
        <v>9.6666666666666665E-2</v>
      </c>
      <c r="BG13" s="68">
        <f t="shared" si="2"/>
        <v>6.0499999999999998E-2</v>
      </c>
      <c r="BH13" s="68">
        <f t="shared" si="2"/>
        <v>0.11320833333333333</v>
      </c>
      <c r="BI13" s="68">
        <f t="shared" si="2"/>
        <v>0.1925</v>
      </c>
      <c r="BJ13" s="68">
        <f t="shared" si="2"/>
        <v>0.21191666666666667</v>
      </c>
      <c r="BK13" s="68">
        <f t="shared" si="8"/>
        <v>5.8333333333333334E-2</v>
      </c>
      <c r="BL13" s="68">
        <f t="shared" si="2"/>
        <v>0.19441666666666668</v>
      </c>
      <c r="BM13" s="68">
        <f t="shared" si="2"/>
        <v>0.19425000000000001</v>
      </c>
      <c r="BN13" s="68">
        <f t="shared" si="2"/>
        <v>0.16866666666666666</v>
      </c>
      <c r="BO13" s="68" t="str">
        <f t="shared" si="2"/>
        <v>VAZIO</v>
      </c>
      <c r="BP13" s="70">
        <f t="shared" si="3"/>
        <v>0.16292241379310349</v>
      </c>
      <c r="BQ13" s="198">
        <f>BQ19</f>
        <v>0.168125</v>
      </c>
      <c r="BR13" s="72">
        <f t="shared" ref="BR13:BR29" si="10">AJ13*BQ13</f>
        <v>16.8125</v>
      </c>
      <c r="BS13" s="73">
        <f t="shared" ref="BS13:BS29" si="11">AN13-BQ13</f>
        <v>1.5125E-2</v>
      </c>
      <c r="BT13" s="74">
        <f t="shared" si="6"/>
        <v>-5.202586206896509E-3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357.3</v>
      </c>
      <c r="E14" s="63">
        <v>344.2</v>
      </c>
      <c r="F14" s="63">
        <v>440.2</v>
      </c>
      <c r="G14" s="63">
        <v>386.8</v>
      </c>
      <c r="H14" s="63">
        <v>377.1</v>
      </c>
      <c r="I14" s="283">
        <v>523.4</v>
      </c>
      <c r="J14" s="283">
        <v>523.6</v>
      </c>
      <c r="K14" s="283">
        <v>491.8</v>
      </c>
      <c r="L14" s="63">
        <v>527.4</v>
      </c>
      <c r="M14" s="63">
        <v>485.4</v>
      </c>
      <c r="N14" s="63">
        <v>533</v>
      </c>
      <c r="O14" s="63">
        <v>571.20000000000005</v>
      </c>
      <c r="P14" s="63">
        <v>549.20000000000005</v>
      </c>
      <c r="Q14" s="283">
        <v>453</v>
      </c>
      <c r="R14" s="63">
        <v>148.6</v>
      </c>
      <c r="S14" s="63">
        <v>484.5</v>
      </c>
      <c r="T14" s="63">
        <v>543.6</v>
      </c>
      <c r="U14" s="63">
        <v>400.6</v>
      </c>
      <c r="V14" s="283">
        <v>453</v>
      </c>
      <c r="W14" s="283">
        <v>202.7</v>
      </c>
      <c r="X14" s="63">
        <v>313.5</v>
      </c>
      <c r="Y14" s="63">
        <v>191.2</v>
      </c>
      <c r="Z14" s="15">
        <v>270.60000000000002</v>
      </c>
      <c r="AA14" s="18">
        <v>532.29999999999995</v>
      </c>
      <c r="AB14" s="323">
        <v>481.4</v>
      </c>
      <c r="AC14" s="221">
        <v>417.8</v>
      </c>
      <c r="AD14" s="15">
        <v>115.1</v>
      </c>
      <c r="AE14" s="15">
        <v>94.9</v>
      </c>
      <c r="AF14" s="15">
        <v>479.9</v>
      </c>
      <c r="AG14" s="15"/>
      <c r="AH14" s="64"/>
      <c r="AI14" s="290">
        <f t="shared" si="7"/>
        <v>11693.300000000001</v>
      </c>
      <c r="AJ14" s="118">
        <v>100</v>
      </c>
      <c r="AK14" s="121">
        <f t="shared" si="9"/>
        <v>1.0189814814814815E-2</v>
      </c>
      <c r="AL14" s="67">
        <f t="shared" si="1"/>
        <v>0.14887500000000001</v>
      </c>
      <c r="AM14" s="68">
        <f t="shared" si="1"/>
        <v>0.14341666666666666</v>
      </c>
      <c r="AN14" s="68">
        <f t="shared" si="1"/>
        <v>0.18341666666666667</v>
      </c>
      <c r="AO14" s="68">
        <f t="shared" si="1"/>
        <v>0.16116666666666668</v>
      </c>
      <c r="AP14" s="68">
        <f t="shared" si="1"/>
        <v>0.15712500000000001</v>
      </c>
      <c r="AQ14" s="68">
        <f t="shared" si="1"/>
        <v>0.21808333333333332</v>
      </c>
      <c r="AR14" s="68">
        <f t="shared" si="1"/>
        <v>0.21816666666666668</v>
      </c>
      <c r="AS14" s="68">
        <f t="shared" si="1"/>
        <v>0.20491666666666666</v>
      </c>
      <c r="AT14" s="68">
        <f t="shared" si="1"/>
        <v>0.21975</v>
      </c>
      <c r="AU14" s="68">
        <f t="shared" si="1"/>
        <v>0.20224999999999999</v>
      </c>
      <c r="AV14" s="68">
        <f t="shared" si="1"/>
        <v>0.22208333333333333</v>
      </c>
      <c r="AW14" s="68">
        <f>IF(OR(O14="",O14="Sem monitoramento"),"VAZIO",IFERROR(O14/($AJ14*24),"-"))</f>
        <v>0.23800000000000002</v>
      </c>
      <c r="AX14" s="68">
        <f t="shared" si="1"/>
        <v>0.22883333333333336</v>
      </c>
      <c r="AY14" s="68">
        <f t="shared" si="1"/>
        <v>0.18875</v>
      </c>
      <c r="AZ14" s="68">
        <f t="shared" si="1"/>
        <v>6.1916666666666662E-2</v>
      </c>
      <c r="BA14" s="68">
        <f t="shared" si="1"/>
        <v>0.201875</v>
      </c>
      <c r="BB14" s="68">
        <f t="shared" si="2"/>
        <v>0.22650000000000001</v>
      </c>
      <c r="BC14" s="68">
        <f>IF(OR(U14="",U14="Sem monitoramento"),"VAZIO",IFERROR(U14/($AJ14*24),"-"))</f>
        <v>0.16691666666666669</v>
      </c>
      <c r="BD14" s="68">
        <f t="shared" si="2"/>
        <v>0.18875</v>
      </c>
      <c r="BE14" s="68">
        <f t="shared" si="2"/>
        <v>8.445833333333333E-2</v>
      </c>
      <c r="BF14" s="68">
        <f t="shared" si="2"/>
        <v>0.13062499999999999</v>
      </c>
      <c r="BG14" s="68">
        <f t="shared" si="2"/>
        <v>7.9666666666666663E-2</v>
      </c>
      <c r="BH14" s="68">
        <f t="shared" si="2"/>
        <v>0.11275</v>
      </c>
      <c r="BI14" s="68">
        <f t="shared" si="2"/>
        <v>0.22179166666666664</v>
      </c>
      <c r="BJ14" s="68">
        <f t="shared" si="2"/>
        <v>0.20058333333333334</v>
      </c>
      <c r="BK14" s="68">
        <f t="shared" si="8"/>
        <v>0.17408333333333334</v>
      </c>
      <c r="BL14" s="68">
        <f t="shared" si="2"/>
        <v>4.7958333333333332E-2</v>
      </c>
      <c r="BM14" s="68">
        <f t="shared" si="2"/>
        <v>3.9541666666666669E-2</v>
      </c>
      <c r="BN14" s="68">
        <f t="shared" si="2"/>
        <v>0.19995833333333332</v>
      </c>
      <c r="BO14" s="68" t="str">
        <f t="shared" si="2"/>
        <v>VAZIO</v>
      </c>
      <c r="BP14" s="70">
        <f t="shared" si="3"/>
        <v>0.168007183908046</v>
      </c>
      <c r="BQ14" s="198">
        <f>$BQ$19</f>
        <v>0.168125</v>
      </c>
      <c r="BR14" s="72">
        <f t="shared" si="10"/>
        <v>16.8125</v>
      </c>
      <c r="BS14" s="73">
        <f t="shared" si="11"/>
        <v>1.5291666666666676E-2</v>
      </c>
      <c r="BT14" s="74">
        <f t="shared" si="6"/>
        <v>-1.1781609195399279E-4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99</v>
      </c>
      <c r="E15" s="63">
        <v>96.2</v>
      </c>
      <c r="F15" s="63">
        <v>124</v>
      </c>
      <c r="G15" s="63">
        <v>107.2</v>
      </c>
      <c r="H15" s="63">
        <v>106.8</v>
      </c>
      <c r="I15" s="283">
        <v>144.5</v>
      </c>
      <c r="J15" s="283">
        <v>145</v>
      </c>
      <c r="K15" s="283">
        <v>144.19999999999999</v>
      </c>
      <c r="L15" s="63">
        <v>156</v>
      </c>
      <c r="M15" s="63">
        <v>137.1</v>
      </c>
      <c r="N15" s="63">
        <v>158.69999999999999</v>
      </c>
      <c r="O15" s="63">
        <v>164.6</v>
      </c>
      <c r="P15" s="63">
        <v>154.19999999999999</v>
      </c>
      <c r="Q15" s="283">
        <v>124.3</v>
      </c>
      <c r="R15" s="63">
        <v>40.200000000000003</v>
      </c>
      <c r="S15" s="63">
        <v>138.4</v>
      </c>
      <c r="T15" s="63">
        <v>153.19999999999999</v>
      </c>
      <c r="U15" s="63">
        <v>114.8</v>
      </c>
      <c r="V15" s="283">
        <v>135</v>
      </c>
      <c r="W15" s="283">
        <v>55</v>
      </c>
      <c r="X15" s="63">
        <v>87.2</v>
      </c>
      <c r="Y15" s="63">
        <v>52.2</v>
      </c>
      <c r="Z15" s="15">
        <v>74.5</v>
      </c>
      <c r="AA15" s="18">
        <v>152.80000000000001</v>
      </c>
      <c r="AB15" s="323">
        <v>138.80000000000001</v>
      </c>
      <c r="AC15" s="221">
        <v>154.30000000000001</v>
      </c>
      <c r="AD15" s="221">
        <v>138.30000000000001</v>
      </c>
      <c r="AE15" s="15">
        <v>134.19999999999999</v>
      </c>
      <c r="AF15" s="15">
        <v>132.4</v>
      </c>
      <c r="AG15" s="15"/>
      <c r="AH15" s="64"/>
      <c r="AI15" s="290">
        <f t="shared" si="7"/>
        <v>3563.1000000000004</v>
      </c>
      <c r="AJ15" s="118">
        <v>29</v>
      </c>
      <c r="AK15" s="121">
        <f t="shared" si="9"/>
        <v>9.8978288633461056E-3</v>
      </c>
      <c r="AL15" s="67">
        <f t="shared" si="1"/>
        <v>0.14224137931034483</v>
      </c>
      <c r="AM15" s="68">
        <f t="shared" si="1"/>
        <v>0.13821839080459772</v>
      </c>
      <c r="AN15" s="68">
        <f t="shared" si="1"/>
        <v>0.17816091954022989</v>
      </c>
      <c r="AO15" s="68">
        <f t="shared" si="1"/>
        <v>0.15402298850574714</v>
      </c>
      <c r="AP15" s="68">
        <f t="shared" si="1"/>
        <v>0.15344827586206897</v>
      </c>
      <c r="AQ15" s="68">
        <f t="shared" si="1"/>
        <v>0.20761494252873564</v>
      </c>
      <c r="AR15" s="68">
        <f t="shared" si="1"/>
        <v>0.20833333333333334</v>
      </c>
      <c r="AS15" s="68">
        <f t="shared" si="1"/>
        <v>0.207183908045977</v>
      </c>
      <c r="AT15" s="68">
        <f t="shared" si="1"/>
        <v>0.22413793103448276</v>
      </c>
      <c r="AU15" s="68">
        <f t="shared" si="1"/>
        <v>0.19698275862068965</v>
      </c>
      <c r="AV15" s="68">
        <f t="shared" si="1"/>
        <v>0.22801724137931031</v>
      </c>
      <c r="AW15" s="68">
        <f>IF(OR(O15="",O15="Sem monitoramento"),"VAZIO",IFERROR(O15/($AJ15*24),"-"))</f>
        <v>0.23649425287356321</v>
      </c>
      <c r="AX15" s="68">
        <f t="shared" si="1"/>
        <v>0.22155172413793101</v>
      </c>
      <c r="AY15" s="68">
        <f t="shared" si="1"/>
        <v>0.1785919540229885</v>
      </c>
      <c r="AZ15" s="68">
        <f t="shared" si="1"/>
        <v>5.7758620689655177E-2</v>
      </c>
      <c r="BA15" s="68">
        <f t="shared" si="1"/>
        <v>0.1988505747126437</v>
      </c>
      <c r="BB15" s="68">
        <f>IF(OR(T15="",T15="Sem monitoramento"),"VAZIO",IFERROR(T15/($AJ15*24),"-"))</f>
        <v>0.22011494252873562</v>
      </c>
      <c r="BC15" s="68">
        <f>IF(OR(U15="",U15="Sem monitoramento"),"VAZIO",IFERROR(U15/($AJ15*24),"-"))</f>
        <v>0.16494252873563217</v>
      </c>
      <c r="BD15" s="68">
        <f t="shared" si="2"/>
        <v>0.19396551724137931</v>
      </c>
      <c r="BE15" s="68">
        <f t="shared" si="2"/>
        <v>7.9022988505747127E-2</v>
      </c>
      <c r="BF15" s="68">
        <f t="shared" si="2"/>
        <v>0.12528735632183907</v>
      </c>
      <c r="BG15" s="68">
        <f t="shared" si="2"/>
        <v>7.4999999999999997E-2</v>
      </c>
      <c r="BH15" s="68">
        <f t="shared" si="2"/>
        <v>0.10704022988505747</v>
      </c>
      <c r="BI15" s="68">
        <f t="shared" si="2"/>
        <v>0.21954022988505748</v>
      </c>
      <c r="BJ15" s="68">
        <f t="shared" si="2"/>
        <v>0.19942528735632187</v>
      </c>
      <c r="BK15" s="68">
        <f t="shared" si="8"/>
        <v>0.2216954022988506</v>
      </c>
      <c r="BL15" s="68">
        <f t="shared" si="2"/>
        <v>0.19870689655172416</v>
      </c>
      <c r="BM15" s="68">
        <f t="shared" si="2"/>
        <v>0.19281609195402297</v>
      </c>
      <c r="BN15" s="68">
        <f t="shared" si="2"/>
        <v>0.19022988505747127</v>
      </c>
      <c r="BO15" s="68" t="str">
        <f t="shared" si="2"/>
        <v>VAZIO</v>
      </c>
      <c r="BP15" s="70">
        <f t="shared" si="3"/>
        <v>0.17653091557669442</v>
      </c>
      <c r="BQ15" s="180">
        <f>'FCs estimados em PVsyst'!Y13</f>
        <v>0.1850095785440613</v>
      </c>
      <c r="BR15" s="72">
        <f t="shared" si="10"/>
        <v>5.365277777777778</v>
      </c>
      <c r="BS15" s="73">
        <f t="shared" si="11"/>
        <v>-6.8486590038314143E-3</v>
      </c>
      <c r="BT15" s="74">
        <f t="shared" si="6"/>
        <v>-8.478662967366879E-3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445.9</v>
      </c>
      <c r="E16" s="63">
        <v>300.89999999999998</v>
      </c>
      <c r="F16" s="63">
        <v>466.6</v>
      </c>
      <c r="G16" s="63">
        <v>376.3</v>
      </c>
      <c r="H16" s="63">
        <v>340.5</v>
      </c>
      <c r="I16" s="63">
        <v>481.3</v>
      </c>
      <c r="J16" s="63">
        <v>473.2</v>
      </c>
      <c r="K16" s="63">
        <v>506</v>
      </c>
      <c r="L16" s="63">
        <v>536</v>
      </c>
      <c r="M16" s="63">
        <v>509.3</v>
      </c>
      <c r="N16" s="63">
        <v>429.4</v>
      </c>
      <c r="O16" s="63">
        <v>524</v>
      </c>
      <c r="P16" s="283">
        <v>517.1</v>
      </c>
      <c r="Q16" s="283">
        <v>364.1</v>
      </c>
      <c r="R16" s="63">
        <v>123.3</v>
      </c>
      <c r="S16" s="63">
        <v>339.1</v>
      </c>
      <c r="T16" s="382">
        <v>498.6</v>
      </c>
      <c r="U16" s="63">
        <v>386.6</v>
      </c>
      <c r="V16" s="63">
        <v>435.8</v>
      </c>
      <c r="W16" s="283">
        <v>191.2</v>
      </c>
      <c r="X16" s="63">
        <v>305.7</v>
      </c>
      <c r="Y16" s="63">
        <v>145.19999999999999</v>
      </c>
      <c r="Z16" s="15">
        <v>260.89999999999998</v>
      </c>
      <c r="AA16" s="61">
        <v>505</v>
      </c>
      <c r="AB16" s="323">
        <v>472.9</v>
      </c>
      <c r="AC16" s="15">
        <v>378.7</v>
      </c>
      <c r="AD16" s="15">
        <v>487.8</v>
      </c>
      <c r="AE16" s="15">
        <v>449.5</v>
      </c>
      <c r="AF16" s="15">
        <v>448.2</v>
      </c>
      <c r="AG16" s="15"/>
      <c r="AH16" s="371"/>
      <c r="AI16" s="290">
        <f t="shared" si="7"/>
        <v>11699.100000000004</v>
      </c>
      <c r="AJ16" s="118">
        <v>100</v>
      </c>
      <c r="AK16" s="121">
        <f t="shared" si="9"/>
        <v>1.0800925925925926E-2</v>
      </c>
      <c r="AL16" s="67">
        <f t="shared" si="1"/>
        <v>0.18579166666666666</v>
      </c>
      <c r="AM16" s="68">
        <f t="shared" si="1"/>
        <v>0.12537499999999999</v>
      </c>
      <c r="AN16" s="68">
        <f t="shared" si="1"/>
        <v>0.19441666666666668</v>
      </c>
      <c r="AO16" s="68">
        <f t="shared" si="1"/>
        <v>0.15679166666666666</v>
      </c>
      <c r="AP16" s="68">
        <f t="shared" si="1"/>
        <v>0.141875</v>
      </c>
      <c r="AQ16" s="68">
        <f t="shared" si="1"/>
        <v>0.20054166666666667</v>
      </c>
      <c r="AR16" s="68">
        <f t="shared" si="1"/>
        <v>0.19716666666666666</v>
      </c>
      <c r="AS16" s="68">
        <f t="shared" si="1"/>
        <v>0.21083333333333334</v>
      </c>
      <c r="AT16" s="68">
        <f t="shared" si="1"/>
        <v>0.22333333333333333</v>
      </c>
      <c r="AU16" s="68">
        <f t="shared" si="1"/>
        <v>0.21220833333333333</v>
      </c>
      <c r="AV16" s="68">
        <f t="shared" si="1"/>
        <v>0.17891666666666667</v>
      </c>
      <c r="AW16" s="68">
        <f t="shared" si="1"/>
        <v>0.21833333333333332</v>
      </c>
      <c r="AX16" s="68">
        <f t="shared" si="1"/>
        <v>0.21545833333333334</v>
      </c>
      <c r="AY16" s="68">
        <f t="shared" si="1"/>
        <v>0.15170833333333333</v>
      </c>
      <c r="AZ16" s="68">
        <f t="shared" si="1"/>
        <v>5.1374999999999997E-2</v>
      </c>
      <c r="BA16" s="68">
        <f t="shared" si="1"/>
        <v>0.14129166666666668</v>
      </c>
      <c r="BB16" s="68">
        <f>IF(OR(T14="",T14="Sem monitoramento"),"VAZIO",IFERROR(T14/($AJ16*24),"-"))</f>
        <v>0.22650000000000001</v>
      </c>
      <c r="BC16" s="68">
        <f t="shared" si="2"/>
        <v>0.16108333333333336</v>
      </c>
      <c r="BD16" s="68">
        <f t="shared" si="2"/>
        <v>0.18158333333333335</v>
      </c>
      <c r="BE16" s="68">
        <f t="shared" si="2"/>
        <v>7.9666666666666663E-2</v>
      </c>
      <c r="BF16" s="68">
        <f t="shared" si="2"/>
        <v>0.12737499999999999</v>
      </c>
      <c r="BG16" s="68">
        <f t="shared" si="2"/>
        <v>6.0499999999999998E-2</v>
      </c>
      <c r="BH16" s="68">
        <f t="shared" si="2"/>
        <v>0.10870833333333332</v>
      </c>
      <c r="BI16" s="68">
        <f t="shared" si="2"/>
        <v>0.21041666666666667</v>
      </c>
      <c r="BJ16" s="68">
        <f t="shared" si="2"/>
        <v>0.19704166666666667</v>
      </c>
      <c r="BK16" s="68">
        <f t="shared" si="8"/>
        <v>0.15779166666666666</v>
      </c>
      <c r="BL16" s="68">
        <f t="shared" si="2"/>
        <v>0.20325000000000001</v>
      </c>
      <c r="BM16" s="68">
        <f t="shared" si="2"/>
        <v>0.18729166666666666</v>
      </c>
      <c r="BN16" s="68">
        <f t="shared" si="2"/>
        <v>0.18675</v>
      </c>
      <c r="BO16" s="68" t="str">
        <f t="shared" si="2"/>
        <v>VAZIO</v>
      </c>
      <c r="BP16" s="70">
        <f t="shared" si="3"/>
        <v>0.16809051724137936</v>
      </c>
      <c r="BQ16" s="180">
        <f>'FCs estimados em PVsyst'!Y14</f>
        <v>0.16425000000000001</v>
      </c>
      <c r="BR16" s="72">
        <f t="shared" si="10"/>
        <v>16.425000000000001</v>
      </c>
      <c r="BS16" s="73">
        <f t="shared" si="11"/>
        <v>3.0166666666666675E-2</v>
      </c>
      <c r="BT16" s="74">
        <f t="shared" si="6"/>
        <v>3.8405172413793487E-3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346.5</v>
      </c>
      <c r="E17" s="63">
        <v>405.8</v>
      </c>
      <c r="F17" s="82">
        <v>440.5</v>
      </c>
      <c r="G17" s="283">
        <v>383.9</v>
      </c>
      <c r="H17" s="63">
        <v>414.9</v>
      </c>
      <c r="I17" s="82">
        <v>468.7</v>
      </c>
      <c r="J17" s="82">
        <v>493.9</v>
      </c>
      <c r="K17" s="63">
        <v>436</v>
      </c>
      <c r="L17" s="63">
        <v>453.5</v>
      </c>
      <c r="M17" s="63">
        <v>387.2</v>
      </c>
      <c r="N17" s="63">
        <v>451.7</v>
      </c>
      <c r="O17" s="63">
        <v>531.4</v>
      </c>
      <c r="P17" s="283">
        <v>433.7</v>
      </c>
      <c r="Q17" s="283">
        <v>404.4</v>
      </c>
      <c r="R17" s="63">
        <v>132.30000000000001</v>
      </c>
      <c r="S17" s="63">
        <v>525.4</v>
      </c>
      <c r="T17" s="63">
        <v>513.5</v>
      </c>
      <c r="U17" s="63">
        <v>360.9</v>
      </c>
      <c r="V17" s="63">
        <v>399.7</v>
      </c>
      <c r="W17" s="283">
        <v>168.3</v>
      </c>
      <c r="X17" s="63">
        <v>257.2</v>
      </c>
      <c r="Y17" s="63">
        <v>152</v>
      </c>
      <c r="Z17" s="15">
        <v>274</v>
      </c>
      <c r="AA17" s="18">
        <v>421.1</v>
      </c>
      <c r="AB17" s="20">
        <v>304</v>
      </c>
      <c r="AC17" s="15">
        <v>391.8</v>
      </c>
      <c r="AD17" s="283">
        <v>479.1</v>
      </c>
      <c r="AE17" s="15">
        <v>417.1</v>
      </c>
      <c r="AF17" s="15">
        <v>407.6</v>
      </c>
      <c r="AG17" s="15"/>
      <c r="AH17" s="64"/>
      <c r="AI17" s="290">
        <f t="shared" si="7"/>
        <v>11256.099999999999</v>
      </c>
      <c r="AJ17" s="118">
        <v>100</v>
      </c>
      <c r="AK17" s="122">
        <f t="shared" si="9"/>
        <v>1.019675925925926E-2</v>
      </c>
      <c r="AL17" s="67">
        <f t="shared" si="1"/>
        <v>0.144375</v>
      </c>
      <c r="AM17" s="68">
        <f t="shared" si="1"/>
        <v>0.16908333333333334</v>
      </c>
      <c r="AN17" s="68">
        <f t="shared" si="1"/>
        <v>0.18354166666666666</v>
      </c>
      <c r="AO17" s="68">
        <f t="shared" si="1"/>
        <v>0.15995833333333331</v>
      </c>
      <c r="AP17" s="68">
        <f t="shared" si="1"/>
        <v>0.172875</v>
      </c>
      <c r="AQ17" s="68">
        <f t="shared" si="1"/>
        <v>0.19529166666666667</v>
      </c>
      <c r="AR17" s="68">
        <f t="shared" si="1"/>
        <v>0.20579166666666665</v>
      </c>
      <c r="AS17" s="68">
        <f t="shared" si="1"/>
        <v>0.18166666666666667</v>
      </c>
      <c r="AT17" s="68">
        <f t="shared" si="1"/>
        <v>0.18895833333333334</v>
      </c>
      <c r="AU17" s="68">
        <f t="shared" si="1"/>
        <v>0.16133333333333333</v>
      </c>
      <c r="AV17" s="68">
        <f t="shared" si="1"/>
        <v>0.18820833333333334</v>
      </c>
      <c r="AW17" s="68">
        <f t="shared" si="1"/>
        <v>0.22141666666666665</v>
      </c>
      <c r="AX17" s="68">
        <f t="shared" si="1"/>
        <v>0.18070833333333333</v>
      </c>
      <c r="AY17" s="68">
        <f t="shared" si="1"/>
        <v>0.16849999999999998</v>
      </c>
      <c r="AZ17" s="68">
        <f t="shared" si="1"/>
        <v>5.5125000000000007E-2</v>
      </c>
      <c r="BA17" s="68">
        <f t="shared" si="1"/>
        <v>0.21891666666666665</v>
      </c>
      <c r="BB17" s="68">
        <f t="shared" ref="BB17:BJ31" si="12">IF(OR(T17="",T17="Sem monitoramento"),"VAZIO",IFERROR(T17/($AJ17*24),"-"))</f>
        <v>0.21395833333333333</v>
      </c>
      <c r="BC17" s="68">
        <f t="shared" si="2"/>
        <v>0.15037499999999998</v>
      </c>
      <c r="BD17" s="68">
        <f t="shared" si="2"/>
        <v>0.16654166666666667</v>
      </c>
      <c r="BE17" s="68">
        <f t="shared" si="2"/>
        <v>7.0125000000000007E-2</v>
      </c>
      <c r="BF17" s="68">
        <f t="shared" si="2"/>
        <v>0.10716666666666666</v>
      </c>
      <c r="BG17" s="68">
        <f t="shared" si="2"/>
        <v>6.3333333333333339E-2</v>
      </c>
      <c r="BH17" s="68">
        <f t="shared" si="2"/>
        <v>0.11416666666666667</v>
      </c>
      <c r="BI17" s="68">
        <f t="shared" si="2"/>
        <v>0.17545833333333336</v>
      </c>
      <c r="BJ17" s="68">
        <f t="shared" si="2"/>
        <v>0.12666666666666668</v>
      </c>
      <c r="BK17" s="68">
        <f t="shared" si="8"/>
        <v>0.16325000000000001</v>
      </c>
      <c r="BL17" s="68">
        <f t="shared" si="2"/>
        <v>0.199625</v>
      </c>
      <c r="BM17" s="68">
        <f t="shared" si="2"/>
        <v>0.17379166666666668</v>
      </c>
      <c r="BN17" s="68">
        <f t="shared" si="2"/>
        <v>0.16983333333333334</v>
      </c>
      <c r="BO17" s="68" t="str">
        <f t="shared" si="2"/>
        <v>VAZIO</v>
      </c>
      <c r="BP17" s="70">
        <f t="shared" si="3"/>
        <v>0.16172557471264365</v>
      </c>
      <c r="BQ17" s="198">
        <f>$BQ$19</f>
        <v>0.168125</v>
      </c>
      <c r="BR17" s="90">
        <f t="shared" si="10"/>
        <v>16.8125</v>
      </c>
      <c r="BS17" s="73">
        <f t="shared" si="11"/>
        <v>1.5416666666666662E-2</v>
      </c>
      <c r="BT17" s="74">
        <f t="shared" si="6"/>
        <v>-6.3994252873563473E-3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391.2</v>
      </c>
      <c r="E18" s="63">
        <v>461.2</v>
      </c>
      <c r="F18" s="308">
        <v>488.8</v>
      </c>
      <c r="G18" s="283">
        <v>433.6</v>
      </c>
      <c r="H18" s="63">
        <v>456.9</v>
      </c>
      <c r="I18" s="63">
        <v>528.79999999999995</v>
      </c>
      <c r="J18" s="63">
        <v>536.6</v>
      </c>
      <c r="K18" s="63">
        <v>458.8</v>
      </c>
      <c r="L18" s="63">
        <v>487.2</v>
      </c>
      <c r="M18" s="316">
        <v>415.3</v>
      </c>
      <c r="N18" s="63">
        <v>507.3</v>
      </c>
      <c r="O18" s="63">
        <v>588.4</v>
      </c>
      <c r="P18" s="63">
        <v>469.7</v>
      </c>
      <c r="Q18" s="283">
        <v>435.4</v>
      </c>
      <c r="R18" s="63">
        <v>153.4</v>
      </c>
      <c r="S18" s="63">
        <v>577.29999999999995</v>
      </c>
      <c r="T18" s="63">
        <v>567.1</v>
      </c>
      <c r="U18" s="282">
        <v>151</v>
      </c>
      <c r="V18" s="282">
        <v>0</v>
      </c>
      <c r="W18" s="283">
        <v>191.8</v>
      </c>
      <c r="X18" s="63">
        <v>292.89999999999998</v>
      </c>
      <c r="Y18" s="63">
        <v>175.6</v>
      </c>
      <c r="Z18" s="15">
        <v>318.3</v>
      </c>
      <c r="AA18" s="18">
        <v>469.4</v>
      </c>
      <c r="AB18" s="20">
        <v>336.8</v>
      </c>
      <c r="AC18" s="15">
        <v>436.2</v>
      </c>
      <c r="AD18" s="283">
        <v>553</v>
      </c>
      <c r="AE18" s="15">
        <v>485.8</v>
      </c>
      <c r="AF18" s="15">
        <v>460.1</v>
      </c>
      <c r="AG18" s="15"/>
      <c r="AH18" s="64"/>
      <c r="AI18" s="290">
        <f t="shared" si="7"/>
        <v>11827.899999999998</v>
      </c>
      <c r="AJ18" s="118">
        <v>100</v>
      </c>
      <c r="AK18" s="122">
        <f t="shared" si="9"/>
        <v>1.1314814814814816E-2</v>
      </c>
      <c r="AL18" s="67">
        <f t="shared" si="1"/>
        <v>0.16300000000000001</v>
      </c>
      <c r="AM18" s="68">
        <f t="shared" si="1"/>
        <v>0.19216666666666665</v>
      </c>
      <c r="AN18" s="68">
        <f t="shared" si="1"/>
        <v>0.20366666666666666</v>
      </c>
      <c r="AO18" s="68">
        <f t="shared" si="1"/>
        <v>0.18066666666666667</v>
      </c>
      <c r="AP18" s="68">
        <f t="shared" si="1"/>
        <v>0.19037499999999999</v>
      </c>
      <c r="AQ18" s="68">
        <f t="shared" si="1"/>
        <v>0.22033333333333333</v>
      </c>
      <c r="AR18" s="68">
        <f t="shared" si="1"/>
        <v>0.22358333333333336</v>
      </c>
      <c r="AS18" s="68">
        <f t="shared" si="1"/>
        <v>0.19116666666666668</v>
      </c>
      <c r="AT18" s="68">
        <f t="shared" si="1"/>
        <v>0.20299999999999999</v>
      </c>
      <c r="AU18" s="68">
        <f>IF(OR(M21="",M21="Sem monitoramento"),"VAZIO",IFERROR(M21/($AJ18*24),"-"))</f>
        <v>7.5749999999999998E-2</v>
      </c>
      <c r="AV18" s="68">
        <f t="shared" si="1"/>
        <v>0.21137500000000001</v>
      </c>
      <c r="AW18" s="68">
        <f t="shared" si="1"/>
        <v>0.24516666666666664</v>
      </c>
      <c r="AX18" s="68">
        <f t="shared" si="1"/>
        <v>0.19570833333333332</v>
      </c>
      <c r="AY18" s="68">
        <f t="shared" si="1"/>
        <v>0.18141666666666667</v>
      </c>
      <c r="AZ18" s="68">
        <f t="shared" si="1"/>
        <v>6.3916666666666663E-2</v>
      </c>
      <c r="BA18" s="68">
        <f t="shared" si="1"/>
        <v>0.24054166666666665</v>
      </c>
      <c r="BB18" s="68">
        <f t="shared" si="12"/>
        <v>0.23629166666666668</v>
      </c>
      <c r="BC18" s="68">
        <f t="shared" si="2"/>
        <v>6.2916666666666662E-2</v>
      </c>
      <c r="BD18" s="68">
        <f t="shared" si="2"/>
        <v>0</v>
      </c>
      <c r="BE18" s="68">
        <f t="shared" si="2"/>
        <v>7.9916666666666678E-2</v>
      </c>
      <c r="BF18" s="68">
        <f t="shared" si="2"/>
        <v>0.12204166666666666</v>
      </c>
      <c r="BG18" s="68">
        <f t="shared" si="2"/>
        <v>7.3166666666666658E-2</v>
      </c>
      <c r="BH18" s="68">
        <f>IF(OR(Z18="",Z18="Sem monitoramento"),"VAZIO",IFERROR(Z18/($AJ18*24),"-"))</f>
        <v>0.13262499999999999</v>
      </c>
      <c r="BI18" s="68">
        <f t="shared" si="2"/>
        <v>0.19558333333333333</v>
      </c>
      <c r="BJ18" s="68">
        <f t="shared" si="2"/>
        <v>0.14033333333333334</v>
      </c>
      <c r="BK18" s="68">
        <f t="shared" si="8"/>
        <v>0.18174999999999999</v>
      </c>
      <c r="BL18" s="68">
        <f t="shared" si="2"/>
        <v>0.23041666666666666</v>
      </c>
      <c r="BM18" s="68">
        <f t="shared" si="2"/>
        <v>0.20241666666666666</v>
      </c>
      <c r="BN18" s="68">
        <f t="shared" si="2"/>
        <v>0.19170833333333334</v>
      </c>
      <c r="BO18" s="68" t="str">
        <f t="shared" si="2"/>
        <v>VAZIO</v>
      </c>
      <c r="BP18" s="70">
        <f t="shared" si="3"/>
        <v>0.16994109195402296</v>
      </c>
      <c r="BQ18" s="198">
        <f>$BQ$19</f>
        <v>0.168125</v>
      </c>
      <c r="BR18" s="90">
        <f t="shared" si="10"/>
        <v>16.8125</v>
      </c>
      <c r="BS18" s="73">
        <f t="shared" si="11"/>
        <v>3.5541666666666666E-2</v>
      </c>
      <c r="BT18" s="74">
        <f t="shared" si="6"/>
        <v>1.8160919540229636E-3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304.3</v>
      </c>
      <c r="E19" s="63">
        <v>361</v>
      </c>
      <c r="F19" s="63">
        <v>388.1</v>
      </c>
      <c r="G19" s="63">
        <v>358</v>
      </c>
      <c r="H19" s="63">
        <v>357.6</v>
      </c>
      <c r="I19" s="63">
        <v>409.4</v>
      </c>
      <c r="J19" s="283">
        <v>427.8</v>
      </c>
      <c r="K19" s="63">
        <v>378.6</v>
      </c>
      <c r="L19" s="63">
        <v>450.1</v>
      </c>
      <c r="M19" s="63">
        <v>395.6</v>
      </c>
      <c r="N19" s="63">
        <v>341.8</v>
      </c>
      <c r="O19" s="63">
        <v>451.5</v>
      </c>
      <c r="P19" s="63">
        <v>379.1</v>
      </c>
      <c r="Q19" s="283">
        <v>339.4</v>
      </c>
      <c r="R19" s="63">
        <v>111</v>
      </c>
      <c r="S19" s="63">
        <v>447.4</v>
      </c>
      <c r="T19" s="63">
        <v>446.5</v>
      </c>
      <c r="U19" s="63">
        <v>339.8</v>
      </c>
      <c r="V19" s="283">
        <v>342.6</v>
      </c>
      <c r="W19" s="283">
        <v>153.30000000000001</v>
      </c>
      <c r="X19" s="316">
        <v>242.7</v>
      </c>
      <c r="Y19" s="316">
        <v>157.9</v>
      </c>
      <c r="Z19" s="15">
        <v>271</v>
      </c>
      <c r="AA19" s="18">
        <v>432</v>
      </c>
      <c r="AB19" s="20">
        <v>325.60000000000002</v>
      </c>
      <c r="AC19" s="15">
        <v>412</v>
      </c>
      <c r="AD19" s="283">
        <v>478.7</v>
      </c>
      <c r="AE19" s="221">
        <v>411.8</v>
      </c>
      <c r="AF19" s="15">
        <v>394.5</v>
      </c>
      <c r="AG19" s="15"/>
      <c r="AH19" s="64"/>
      <c r="AI19" s="290">
        <f t="shared" si="7"/>
        <v>10309.1</v>
      </c>
      <c r="AJ19" s="118">
        <v>80</v>
      </c>
      <c r="AK19" s="121">
        <f t="shared" si="9"/>
        <v>1.1229745370370371E-2</v>
      </c>
      <c r="AL19" s="67">
        <f t="shared" si="1"/>
        <v>0.15848958333333335</v>
      </c>
      <c r="AM19" s="68">
        <f t="shared" si="1"/>
        <v>0.18802083333333333</v>
      </c>
      <c r="AN19" s="68">
        <f t="shared" si="1"/>
        <v>0.20213541666666668</v>
      </c>
      <c r="AO19" s="68">
        <f t="shared" si="1"/>
        <v>0.18645833333333334</v>
      </c>
      <c r="AP19" s="68">
        <f t="shared" si="1"/>
        <v>0.18625</v>
      </c>
      <c r="AQ19" s="68">
        <f>IF(OR(I19="",I19="Sem monitoramento"),"VAZIO",IFERROR(I19/($AJ19*24),"-"))</f>
        <v>0.21322916666666666</v>
      </c>
      <c r="AR19" s="68">
        <f t="shared" si="1"/>
        <v>0.2228125</v>
      </c>
      <c r="AS19" s="68">
        <f t="shared" si="1"/>
        <v>0.19718750000000002</v>
      </c>
      <c r="AT19" s="68">
        <f>IF(OR(L21="",L21="Sem monitoramento"),"VAZIO",IFERROR(L21/($AJ19*24),"-"))</f>
        <v>9.8854166666666674E-2</v>
      </c>
      <c r="AU19" s="68">
        <f t="shared" si="1"/>
        <v>0.20604166666666668</v>
      </c>
      <c r="AV19" s="68">
        <f t="shared" si="1"/>
        <v>0.17802083333333335</v>
      </c>
      <c r="AW19" s="68">
        <f t="shared" si="1"/>
        <v>0.23515625000000001</v>
      </c>
      <c r="AX19" s="68">
        <f t="shared" si="1"/>
        <v>0.19744791666666667</v>
      </c>
      <c r="AY19" s="68">
        <f t="shared" si="1"/>
        <v>0.17677083333333332</v>
      </c>
      <c r="AZ19" s="68">
        <f t="shared" si="1"/>
        <v>5.7812500000000003E-2</v>
      </c>
      <c r="BA19" s="68">
        <f t="shared" si="1"/>
        <v>0.23302083333333332</v>
      </c>
      <c r="BB19" s="68">
        <f t="shared" si="12"/>
        <v>0.23255208333333333</v>
      </c>
      <c r="BC19" s="68">
        <f t="shared" si="2"/>
        <v>0.17697916666666666</v>
      </c>
      <c r="BD19" s="68">
        <f t="shared" si="2"/>
        <v>0.1784375</v>
      </c>
      <c r="BE19" s="68">
        <f t="shared" si="2"/>
        <v>7.9843750000000005E-2</v>
      </c>
      <c r="BF19" s="68">
        <f>IF(OR(X21="",X21="Sem monitoramento"),"VAZIO",IFERROR(X21/($AJ19*24),"-"))</f>
        <v>4.1145833333333333E-2</v>
      </c>
      <c r="BG19" s="68">
        <f>IF(OR(Y17="",Y17="Sem monitoramento"),"VAZIO",IFERROR(Y17/($AJ19*24),"-"))</f>
        <v>7.9166666666666663E-2</v>
      </c>
      <c r="BH19" s="68">
        <f>IF(OR(Z19="",Z19="Sem monitoramento"),"VAZIO",IFERROR(Z19/($AJ19*24),"-"))</f>
        <v>0.14114583333333333</v>
      </c>
      <c r="BI19" s="68">
        <f t="shared" si="2"/>
        <v>0.22500000000000001</v>
      </c>
      <c r="BJ19" s="68">
        <f t="shared" si="2"/>
        <v>0.16958333333333334</v>
      </c>
      <c r="BK19" s="68">
        <f t="shared" si="8"/>
        <v>0.21458333333333332</v>
      </c>
      <c r="BL19" s="68">
        <f t="shared" si="2"/>
        <v>0.24932291666666667</v>
      </c>
      <c r="BM19" s="68">
        <f t="shared" si="2"/>
        <v>0.21447916666666667</v>
      </c>
      <c r="BN19" s="68">
        <f t="shared" si="2"/>
        <v>0.20546875000000001</v>
      </c>
      <c r="BO19" s="68" t="str">
        <f t="shared" si="2"/>
        <v>VAZIO</v>
      </c>
      <c r="BP19" s="70">
        <f t="shared" si="3"/>
        <v>0.18514906609195403</v>
      </c>
      <c r="BQ19" s="180">
        <f>'FCs estimados em PVsyst'!Y17</f>
        <v>0.168125</v>
      </c>
      <c r="BR19" s="72">
        <f t="shared" si="10"/>
        <v>13.45</v>
      </c>
      <c r="BS19" s="73">
        <f t="shared" si="11"/>
        <v>3.4010416666666682E-2</v>
      </c>
      <c r="BT19" s="74">
        <f t="shared" si="6"/>
        <v>1.7024066091954032E-2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62">
        <v>387.9</v>
      </c>
      <c r="E20" s="63">
        <v>459.2</v>
      </c>
      <c r="F20" s="63">
        <v>490.5</v>
      </c>
      <c r="G20" s="63">
        <v>456.7</v>
      </c>
      <c r="H20" s="63">
        <v>458.9</v>
      </c>
      <c r="I20" s="63">
        <v>545.9</v>
      </c>
      <c r="J20" s="283">
        <v>559.20000000000005</v>
      </c>
      <c r="K20" s="63">
        <v>480.5</v>
      </c>
      <c r="L20" s="63">
        <v>557.20000000000005</v>
      </c>
      <c r="M20" s="63">
        <v>498.8</v>
      </c>
      <c r="N20" s="316">
        <v>413.1</v>
      </c>
      <c r="O20" s="63">
        <v>573.5</v>
      </c>
      <c r="P20" s="63">
        <v>507.7</v>
      </c>
      <c r="Q20" s="283">
        <v>463</v>
      </c>
      <c r="R20" s="63">
        <v>145.19999999999999</v>
      </c>
      <c r="S20" s="63">
        <v>563.9</v>
      </c>
      <c r="T20" s="283">
        <v>584.70000000000005</v>
      </c>
      <c r="U20" s="63">
        <v>441.5</v>
      </c>
      <c r="V20" s="283">
        <v>439.6</v>
      </c>
      <c r="W20" s="283">
        <v>192.4</v>
      </c>
      <c r="X20" s="283">
        <v>294.5</v>
      </c>
      <c r="Y20" s="63">
        <v>203.5</v>
      </c>
      <c r="Z20" s="15">
        <v>351.4</v>
      </c>
      <c r="AA20" s="18">
        <v>540.4</v>
      </c>
      <c r="AB20" s="20">
        <v>443.6</v>
      </c>
      <c r="AC20" s="15">
        <v>519.9</v>
      </c>
      <c r="AD20" s="283">
        <v>578.1</v>
      </c>
      <c r="AE20" s="221">
        <v>548.6</v>
      </c>
      <c r="AF20" s="15">
        <v>528.79999999999995</v>
      </c>
      <c r="AG20" s="15"/>
      <c r="AH20" s="64"/>
      <c r="AI20" s="290">
        <f>SUM(D20:AH20)</f>
        <v>13228.199999999999</v>
      </c>
      <c r="AJ20" s="118">
        <v>100</v>
      </c>
      <c r="AK20" s="121">
        <f t="shared" si="9"/>
        <v>1.1354166666666667E-2</v>
      </c>
      <c r="AL20" s="67">
        <f t="shared" si="1"/>
        <v>0.16162499999999999</v>
      </c>
      <c r="AM20" s="68">
        <f t="shared" si="1"/>
        <v>0.19133333333333333</v>
      </c>
      <c r="AN20" s="68">
        <f t="shared" si="1"/>
        <v>0.204375</v>
      </c>
      <c r="AO20" s="68">
        <f t="shared" si="1"/>
        <v>0.19029166666666666</v>
      </c>
      <c r="AP20" s="68">
        <f t="shared" si="1"/>
        <v>0.19120833333333331</v>
      </c>
      <c r="AQ20" s="68">
        <f>IF(OR(I20="",I20="Sem monitoramento"),"VAZIO",IFERROR(I20/($AJ20*24),"-"))</f>
        <v>0.22745833333333332</v>
      </c>
      <c r="AR20" s="68">
        <f t="shared" si="1"/>
        <v>0.23300000000000001</v>
      </c>
      <c r="AS20" s="68">
        <f t="shared" si="1"/>
        <v>0.20020833333333332</v>
      </c>
      <c r="AT20" s="68">
        <f t="shared" si="1"/>
        <v>0.23216666666666669</v>
      </c>
      <c r="AU20" s="68">
        <f t="shared" si="1"/>
        <v>0.20783333333333334</v>
      </c>
      <c r="AV20" s="68">
        <f>IF(OR(N21="",N21="Sem monitoramento"),"VAZIO",IFERROR(N21/($AJ20*24),"-"))</f>
        <v>6.5250000000000002E-2</v>
      </c>
      <c r="AW20" s="68">
        <f t="shared" si="1"/>
        <v>0.23895833333333333</v>
      </c>
      <c r="AX20" s="68">
        <f t="shared" si="1"/>
        <v>0.21154166666666666</v>
      </c>
      <c r="AY20" s="68">
        <f t="shared" si="1"/>
        <v>0.19291666666666665</v>
      </c>
      <c r="AZ20" s="68">
        <f t="shared" si="1"/>
        <v>6.0499999999999998E-2</v>
      </c>
      <c r="BA20" s="68">
        <f>IF(OR(S21="",S21="Sem monitoramento"),"VAZIO",IFERROR(S21/($AJ20*24),"-"))</f>
        <v>9.6083333333333326E-2</v>
      </c>
      <c r="BB20" s="68">
        <f t="shared" si="12"/>
        <v>0.24362500000000001</v>
      </c>
      <c r="BC20" s="68">
        <f t="shared" si="2"/>
        <v>0.18395833333333333</v>
      </c>
      <c r="BD20" s="68">
        <f t="shared" si="2"/>
        <v>0.18316666666666667</v>
      </c>
      <c r="BE20" s="68">
        <f t="shared" si="2"/>
        <v>8.0166666666666664E-2</v>
      </c>
      <c r="BF20" s="68">
        <f>IF(OR(X22="",X22="Sem monitoramento"),"VAZIO",IFERROR(X22/($AJ20*24),"-"))</f>
        <v>0.17762500000000001</v>
      </c>
      <c r="BG20" s="68">
        <f>IF(OR(Y18="",Y18="Sem monitoramento"),"VAZIO",IFERROR(Y18/($AJ20*24),"-"))</f>
        <v>7.3166666666666658E-2</v>
      </c>
      <c r="BH20" s="68">
        <f t="shared" si="2"/>
        <v>0.14641666666666667</v>
      </c>
      <c r="BI20" s="68">
        <f t="shared" si="2"/>
        <v>0.22516666666666665</v>
      </c>
      <c r="BJ20" s="68">
        <f t="shared" si="2"/>
        <v>0.18483333333333335</v>
      </c>
      <c r="BK20" s="68">
        <f t="shared" si="8"/>
        <v>0.21662499999999998</v>
      </c>
      <c r="BL20" s="68">
        <f t="shared" si="2"/>
        <v>0.24087500000000001</v>
      </c>
      <c r="BM20" s="68">
        <f t="shared" si="2"/>
        <v>0.22858333333333333</v>
      </c>
      <c r="BN20" s="68">
        <f t="shared" si="2"/>
        <v>0.22033333333333333</v>
      </c>
      <c r="BO20" s="68" t="str">
        <f t="shared" si="2"/>
        <v>VAZIO</v>
      </c>
      <c r="BP20" s="70">
        <f t="shared" si="3"/>
        <v>0.19006034482758619</v>
      </c>
      <c r="BQ20" s="198">
        <f t="shared" ref="BQ20:BQ30" si="13">$BQ$19</f>
        <v>0.168125</v>
      </c>
      <c r="BR20" s="72">
        <f t="shared" si="10"/>
        <v>16.8125</v>
      </c>
      <c r="BS20" s="73">
        <f t="shared" si="11"/>
        <v>3.6250000000000004E-2</v>
      </c>
      <c r="BT20" s="74">
        <f t="shared" si="6"/>
        <v>2.193534482758619E-2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62">
        <v>151.80000000000001</v>
      </c>
      <c r="E21" s="63">
        <v>138.9</v>
      </c>
      <c r="F21" s="63">
        <v>240</v>
      </c>
      <c r="G21" s="63">
        <v>175</v>
      </c>
      <c r="H21" s="63">
        <v>154.4</v>
      </c>
      <c r="I21" s="63">
        <v>169.5</v>
      </c>
      <c r="J21" s="283">
        <v>203.8</v>
      </c>
      <c r="K21" s="63">
        <v>179.5</v>
      </c>
      <c r="L21" s="283">
        <v>189.8</v>
      </c>
      <c r="M21" s="63">
        <v>181.8</v>
      </c>
      <c r="N21" s="63">
        <v>156.6</v>
      </c>
      <c r="O21" s="63">
        <v>183.3</v>
      </c>
      <c r="P21" s="63">
        <v>183.1</v>
      </c>
      <c r="Q21" s="283">
        <v>180.9</v>
      </c>
      <c r="R21" s="63">
        <v>103.1</v>
      </c>
      <c r="S21" s="63">
        <v>230.6</v>
      </c>
      <c r="T21" s="282">
        <v>209.1</v>
      </c>
      <c r="U21" s="282">
        <v>268.7</v>
      </c>
      <c r="V21" s="282">
        <v>159</v>
      </c>
      <c r="W21" s="282">
        <v>96.1</v>
      </c>
      <c r="X21" s="282">
        <v>79</v>
      </c>
      <c r="Y21" s="283">
        <v>136.4</v>
      </c>
      <c r="Z21" s="354">
        <v>169.6</v>
      </c>
      <c r="AA21" s="321">
        <v>203.1</v>
      </c>
      <c r="AB21" s="366">
        <v>233.1</v>
      </c>
      <c r="AC21" s="354">
        <v>227.4</v>
      </c>
      <c r="AD21" s="282">
        <v>249.2</v>
      </c>
      <c r="AE21" s="354">
        <v>238.9</v>
      </c>
      <c r="AF21" s="354">
        <v>213.2</v>
      </c>
      <c r="AG21" s="354"/>
      <c r="AH21" s="390"/>
      <c r="AI21" s="290">
        <f t="shared" si="7"/>
        <v>5304.8999999999987</v>
      </c>
      <c r="AJ21" s="118">
        <v>100</v>
      </c>
      <c r="AK21" s="121">
        <f t="shared" si="9"/>
        <v>5.5555555555555558E-3</v>
      </c>
      <c r="AL21" s="67">
        <f t="shared" ref="AL21:AT31" si="14">IF(OR(D21="",D21="Sem monitoramento"),"VAZIO",IFERROR(D21/($AJ21*24),"-"))</f>
        <v>6.3250000000000001E-2</v>
      </c>
      <c r="AM21" s="68">
        <f t="shared" si="14"/>
        <v>5.7875000000000003E-2</v>
      </c>
      <c r="AN21" s="68">
        <f t="shared" si="14"/>
        <v>0.1</v>
      </c>
      <c r="AO21" s="68">
        <f t="shared" si="14"/>
        <v>7.2916666666666671E-2</v>
      </c>
      <c r="AP21" s="68">
        <f t="shared" si="14"/>
        <v>6.433333333333334E-2</v>
      </c>
      <c r="AQ21" s="68">
        <f t="shared" si="14"/>
        <v>7.0624999999999993E-2</v>
      </c>
      <c r="AR21" s="68">
        <f t="shared" si="14"/>
        <v>8.4916666666666668E-2</v>
      </c>
      <c r="AS21" s="68">
        <f t="shared" si="14"/>
        <v>7.4791666666666673E-2</v>
      </c>
      <c r="AT21" s="68">
        <f t="shared" si="1"/>
        <v>7.9083333333333339E-2</v>
      </c>
      <c r="AU21" s="68">
        <f t="shared" si="1"/>
        <v>7.5749999999999998E-2</v>
      </c>
      <c r="AV21" s="68">
        <f>IF(OR(N22="",N22="Sem monitoramento"),"VAZIO",IFERROR(N22/($AJ21*24),"-"))</f>
        <v>0.23958333333333334</v>
      </c>
      <c r="AW21" s="68">
        <f t="shared" ref="AU21:BA31" si="15">IF(OR(O21="",O21="Sem monitoramento"),"VAZIO",IFERROR(O21/($AJ21*24),"-"))</f>
        <v>7.6374999999999998E-2</v>
      </c>
      <c r="AX21" s="68">
        <f t="shared" si="15"/>
        <v>7.629166666666666E-2</v>
      </c>
      <c r="AY21" s="68">
        <f t="shared" si="15"/>
        <v>7.5374999999999998E-2</v>
      </c>
      <c r="AZ21" s="68">
        <f t="shared" si="15"/>
        <v>4.2958333333333328E-2</v>
      </c>
      <c r="BA21" s="68">
        <f>IF(OR(S22="",S22="Sem monitoramento"),"VAZIO",IFERROR(S22/($AJ21*24),"-"))</f>
        <v>0.25624999999999998</v>
      </c>
      <c r="BB21" s="68">
        <f t="shared" si="12"/>
        <v>8.7124999999999994E-2</v>
      </c>
      <c r="BC21" s="68">
        <f t="shared" si="12"/>
        <v>0.11195833333333333</v>
      </c>
      <c r="BD21" s="68">
        <f t="shared" si="12"/>
        <v>6.6250000000000003E-2</v>
      </c>
      <c r="BE21" s="68">
        <f t="shared" si="12"/>
        <v>4.0041666666666663E-2</v>
      </c>
      <c r="BF21" s="68">
        <f>IF(OR(X23="",X23="Sem monitoramento"),"VAZIO",IFERROR(X23/($AJ21*24),"-"))</f>
        <v>0.14383333333333334</v>
      </c>
      <c r="BG21" s="68">
        <f t="shared" si="12"/>
        <v>5.6833333333333333E-2</v>
      </c>
      <c r="BH21" s="68">
        <f t="shared" si="12"/>
        <v>7.0666666666666669E-2</v>
      </c>
      <c r="BI21" s="68">
        <f t="shared" si="12"/>
        <v>8.4624999999999992E-2</v>
      </c>
      <c r="BJ21" s="68">
        <f>IF(OR(AB20="",AB20="Sem monitoramento"),"VAZIO",IFERROR(AB20/($AJ21*24),"-"))</f>
        <v>0.18483333333333335</v>
      </c>
      <c r="BK21" s="68">
        <f t="shared" si="8"/>
        <v>9.4750000000000001E-2</v>
      </c>
      <c r="BL21" s="68">
        <f t="shared" si="8"/>
        <v>0.10383333333333333</v>
      </c>
      <c r="BM21" s="68">
        <f t="shared" si="8"/>
        <v>9.9541666666666667E-2</v>
      </c>
      <c r="BN21" s="68">
        <f t="shared" si="8"/>
        <v>8.8833333333333334E-2</v>
      </c>
      <c r="BO21" s="68" t="str">
        <f t="shared" si="8"/>
        <v>VAZIO</v>
      </c>
      <c r="BP21" s="70">
        <f t="shared" si="3"/>
        <v>7.6219827586206879E-2</v>
      </c>
      <c r="BQ21" s="198">
        <f t="shared" si="13"/>
        <v>0.168125</v>
      </c>
      <c r="BR21" s="72">
        <f t="shared" si="10"/>
        <v>16.8125</v>
      </c>
      <c r="BS21" s="73">
        <f t="shared" si="11"/>
        <v>-6.8124999999999991E-2</v>
      </c>
      <c r="BT21" s="74">
        <f t="shared" si="6"/>
        <v>-9.1905172413793118E-2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62">
        <v>418.7</v>
      </c>
      <c r="E22" s="63">
        <v>397.8</v>
      </c>
      <c r="F22" s="63">
        <v>565.79999999999995</v>
      </c>
      <c r="G22" s="63">
        <v>448.7</v>
      </c>
      <c r="H22" s="63">
        <v>469.5</v>
      </c>
      <c r="I22" s="63">
        <v>598.79999999999995</v>
      </c>
      <c r="J22" s="63">
        <v>603</v>
      </c>
      <c r="K22" s="63">
        <v>557.79999999999995</v>
      </c>
      <c r="L22" s="63">
        <v>647.9</v>
      </c>
      <c r="M22" s="63">
        <v>597.4</v>
      </c>
      <c r="N22" s="63">
        <v>575</v>
      </c>
      <c r="O22" s="63">
        <v>642.4</v>
      </c>
      <c r="P22" s="63">
        <v>632.20000000000005</v>
      </c>
      <c r="Q22" s="283">
        <v>527.4</v>
      </c>
      <c r="R22" s="63">
        <v>164.7</v>
      </c>
      <c r="S22" s="63">
        <v>615</v>
      </c>
      <c r="T22" s="63">
        <v>596.4</v>
      </c>
      <c r="U22" s="63">
        <v>411.9</v>
      </c>
      <c r="V22" s="63">
        <v>463.1</v>
      </c>
      <c r="W22" s="283">
        <v>303.7</v>
      </c>
      <c r="X22" s="63">
        <v>426.3</v>
      </c>
      <c r="Y22" s="63">
        <v>245.8</v>
      </c>
      <c r="Z22" s="15">
        <v>363.5</v>
      </c>
      <c r="AA22" s="18">
        <v>596.70000000000005</v>
      </c>
      <c r="AB22" s="20">
        <v>534.79999999999995</v>
      </c>
      <c r="AC22" s="15">
        <v>547</v>
      </c>
      <c r="AD22" s="221">
        <v>475.2</v>
      </c>
      <c r="AE22" s="15">
        <v>573.6</v>
      </c>
      <c r="AF22" s="15">
        <v>592.1</v>
      </c>
      <c r="AG22" s="15"/>
      <c r="AH22" s="371"/>
      <c r="AI22" s="290">
        <f t="shared" si="7"/>
        <v>14592.199999999999</v>
      </c>
      <c r="AJ22" s="118">
        <v>100</v>
      </c>
      <c r="AK22" s="121">
        <f t="shared" si="9"/>
        <v>1.3097222222222222E-2</v>
      </c>
      <c r="AL22" s="67">
        <f t="shared" si="14"/>
        <v>0.17445833333333333</v>
      </c>
      <c r="AM22" s="68">
        <f t="shared" si="14"/>
        <v>0.16575000000000001</v>
      </c>
      <c r="AN22" s="68">
        <f t="shared" si="14"/>
        <v>0.23574999999999999</v>
      </c>
      <c r="AO22" s="68">
        <f t="shared" si="14"/>
        <v>0.18695833333333334</v>
      </c>
      <c r="AP22" s="68">
        <f t="shared" si="14"/>
        <v>0.19562499999999999</v>
      </c>
      <c r="AQ22" s="68">
        <f t="shared" si="14"/>
        <v>0.24949999999999997</v>
      </c>
      <c r="AR22" s="68">
        <f t="shared" si="14"/>
        <v>0.25124999999999997</v>
      </c>
      <c r="AS22" s="68">
        <f t="shared" si="14"/>
        <v>0.23241666666666666</v>
      </c>
      <c r="AT22" s="68">
        <f t="shared" si="14"/>
        <v>0.2699583333333333</v>
      </c>
      <c r="AU22" s="68">
        <f t="shared" si="15"/>
        <v>0.24891666666666665</v>
      </c>
      <c r="AV22" s="68">
        <f t="shared" si="15"/>
        <v>0.23958333333333334</v>
      </c>
      <c r="AW22" s="68">
        <f t="shared" si="15"/>
        <v>0.26766666666666666</v>
      </c>
      <c r="AX22" s="68">
        <f t="shared" si="15"/>
        <v>0.26341666666666669</v>
      </c>
      <c r="AY22" s="68">
        <f t="shared" si="15"/>
        <v>0.21975</v>
      </c>
      <c r="AZ22" s="68">
        <f t="shared" si="15"/>
        <v>6.8624999999999992E-2</v>
      </c>
      <c r="BA22" s="68">
        <f t="shared" si="15"/>
        <v>0.25624999999999998</v>
      </c>
      <c r="BB22" s="68">
        <f t="shared" si="12"/>
        <v>0.2485</v>
      </c>
      <c r="BC22" s="68">
        <f t="shared" si="12"/>
        <v>0.171625</v>
      </c>
      <c r="BD22" s="68">
        <f t="shared" si="12"/>
        <v>0.19295833333333334</v>
      </c>
      <c r="BE22" s="68">
        <f t="shared" si="12"/>
        <v>0.12654166666666666</v>
      </c>
      <c r="BF22" s="68">
        <f t="shared" si="12"/>
        <v>0.17762500000000001</v>
      </c>
      <c r="BG22" s="68">
        <f t="shared" si="12"/>
        <v>0.10241666666666667</v>
      </c>
      <c r="BH22" s="68">
        <f t="shared" si="12"/>
        <v>0.15145833333333333</v>
      </c>
      <c r="BI22" s="68">
        <f t="shared" si="12"/>
        <v>0.24862500000000001</v>
      </c>
      <c r="BJ22" s="68">
        <f>IF(OR(AB21="",AB21="Sem monitoramento"),"VAZIO",IFERROR(AB21/($AJ22*24),"-"))</f>
        <v>9.7125000000000003E-2</v>
      </c>
      <c r="BK22" s="68">
        <f t="shared" si="8"/>
        <v>0.22791666666666666</v>
      </c>
      <c r="BL22" s="68">
        <f t="shared" si="8"/>
        <v>0.19799999999999998</v>
      </c>
      <c r="BM22" s="68">
        <f t="shared" si="8"/>
        <v>0.23900000000000002</v>
      </c>
      <c r="BN22" s="68">
        <f t="shared" si="8"/>
        <v>0.24670833333333334</v>
      </c>
      <c r="BO22" s="68" t="str">
        <f t="shared" si="8"/>
        <v>VAZIO</v>
      </c>
      <c r="BP22" s="70">
        <f t="shared" si="3"/>
        <v>0.20965804597701149</v>
      </c>
      <c r="BQ22" s="198">
        <f t="shared" si="13"/>
        <v>0.168125</v>
      </c>
      <c r="BR22" s="72">
        <f t="shared" si="10"/>
        <v>16.8125</v>
      </c>
      <c r="BS22" s="73">
        <f t="shared" si="11"/>
        <v>6.7624999999999991E-2</v>
      </c>
      <c r="BT22" s="74">
        <f t="shared" si="6"/>
        <v>4.153304597701149E-2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352.5</v>
      </c>
      <c r="E23" s="63">
        <v>310.39999999999998</v>
      </c>
      <c r="F23" s="283">
        <v>468.4</v>
      </c>
      <c r="G23" s="63">
        <v>350.6</v>
      </c>
      <c r="H23" s="63">
        <v>408</v>
      </c>
      <c r="I23" s="63">
        <v>513.79999999999995</v>
      </c>
      <c r="J23" s="63">
        <v>510.1</v>
      </c>
      <c r="K23" s="63">
        <v>497.9</v>
      </c>
      <c r="L23" s="63">
        <v>565.4</v>
      </c>
      <c r="M23" s="63">
        <v>536.70000000000005</v>
      </c>
      <c r="N23" s="63">
        <v>498.5</v>
      </c>
      <c r="O23" s="316">
        <v>568.6</v>
      </c>
      <c r="P23" s="63">
        <v>536.9</v>
      </c>
      <c r="Q23" s="283">
        <v>441.1</v>
      </c>
      <c r="R23" s="63">
        <v>125.8</v>
      </c>
      <c r="S23" s="63">
        <v>518.1</v>
      </c>
      <c r="T23" s="63">
        <v>531.9</v>
      </c>
      <c r="U23" s="63">
        <v>350.1</v>
      </c>
      <c r="V23" s="63">
        <v>409.2</v>
      </c>
      <c r="W23" s="283">
        <v>242.3</v>
      </c>
      <c r="X23" s="63">
        <v>345.2</v>
      </c>
      <c r="Y23" s="63">
        <v>190.5</v>
      </c>
      <c r="Z23" s="15">
        <v>294.39999999999998</v>
      </c>
      <c r="AA23" s="18">
        <v>529.5</v>
      </c>
      <c r="AB23" s="20">
        <v>475.7</v>
      </c>
      <c r="AC23" s="15">
        <v>479.2</v>
      </c>
      <c r="AD23" s="15">
        <v>412.7</v>
      </c>
      <c r="AE23" s="15">
        <v>458</v>
      </c>
      <c r="AF23" s="15">
        <v>494.5</v>
      </c>
      <c r="AG23" s="15"/>
      <c r="AH23" s="371"/>
      <c r="AI23" s="290">
        <f t="shared" si="7"/>
        <v>12416.000000000004</v>
      </c>
      <c r="AJ23" s="118">
        <v>100</v>
      </c>
      <c r="AK23" s="121">
        <f t="shared" si="9"/>
        <v>1.0842592592592593E-2</v>
      </c>
      <c r="AL23" s="67">
        <f t="shared" si="14"/>
        <v>0.14687500000000001</v>
      </c>
      <c r="AM23" s="68">
        <f t="shared" si="14"/>
        <v>0.12933333333333333</v>
      </c>
      <c r="AN23" s="68">
        <f t="shared" si="14"/>
        <v>0.19516666666666665</v>
      </c>
      <c r="AO23" s="68">
        <f t="shared" si="14"/>
        <v>0.14608333333333334</v>
      </c>
      <c r="AP23" s="68">
        <f t="shared" si="14"/>
        <v>0.17</v>
      </c>
      <c r="AQ23" s="68">
        <f t="shared" si="14"/>
        <v>0.21408333333333332</v>
      </c>
      <c r="AR23" s="68">
        <f t="shared" si="14"/>
        <v>0.21254166666666668</v>
      </c>
      <c r="AS23" s="68">
        <f>IF(OR(K23="",K23="Sem monitoramento"),"VAZIO",IFERROR(K23/($AJ23*24),"-"))</f>
        <v>0.20745833333333333</v>
      </c>
      <c r="AT23" s="68">
        <f t="shared" si="14"/>
        <v>0.23558333333333331</v>
      </c>
      <c r="AU23" s="68">
        <f t="shared" si="15"/>
        <v>0.22362500000000002</v>
      </c>
      <c r="AV23" s="68">
        <f t="shared" si="15"/>
        <v>0.20770833333333333</v>
      </c>
      <c r="AW23" s="68">
        <f>IF(OR(O20="",O20="Sem monitoramento"),"VAZIO",IFERROR(O20/($AJ23*24),"-"))</f>
        <v>0.23895833333333333</v>
      </c>
      <c r="AX23" s="68">
        <f t="shared" si="15"/>
        <v>0.22370833333333331</v>
      </c>
      <c r="AY23" s="68">
        <f t="shared" si="15"/>
        <v>0.18379166666666669</v>
      </c>
      <c r="AZ23" s="68">
        <f t="shared" si="15"/>
        <v>5.2416666666666667E-2</v>
      </c>
      <c r="BA23" s="68">
        <f t="shared" si="15"/>
        <v>0.21587500000000001</v>
      </c>
      <c r="BB23" s="68">
        <f t="shared" si="12"/>
        <v>0.22162499999999999</v>
      </c>
      <c r="BC23" s="68">
        <f t="shared" si="12"/>
        <v>0.145875</v>
      </c>
      <c r="BD23" s="68">
        <f t="shared" si="12"/>
        <v>0.17049999999999998</v>
      </c>
      <c r="BE23" s="68">
        <f t="shared" si="12"/>
        <v>0.10095833333333334</v>
      </c>
      <c r="BF23" s="68">
        <f t="shared" si="12"/>
        <v>0.14383333333333334</v>
      </c>
      <c r="BG23" s="68">
        <f t="shared" si="12"/>
        <v>7.9375000000000001E-2</v>
      </c>
      <c r="BH23" s="68">
        <f t="shared" si="12"/>
        <v>0.12266666666666666</v>
      </c>
      <c r="BI23" s="68">
        <f t="shared" si="12"/>
        <v>0.22062499999999999</v>
      </c>
      <c r="BJ23" s="68">
        <f t="shared" si="12"/>
        <v>0.19820833333333332</v>
      </c>
      <c r="BK23" s="68">
        <f t="shared" si="8"/>
        <v>0.19966666666666666</v>
      </c>
      <c r="BL23" s="68">
        <f t="shared" si="8"/>
        <v>0.17195833333333332</v>
      </c>
      <c r="BM23" s="68">
        <f t="shared" si="8"/>
        <v>0.19083333333333333</v>
      </c>
      <c r="BN23" s="68">
        <f t="shared" si="8"/>
        <v>0.20604166666666668</v>
      </c>
      <c r="BO23" s="68" t="str">
        <f t="shared" si="8"/>
        <v>VAZIO</v>
      </c>
      <c r="BP23" s="70">
        <f t="shared" si="3"/>
        <v>0.17839080459770121</v>
      </c>
      <c r="BQ23" s="198">
        <f t="shared" si="13"/>
        <v>0.168125</v>
      </c>
      <c r="BR23" s="72">
        <f t="shared" si="10"/>
        <v>16.8125</v>
      </c>
      <c r="BS23" s="73">
        <f t="shared" si="11"/>
        <v>2.7041666666666658E-2</v>
      </c>
      <c r="BT23" s="74">
        <f t="shared" si="6"/>
        <v>1.0265804597701211E-2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1340</v>
      </c>
      <c r="E24" s="63">
        <v>1210</v>
      </c>
      <c r="F24" s="63">
        <v>1780</v>
      </c>
      <c r="G24" s="63">
        <v>1369.2</v>
      </c>
      <c r="H24" s="63">
        <v>1500.8</v>
      </c>
      <c r="I24" s="63">
        <v>1887.6</v>
      </c>
      <c r="J24" s="63">
        <v>1882.4</v>
      </c>
      <c r="K24" s="63">
        <v>1774.9</v>
      </c>
      <c r="L24" s="63">
        <v>2040</v>
      </c>
      <c r="M24" s="63">
        <v>1932.7</v>
      </c>
      <c r="N24" s="63">
        <v>1890</v>
      </c>
      <c r="O24" s="63">
        <v>2010</v>
      </c>
      <c r="P24" s="63">
        <v>1940</v>
      </c>
      <c r="Q24" s="283">
        <v>1646.5</v>
      </c>
      <c r="R24" s="63">
        <v>498.6</v>
      </c>
      <c r="S24" s="63">
        <v>2010</v>
      </c>
      <c r="T24" s="63">
        <v>1940</v>
      </c>
      <c r="U24" s="63">
        <v>1340</v>
      </c>
      <c r="V24" s="63">
        <v>1532</v>
      </c>
      <c r="W24" s="283">
        <v>946</v>
      </c>
      <c r="X24" s="63">
        <v>1343.3</v>
      </c>
      <c r="Y24" s="63">
        <v>751.2</v>
      </c>
      <c r="Z24" s="15">
        <v>1130</v>
      </c>
      <c r="AA24" s="18">
        <v>1870</v>
      </c>
      <c r="AB24" s="323">
        <v>1763.3</v>
      </c>
      <c r="AC24" s="221">
        <v>1761.6</v>
      </c>
      <c r="AD24" s="15">
        <v>1519.6</v>
      </c>
      <c r="AE24" s="15">
        <f>628.8+474.3+654.9</f>
        <v>1758</v>
      </c>
      <c r="AF24" s="15">
        <f>641.3+505.9+675.4</f>
        <v>1822.6</v>
      </c>
      <c r="AG24" s="15"/>
      <c r="AH24" s="371"/>
      <c r="AI24" s="290">
        <f t="shared" si="7"/>
        <v>46190.299999999996</v>
      </c>
      <c r="AJ24" s="118">
        <v>360</v>
      </c>
      <c r="AK24" s="121">
        <f t="shared" si="9"/>
        <v>1.1445473251028807E-2</v>
      </c>
      <c r="AL24" s="67">
        <f t="shared" si="14"/>
        <v>0.15509259259259259</v>
      </c>
      <c r="AM24" s="68">
        <f t="shared" si="14"/>
        <v>0.14004629629629631</v>
      </c>
      <c r="AN24" s="68">
        <f t="shared" si="14"/>
        <v>0.20601851851851852</v>
      </c>
      <c r="AO24" s="68">
        <f t="shared" si="14"/>
        <v>0.15847222222222224</v>
      </c>
      <c r="AP24" s="68">
        <f t="shared" si="14"/>
        <v>0.17370370370370369</v>
      </c>
      <c r="AQ24" s="68">
        <f t="shared" si="14"/>
        <v>0.21847222222222221</v>
      </c>
      <c r="AR24" s="68">
        <f t="shared" si="14"/>
        <v>0.21787037037037038</v>
      </c>
      <c r="AS24" s="68">
        <f>IF(OR(K24="",K24="Sem monitoramento"),"VAZIO",IFERROR(K24/($AJ24*24),"-"))</f>
        <v>0.20542824074074076</v>
      </c>
      <c r="AT24" s="68">
        <f t="shared" si="14"/>
        <v>0.2361111111111111</v>
      </c>
      <c r="AU24" s="68">
        <f t="shared" si="15"/>
        <v>0.22369212962962964</v>
      </c>
      <c r="AV24" s="68">
        <f t="shared" si="15"/>
        <v>0.21875</v>
      </c>
      <c r="AW24" s="68">
        <f t="shared" si="15"/>
        <v>0.2326388888888889</v>
      </c>
      <c r="AX24" s="68">
        <f t="shared" si="15"/>
        <v>0.22453703703703703</v>
      </c>
      <c r="AY24" s="68">
        <f t="shared" si="15"/>
        <v>0.19056712962962963</v>
      </c>
      <c r="AZ24" s="68">
        <f t="shared" si="15"/>
        <v>5.7708333333333334E-2</v>
      </c>
      <c r="BA24" s="68">
        <f t="shared" si="15"/>
        <v>0.2326388888888889</v>
      </c>
      <c r="BB24" s="68">
        <f t="shared" si="12"/>
        <v>0.22453703703703703</v>
      </c>
      <c r="BC24" s="68">
        <f t="shared" si="12"/>
        <v>0.15509259259259259</v>
      </c>
      <c r="BD24" s="68">
        <f t="shared" si="12"/>
        <v>0.17731481481481481</v>
      </c>
      <c r="BE24" s="68">
        <f t="shared" si="12"/>
        <v>0.10949074074074074</v>
      </c>
      <c r="BF24" s="68">
        <f t="shared" si="12"/>
        <v>0.15547453703703704</v>
      </c>
      <c r="BG24" s="68">
        <f t="shared" si="12"/>
        <v>8.6944444444444449E-2</v>
      </c>
      <c r="BH24" s="68">
        <f t="shared" si="12"/>
        <v>0.13078703703703703</v>
      </c>
      <c r="BI24" s="68">
        <f t="shared" si="12"/>
        <v>0.21643518518518517</v>
      </c>
      <c r="BJ24" s="68">
        <f t="shared" si="12"/>
        <v>0.20408564814814814</v>
      </c>
      <c r="BK24" s="68">
        <f t="shared" si="8"/>
        <v>0.20388888888888887</v>
      </c>
      <c r="BL24" s="68">
        <f t="shared" si="8"/>
        <v>0.17587962962962961</v>
      </c>
      <c r="BM24" s="68">
        <f t="shared" si="8"/>
        <v>0.20347222222222222</v>
      </c>
      <c r="BN24" s="68">
        <f t="shared" si="8"/>
        <v>0.21094907407407407</v>
      </c>
      <c r="BO24" s="68" t="str">
        <f t="shared" si="8"/>
        <v>VAZIO</v>
      </c>
      <c r="BP24" s="70">
        <f t="shared" si="3"/>
        <v>0.18434825989782885</v>
      </c>
      <c r="BQ24" s="198">
        <f t="shared" si="13"/>
        <v>0.168125</v>
      </c>
      <c r="BR24" s="72">
        <f>AJ24*BQ24</f>
        <v>60.524999999999999</v>
      </c>
      <c r="BS24" s="73">
        <f t="shared" si="11"/>
        <v>3.7893518518518521E-2</v>
      </c>
      <c r="BT24" s="74">
        <f t="shared" si="6"/>
        <v>1.6223259897828857E-2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521.20000000000005</v>
      </c>
      <c r="E25" s="63">
        <v>264.2</v>
      </c>
      <c r="F25" s="63">
        <v>493.4</v>
      </c>
      <c r="G25" s="63">
        <v>396.6</v>
      </c>
      <c r="H25" s="63">
        <v>537.20000000000005</v>
      </c>
      <c r="I25" s="63">
        <v>621.70000000000005</v>
      </c>
      <c r="J25" s="63">
        <v>574.1</v>
      </c>
      <c r="K25" s="63">
        <v>564.79999999999995</v>
      </c>
      <c r="L25" s="63">
        <v>597</v>
      </c>
      <c r="M25" s="63">
        <v>625.1</v>
      </c>
      <c r="N25" s="63">
        <v>581.20000000000005</v>
      </c>
      <c r="O25" s="63">
        <v>559.79999999999995</v>
      </c>
      <c r="P25" s="63">
        <v>541</v>
      </c>
      <c r="Q25" s="283">
        <v>376.1</v>
      </c>
      <c r="R25" s="63">
        <v>119.7</v>
      </c>
      <c r="S25" s="63">
        <v>601.1</v>
      </c>
      <c r="T25" s="63">
        <v>539.6</v>
      </c>
      <c r="U25" s="63">
        <v>436.4</v>
      </c>
      <c r="V25" s="283">
        <v>339.5</v>
      </c>
      <c r="W25" s="283">
        <v>272.5</v>
      </c>
      <c r="X25" s="63">
        <v>371.3</v>
      </c>
      <c r="Y25" s="63">
        <v>253</v>
      </c>
      <c r="Z25" s="221">
        <v>455.2</v>
      </c>
      <c r="AA25" s="18">
        <v>473.2</v>
      </c>
      <c r="AB25" s="20">
        <v>461.1</v>
      </c>
      <c r="AC25" s="15">
        <v>484.2</v>
      </c>
      <c r="AD25" s="15">
        <v>572.4</v>
      </c>
      <c r="AE25" s="15">
        <v>389.8</v>
      </c>
      <c r="AF25" s="15">
        <v>448.9</v>
      </c>
      <c r="AG25" s="15"/>
      <c r="AH25" s="371"/>
      <c r="AI25" s="290">
        <f t="shared" si="7"/>
        <v>13471.300000000001</v>
      </c>
      <c r="AJ25" s="118">
        <v>100</v>
      </c>
      <c r="AK25" s="121">
        <f t="shared" si="9"/>
        <v>1.1421296296296296E-2</v>
      </c>
      <c r="AL25" s="67">
        <f t="shared" si="14"/>
        <v>0.21716666666666667</v>
      </c>
      <c r="AM25" s="68">
        <f t="shared" si="14"/>
        <v>0.11008333333333332</v>
      </c>
      <c r="AN25" s="68">
        <f t="shared" si="14"/>
        <v>0.20558333333333331</v>
      </c>
      <c r="AO25" s="68">
        <f t="shared" si="14"/>
        <v>0.16525000000000001</v>
      </c>
      <c r="AP25" s="68">
        <f t="shared" si="14"/>
        <v>0.22383333333333336</v>
      </c>
      <c r="AQ25" s="68">
        <f t="shared" si="14"/>
        <v>0.25904166666666667</v>
      </c>
      <c r="AR25" s="68">
        <f t="shared" si="14"/>
        <v>0.23920833333333336</v>
      </c>
      <c r="AS25" s="68">
        <f t="shared" si="14"/>
        <v>0.23533333333333331</v>
      </c>
      <c r="AT25" s="68">
        <f t="shared" si="14"/>
        <v>0.24875</v>
      </c>
      <c r="AU25" s="68">
        <f t="shared" si="15"/>
        <v>0.26045833333333335</v>
      </c>
      <c r="AV25" s="68">
        <f t="shared" si="15"/>
        <v>0.2421666666666667</v>
      </c>
      <c r="AW25" s="68">
        <f t="shared" si="15"/>
        <v>0.23324999999999999</v>
      </c>
      <c r="AX25" s="68">
        <f t="shared" si="15"/>
        <v>0.22541666666666665</v>
      </c>
      <c r="AY25" s="68">
        <f t="shared" si="15"/>
        <v>0.15670833333333334</v>
      </c>
      <c r="AZ25" s="68">
        <f t="shared" si="15"/>
        <v>4.9875000000000003E-2</v>
      </c>
      <c r="BA25" s="68">
        <f t="shared" si="15"/>
        <v>0.25045833333333334</v>
      </c>
      <c r="BB25" s="68">
        <f t="shared" si="12"/>
        <v>0.22483333333333333</v>
      </c>
      <c r="BC25" s="68">
        <f t="shared" si="12"/>
        <v>0.18183333333333332</v>
      </c>
      <c r="BD25" s="68">
        <f t="shared" si="12"/>
        <v>0.14145833333333332</v>
      </c>
      <c r="BE25" s="68">
        <f t="shared" si="12"/>
        <v>0.11354166666666667</v>
      </c>
      <c r="BF25" s="68">
        <f t="shared" si="12"/>
        <v>0.15470833333333334</v>
      </c>
      <c r="BG25" s="68">
        <f t="shared" si="12"/>
        <v>0.10541666666666667</v>
      </c>
      <c r="BH25" s="68">
        <f t="shared" si="12"/>
        <v>0.18966666666666665</v>
      </c>
      <c r="BI25" s="68">
        <f t="shared" si="12"/>
        <v>0.19716666666666666</v>
      </c>
      <c r="BJ25" s="68">
        <f t="shared" si="12"/>
        <v>0.19212500000000002</v>
      </c>
      <c r="BK25" s="68">
        <f t="shared" si="8"/>
        <v>0.20174999999999998</v>
      </c>
      <c r="BL25" s="68">
        <f t="shared" si="8"/>
        <v>0.23849999999999999</v>
      </c>
      <c r="BM25" s="68">
        <f t="shared" si="8"/>
        <v>0.16241666666666668</v>
      </c>
      <c r="BN25" s="68">
        <f t="shared" si="8"/>
        <v>0.18704166666666666</v>
      </c>
      <c r="BO25" s="68" t="str">
        <f t="shared" si="8"/>
        <v>VAZIO</v>
      </c>
      <c r="BP25" s="70">
        <f t="shared" si="3"/>
        <v>0.19355316091954025</v>
      </c>
      <c r="BQ25" s="198">
        <f t="shared" si="13"/>
        <v>0.168125</v>
      </c>
      <c r="BR25" s="72">
        <f t="shared" si="10"/>
        <v>16.8125</v>
      </c>
      <c r="BS25" s="73">
        <f t="shared" si="11"/>
        <v>3.7458333333333316E-2</v>
      </c>
      <c r="BT25" s="74">
        <f t="shared" si="6"/>
        <v>2.5428160919540255E-2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438.9</v>
      </c>
      <c r="E26" s="63">
        <v>250.6</v>
      </c>
      <c r="F26" s="63">
        <v>478.9</v>
      </c>
      <c r="G26" s="63">
        <v>375.4</v>
      </c>
      <c r="H26" s="63">
        <v>423.8</v>
      </c>
      <c r="I26" s="283">
        <v>469.7</v>
      </c>
      <c r="J26" s="63">
        <v>395.3</v>
      </c>
      <c r="K26" s="63">
        <v>531.20000000000005</v>
      </c>
      <c r="L26" s="63">
        <v>565.9</v>
      </c>
      <c r="M26" s="63">
        <v>553.70000000000005</v>
      </c>
      <c r="N26" s="63">
        <v>451.6</v>
      </c>
      <c r="O26" s="63">
        <v>560</v>
      </c>
      <c r="P26" s="63">
        <v>547.70000000000005</v>
      </c>
      <c r="Q26" s="283">
        <v>0</v>
      </c>
      <c r="R26" s="63">
        <v>151.69999999999999</v>
      </c>
      <c r="S26" s="63">
        <v>390.7</v>
      </c>
      <c r="T26" s="63">
        <v>278.2</v>
      </c>
      <c r="U26" s="63">
        <v>301</v>
      </c>
      <c r="V26" s="283">
        <v>372.8</v>
      </c>
      <c r="W26" s="283">
        <v>231</v>
      </c>
      <c r="X26" s="63">
        <v>347.2</v>
      </c>
      <c r="Y26" s="63">
        <v>254.3</v>
      </c>
      <c r="Z26" s="63">
        <v>319.60000000000002</v>
      </c>
      <c r="AA26" s="320">
        <v>457.6</v>
      </c>
      <c r="AB26" s="20">
        <v>505.1</v>
      </c>
      <c r="AC26" s="15">
        <v>331.8</v>
      </c>
      <c r="AD26" s="221">
        <v>544.5</v>
      </c>
      <c r="AE26" s="15">
        <v>483.9</v>
      </c>
      <c r="AF26" s="283">
        <v>433.3</v>
      </c>
      <c r="AG26" s="354"/>
      <c r="AH26" s="371"/>
      <c r="AI26" s="290">
        <f t="shared" si="7"/>
        <v>11445.4</v>
      </c>
      <c r="AJ26" s="118">
        <v>100</v>
      </c>
      <c r="AK26" s="121">
        <f>F26/(AJ26*432)</f>
        <v>1.1085648148148148E-2</v>
      </c>
      <c r="AL26" s="67">
        <f t="shared" si="14"/>
        <v>0.18287499999999998</v>
      </c>
      <c r="AM26" s="68">
        <f t="shared" si="14"/>
        <v>0.10441666666666666</v>
      </c>
      <c r="AN26" s="68">
        <f t="shared" si="14"/>
        <v>0.19954166666666664</v>
      </c>
      <c r="AO26" s="68">
        <f t="shared" si="14"/>
        <v>0.15641666666666665</v>
      </c>
      <c r="AP26" s="68">
        <f t="shared" si="14"/>
        <v>0.17658333333333334</v>
      </c>
      <c r="AQ26" s="68">
        <f t="shared" si="14"/>
        <v>0.19570833333333332</v>
      </c>
      <c r="AR26" s="68">
        <f t="shared" si="14"/>
        <v>0.16470833333333335</v>
      </c>
      <c r="AS26" s="68">
        <f t="shared" si="14"/>
        <v>0.22133333333333335</v>
      </c>
      <c r="AT26" s="68">
        <f t="shared" si="14"/>
        <v>0.23579166666666665</v>
      </c>
      <c r="AU26" s="68">
        <f t="shared" si="15"/>
        <v>0.23070833333333335</v>
      </c>
      <c r="AV26" s="68">
        <f t="shared" si="15"/>
        <v>0.18816666666666668</v>
      </c>
      <c r="AW26" s="68">
        <f t="shared" si="15"/>
        <v>0.23333333333333334</v>
      </c>
      <c r="AX26" s="68">
        <f t="shared" si="15"/>
        <v>0.22820833333333335</v>
      </c>
      <c r="AY26" s="68">
        <f t="shared" si="15"/>
        <v>0</v>
      </c>
      <c r="AZ26" s="68">
        <f t="shared" si="15"/>
        <v>6.3208333333333325E-2</v>
      </c>
      <c r="BA26" s="68">
        <f t="shared" si="15"/>
        <v>0.16279166666666667</v>
      </c>
      <c r="BB26" s="68">
        <f t="shared" si="12"/>
        <v>0.11591666666666667</v>
      </c>
      <c r="BC26" s="68">
        <f t="shared" si="12"/>
        <v>0.12541666666666668</v>
      </c>
      <c r="BD26" s="68">
        <f t="shared" si="12"/>
        <v>0.15533333333333335</v>
      </c>
      <c r="BE26" s="68">
        <f t="shared" si="12"/>
        <v>9.6250000000000002E-2</v>
      </c>
      <c r="BF26" s="68">
        <f t="shared" si="12"/>
        <v>0.14466666666666667</v>
      </c>
      <c r="BG26" s="68">
        <f t="shared" si="12"/>
        <v>0.10595833333333333</v>
      </c>
      <c r="BH26" s="68">
        <f t="shared" si="12"/>
        <v>0.13316666666666668</v>
      </c>
      <c r="BI26" s="68">
        <f t="shared" si="12"/>
        <v>0.19066666666666668</v>
      </c>
      <c r="BJ26" s="68">
        <f t="shared" si="12"/>
        <v>0.21045833333333333</v>
      </c>
      <c r="BK26" s="68">
        <f t="shared" si="8"/>
        <v>0.13825000000000001</v>
      </c>
      <c r="BL26" s="68">
        <f t="shared" si="8"/>
        <v>0.22687499999999999</v>
      </c>
      <c r="BM26" s="68">
        <f t="shared" si="8"/>
        <v>0.201625</v>
      </c>
      <c r="BN26" s="68">
        <f t="shared" si="8"/>
        <v>0.18054166666666668</v>
      </c>
      <c r="BO26" s="68" t="str">
        <f t="shared" si="8"/>
        <v>VAZIO</v>
      </c>
      <c r="BP26" s="70">
        <f t="shared" si="3"/>
        <v>0.16444540229885057</v>
      </c>
      <c r="BQ26" s="198">
        <f t="shared" si="13"/>
        <v>0.168125</v>
      </c>
      <c r="BR26" s="72">
        <f t="shared" si="10"/>
        <v>16.8125</v>
      </c>
      <c r="BS26" s="73">
        <f t="shared" si="11"/>
        <v>3.1416666666666648E-2</v>
      </c>
      <c r="BT26" s="74">
        <f t="shared" si="6"/>
        <v>-3.679597701149423E-3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0</v>
      </c>
      <c r="E27" s="63">
        <v>185.1</v>
      </c>
      <c r="F27" s="63">
        <v>177.4</v>
      </c>
      <c r="G27" s="308">
        <v>351.6</v>
      </c>
      <c r="H27" s="63">
        <v>450.3</v>
      </c>
      <c r="I27" s="283">
        <v>444.9</v>
      </c>
      <c r="J27" s="282">
        <v>302.39999999999998</v>
      </c>
      <c r="K27" s="283">
        <v>505.9</v>
      </c>
      <c r="L27" s="63">
        <v>522</v>
      </c>
      <c r="M27" s="63">
        <v>488.5</v>
      </c>
      <c r="N27" s="63">
        <v>523.20000000000005</v>
      </c>
      <c r="O27" s="63">
        <v>448</v>
      </c>
      <c r="P27" s="63">
        <v>492</v>
      </c>
      <c r="Q27" s="283">
        <v>334</v>
      </c>
      <c r="R27" s="63">
        <v>83.2</v>
      </c>
      <c r="S27" s="63">
        <v>477.3</v>
      </c>
      <c r="T27" s="283">
        <v>485.5</v>
      </c>
      <c r="U27" s="283">
        <v>408.1</v>
      </c>
      <c r="V27" s="283">
        <v>309.60000000000002</v>
      </c>
      <c r="W27" s="283">
        <v>205.5</v>
      </c>
      <c r="X27" s="282">
        <v>0</v>
      </c>
      <c r="Y27" s="282">
        <v>0</v>
      </c>
      <c r="Z27" s="221">
        <v>225.5</v>
      </c>
      <c r="AA27" s="320">
        <v>421.3</v>
      </c>
      <c r="AB27" s="323">
        <v>440.9</v>
      </c>
      <c r="AC27" s="283">
        <v>445.4</v>
      </c>
      <c r="AD27" s="221">
        <v>468.1</v>
      </c>
      <c r="AE27" s="221">
        <v>360.6</v>
      </c>
      <c r="AF27" s="15">
        <v>415.2</v>
      </c>
      <c r="AG27" s="15"/>
      <c r="AH27" s="64"/>
      <c r="AI27" s="290">
        <f t="shared" si="7"/>
        <v>9971.5000000000018</v>
      </c>
      <c r="AJ27" s="118">
        <v>100</v>
      </c>
      <c r="AK27" s="121">
        <f>F27/(AJ27*432)</f>
        <v>4.1064814814814818E-3</v>
      </c>
      <c r="AL27" s="67">
        <f t="shared" si="14"/>
        <v>0</v>
      </c>
      <c r="AM27" s="68">
        <f t="shared" si="14"/>
        <v>7.7124999999999999E-2</v>
      </c>
      <c r="AN27" s="68">
        <f t="shared" si="14"/>
        <v>7.3916666666666672E-2</v>
      </c>
      <c r="AO27" s="68">
        <f t="shared" si="14"/>
        <v>0.14650000000000002</v>
      </c>
      <c r="AP27" s="68">
        <f t="shared" si="14"/>
        <v>0.18762500000000001</v>
      </c>
      <c r="AQ27" s="68">
        <f t="shared" si="14"/>
        <v>0.18537499999999998</v>
      </c>
      <c r="AR27" s="68">
        <f t="shared" si="14"/>
        <v>0.126</v>
      </c>
      <c r="AS27" s="68">
        <f t="shared" si="14"/>
        <v>0.21079166666666665</v>
      </c>
      <c r="AT27" s="68">
        <f t="shared" si="14"/>
        <v>0.2175</v>
      </c>
      <c r="AU27" s="68">
        <f t="shared" si="15"/>
        <v>0.20354166666666668</v>
      </c>
      <c r="AV27" s="68">
        <f t="shared" si="15"/>
        <v>0.21800000000000003</v>
      </c>
      <c r="AW27" s="68">
        <f t="shared" si="15"/>
        <v>0.18666666666666668</v>
      </c>
      <c r="AX27" s="68">
        <f t="shared" si="15"/>
        <v>0.20499999999999999</v>
      </c>
      <c r="AY27" s="68">
        <f t="shared" si="15"/>
        <v>0.13916666666666666</v>
      </c>
      <c r="AZ27" s="68">
        <f t="shared" si="15"/>
        <v>3.4666666666666665E-2</v>
      </c>
      <c r="BA27" s="68">
        <f t="shared" si="15"/>
        <v>0.198875</v>
      </c>
      <c r="BB27" s="68">
        <f t="shared" si="12"/>
        <v>0.20229166666666668</v>
      </c>
      <c r="BC27" s="68">
        <f t="shared" si="12"/>
        <v>0.17004166666666667</v>
      </c>
      <c r="BD27" s="68">
        <f t="shared" si="12"/>
        <v>0.129</v>
      </c>
      <c r="BE27" s="68">
        <f t="shared" si="12"/>
        <v>8.5625000000000007E-2</v>
      </c>
      <c r="BF27" s="68">
        <f t="shared" si="12"/>
        <v>0</v>
      </c>
      <c r="BG27" s="68">
        <f t="shared" si="12"/>
        <v>0</v>
      </c>
      <c r="BH27" s="68">
        <f t="shared" si="12"/>
        <v>9.3958333333333338E-2</v>
      </c>
      <c r="BI27" s="68">
        <f t="shared" si="12"/>
        <v>0.17554166666666668</v>
      </c>
      <c r="BJ27" s="68">
        <f t="shared" si="12"/>
        <v>0.18370833333333333</v>
      </c>
      <c r="BK27" s="68">
        <f t="shared" si="8"/>
        <v>0.18558333333333332</v>
      </c>
      <c r="BL27" s="68">
        <f t="shared" si="8"/>
        <v>0.19504166666666667</v>
      </c>
      <c r="BM27" s="68">
        <f t="shared" si="8"/>
        <v>0.15025000000000002</v>
      </c>
      <c r="BN27" s="68">
        <f t="shared" si="8"/>
        <v>0.17299999999999999</v>
      </c>
      <c r="BO27" s="68" t="str">
        <f t="shared" si="8"/>
        <v>VAZIO</v>
      </c>
      <c r="BP27" s="70">
        <f t="shared" si="3"/>
        <v>0.14326867816091957</v>
      </c>
      <c r="BQ27" s="198">
        <f t="shared" si="13"/>
        <v>0.168125</v>
      </c>
      <c r="BR27" s="72">
        <f t="shared" si="10"/>
        <v>16.8125</v>
      </c>
      <c r="BS27" s="73">
        <f t="shared" si="11"/>
        <v>-9.4208333333333324E-2</v>
      </c>
      <c r="BT27" s="74">
        <f t="shared" si="6"/>
        <v>-2.4856321839080431E-2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0</v>
      </c>
      <c r="E28" s="319">
        <v>175</v>
      </c>
      <c r="F28" s="63">
        <v>182</v>
      </c>
      <c r="G28" s="308">
        <v>356.8</v>
      </c>
      <c r="H28" s="63">
        <v>458</v>
      </c>
      <c r="I28" s="283">
        <v>433.9</v>
      </c>
      <c r="J28" s="282">
        <v>293.3</v>
      </c>
      <c r="K28" s="283">
        <v>501.9</v>
      </c>
      <c r="L28" s="63">
        <v>525.4</v>
      </c>
      <c r="M28" s="63">
        <v>506.6</v>
      </c>
      <c r="N28" s="63">
        <v>507</v>
      </c>
      <c r="O28" s="63">
        <v>489.1</v>
      </c>
      <c r="P28" s="63">
        <v>489.2</v>
      </c>
      <c r="Q28" s="283">
        <v>345.8</v>
      </c>
      <c r="R28" s="63">
        <v>46.5</v>
      </c>
      <c r="S28" s="63">
        <v>455.1</v>
      </c>
      <c r="T28" s="283">
        <v>499.4</v>
      </c>
      <c r="U28" s="283">
        <v>395.1</v>
      </c>
      <c r="V28" s="283">
        <v>343.8</v>
      </c>
      <c r="W28" s="283">
        <v>210.5</v>
      </c>
      <c r="X28" s="282">
        <v>0</v>
      </c>
      <c r="Y28" s="282">
        <v>0</v>
      </c>
      <c r="Z28" s="388">
        <v>230</v>
      </c>
      <c r="AA28" s="320">
        <v>460.6</v>
      </c>
      <c r="AB28" s="323">
        <v>428.4</v>
      </c>
      <c r="AC28" s="283">
        <v>430.7</v>
      </c>
      <c r="AD28" s="221">
        <v>410.9</v>
      </c>
      <c r="AE28" s="221">
        <v>361.7</v>
      </c>
      <c r="AF28" s="15">
        <v>389</v>
      </c>
      <c r="AG28" s="15"/>
      <c r="AH28" s="371"/>
      <c r="AI28" s="290">
        <f t="shared" si="7"/>
        <v>9925.7000000000025</v>
      </c>
      <c r="AJ28" s="301">
        <v>100</v>
      </c>
      <c r="AK28" s="121">
        <f>F28/(AJ28*432)</f>
        <v>4.2129629629629626E-3</v>
      </c>
      <c r="AL28" s="302">
        <f t="shared" si="14"/>
        <v>0</v>
      </c>
      <c r="AM28" s="303">
        <f t="shared" si="14"/>
        <v>7.2916666666666671E-2</v>
      </c>
      <c r="AN28" s="303">
        <f t="shared" si="14"/>
        <v>7.5833333333333336E-2</v>
      </c>
      <c r="AO28" s="303">
        <f t="shared" si="14"/>
        <v>0.14866666666666667</v>
      </c>
      <c r="AP28" s="303">
        <f t="shared" si="14"/>
        <v>0.19083333333333333</v>
      </c>
      <c r="AQ28" s="303">
        <f t="shared" si="14"/>
        <v>0.18079166666666666</v>
      </c>
      <c r="AR28" s="303">
        <f t="shared" si="14"/>
        <v>0.12220833333333334</v>
      </c>
      <c r="AS28" s="303">
        <f t="shared" si="14"/>
        <v>0.20912499999999998</v>
      </c>
      <c r="AT28" s="303">
        <f t="shared" si="14"/>
        <v>0.21891666666666665</v>
      </c>
      <c r="AU28" s="303">
        <f t="shared" si="15"/>
        <v>0.21108333333333335</v>
      </c>
      <c r="AV28" s="303">
        <f t="shared" si="15"/>
        <v>0.21124999999999999</v>
      </c>
      <c r="AW28" s="303">
        <f t="shared" si="15"/>
        <v>0.20379166666666668</v>
      </c>
      <c r="AX28" s="303">
        <f t="shared" si="15"/>
        <v>0.20383333333333334</v>
      </c>
      <c r="AY28" s="303">
        <f t="shared" si="15"/>
        <v>0.14408333333333334</v>
      </c>
      <c r="AZ28" s="303">
        <f t="shared" si="15"/>
        <v>1.9375E-2</v>
      </c>
      <c r="BA28" s="303">
        <f t="shared" si="15"/>
        <v>0.18962500000000002</v>
      </c>
      <c r="BB28" s="303">
        <f t="shared" si="12"/>
        <v>0.20808333333333331</v>
      </c>
      <c r="BC28" s="303">
        <f t="shared" si="12"/>
        <v>0.16462500000000002</v>
      </c>
      <c r="BD28" s="303">
        <f t="shared" si="12"/>
        <v>0.14325000000000002</v>
      </c>
      <c r="BE28" s="303">
        <f t="shared" si="12"/>
        <v>8.7708333333333333E-2</v>
      </c>
      <c r="BF28" s="303">
        <f t="shared" si="12"/>
        <v>0</v>
      </c>
      <c r="BG28" s="303">
        <f t="shared" si="12"/>
        <v>0</v>
      </c>
      <c r="BH28" s="303">
        <f t="shared" si="12"/>
        <v>9.583333333333334E-2</v>
      </c>
      <c r="BI28" s="303">
        <f t="shared" si="12"/>
        <v>0.19191666666666668</v>
      </c>
      <c r="BJ28" s="303">
        <f t="shared" si="12"/>
        <v>0.17849999999999999</v>
      </c>
      <c r="BK28" s="303">
        <f t="shared" si="8"/>
        <v>0.17945833333333333</v>
      </c>
      <c r="BL28" s="303">
        <f t="shared" si="8"/>
        <v>0.17120833333333332</v>
      </c>
      <c r="BM28" s="303">
        <f t="shared" si="8"/>
        <v>0.15070833333333333</v>
      </c>
      <c r="BN28" s="303">
        <f t="shared" si="8"/>
        <v>0.16208333333333333</v>
      </c>
      <c r="BO28" s="303" t="str">
        <f t="shared" si="8"/>
        <v>VAZIO</v>
      </c>
      <c r="BP28" s="304">
        <f t="shared" si="3"/>
        <v>0.14261063218390807</v>
      </c>
      <c r="BQ28" s="198">
        <f t="shared" si="13"/>
        <v>0.168125</v>
      </c>
      <c r="BR28" s="72">
        <f>AJ28*BQ28</f>
        <v>16.8125</v>
      </c>
      <c r="BS28" s="73">
        <f>AN28-BQ28</f>
        <v>-9.2291666666666661E-2</v>
      </c>
      <c r="BT28" s="74">
        <f>BP28-BQ28</f>
        <v>-2.5514367816091926E-2</v>
      </c>
      <c r="BU28" s="15" t="s">
        <v>440</v>
      </c>
      <c r="BV28" s="3"/>
      <c r="BW28" s="2"/>
      <c r="BX28" s="2"/>
    </row>
    <row r="29" spans="2:76" ht="15" thickBot="1" x14ac:dyDescent="0.35">
      <c r="B29" s="775"/>
      <c r="C29" s="326" t="s">
        <v>289</v>
      </c>
      <c r="D29" s="223">
        <v>0</v>
      </c>
      <c r="E29" s="63">
        <v>174.6</v>
      </c>
      <c r="F29" s="63">
        <v>176</v>
      </c>
      <c r="G29" s="308">
        <v>350</v>
      </c>
      <c r="H29" s="63">
        <v>451.7</v>
      </c>
      <c r="I29" s="82">
        <v>444.5</v>
      </c>
      <c r="J29" s="312">
        <v>285.3</v>
      </c>
      <c r="K29" s="283">
        <v>490.3</v>
      </c>
      <c r="L29" s="63">
        <v>507.2</v>
      </c>
      <c r="M29" s="63">
        <v>499.9</v>
      </c>
      <c r="N29" s="63">
        <v>513.20000000000005</v>
      </c>
      <c r="O29" s="63">
        <v>476.2</v>
      </c>
      <c r="P29" s="63">
        <v>476.3</v>
      </c>
      <c r="Q29" s="283">
        <v>331</v>
      </c>
      <c r="R29" s="63">
        <v>75.400000000000006</v>
      </c>
      <c r="S29" s="63">
        <v>457</v>
      </c>
      <c r="T29" s="283">
        <v>496.4</v>
      </c>
      <c r="U29" s="283">
        <v>397</v>
      </c>
      <c r="V29" s="283">
        <v>326.5</v>
      </c>
      <c r="W29" s="283">
        <v>197</v>
      </c>
      <c r="X29" s="282">
        <v>0</v>
      </c>
      <c r="Y29" s="282">
        <v>0</v>
      </c>
      <c r="Z29" s="221">
        <v>226.1</v>
      </c>
      <c r="AA29" s="320">
        <v>445.3</v>
      </c>
      <c r="AB29" s="323">
        <v>438.4</v>
      </c>
      <c r="AC29" s="283">
        <v>416.7</v>
      </c>
      <c r="AD29" s="221">
        <v>439.6</v>
      </c>
      <c r="AE29" s="221">
        <v>342.6</v>
      </c>
      <c r="AF29" s="15">
        <v>389.5</v>
      </c>
      <c r="AG29" s="15"/>
      <c r="AH29" s="371"/>
      <c r="AI29" s="290">
        <f t="shared" si="7"/>
        <v>9823.7000000000007</v>
      </c>
      <c r="AJ29" s="119">
        <v>100</v>
      </c>
      <c r="AK29" s="121">
        <f>F29/(AJ29*432)</f>
        <v>4.0740740740740737E-3</v>
      </c>
      <c r="AL29" s="98">
        <f t="shared" si="14"/>
        <v>0</v>
      </c>
      <c r="AM29" s="99">
        <f t="shared" si="14"/>
        <v>7.2749999999999995E-2</v>
      </c>
      <c r="AN29" s="99">
        <f t="shared" si="14"/>
        <v>7.3333333333333334E-2</v>
      </c>
      <c r="AO29" s="99">
        <f t="shared" si="14"/>
        <v>0.14583333333333334</v>
      </c>
      <c r="AP29" s="99">
        <f t="shared" si="14"/>
        <v>0.18820833333333334</v>
      </c>
      <c r="AQ29" s="99">
        <f t="shared" si="14"/>
        <v>0.18520833333333334</v>
      </c>
      <c r="AR29" s="99">
        <f t="shared" si="14"/>
        <v>0.11887500000000001</v>
      </c>
      <c r="AS29" s="99">
        <f t="shared" si="14"/>
        <v>0.20429166666666668</v>
      </c>
      <c r="AT29" s="99">
        <f t="shared" si="14"/>
        <v>0.21133333333333332</v>
      </c>
      <c r="AU29" s="99">
        <f t="shared" si="15"/>
        <v>0.20829166666666665</v>
      </c>
      <c r="AV29" s="99">
        <f t="shared" si="15"/>
        <v>0.21383333333333335</v>
      </c>
      <c r="AW29" s="99">
        <f t="shared" si="15"/>
        <v>0.19841666666666666</v>
      </c>
      <c r="AX29" s="99">
        <f t="shared" si="15"/>
        <v>0.19845833333333335</v>
      </c>
      <c r="AY29" s="99">
        <f t="shared" si="15"/>
        <v>0.13791666666666666</v>
      </c>
      <c r="AZ29" s="99">
        <f t="shared" si="15"/>
        <v>3.1416666666666669E-2</v>
      </c>
      <c r="BA29" s="99">
        <f t="shared" si="15"/>
        <v>0.19041666666666668</v>
      </c>
      <c r="BB29" s="99">
        <f t="shared" si="12"/>
        <v>0.20683333333333331</v>
      </c>
      <c r="BC29" s="99">
        <f t="shared" si="12"/>
        <v>0.16541666666666666</v>
      </c>
      <c r="BD29" s="99">
        <f t="shared" si="12"/>
        <v>0.13604166666666667</v>
      </c>
      <c r="BE29" s="99">
        <f t="shared" si="12"/>
        <v>8.2083333333333328E-2</v>
      </c>
      <c r="BF29" s="99">
        <f t="shared" si="12"/>
        <v>0</v>
      </c>
      <c r="BG29" s="99">
        <f t="shared" si="12"/>
        <v>0</v>
      </c>
      <c r="BH29" s="99">
        <f t="shared" si="12"/>
        <v>9.4208333333333324E-2</v>
      </c>
      <c r="BI29" s="99">
        <f t="shared" si="12"/>
        <v>0.18554166666666666</v>
      </c>
      <c r="BJ29" s="99">
        <f t="shared" si="12"/>
        <v>0.18266666666666664</v>
      </c>
      <c r="BK29" s="99">
        <f t="shared" si="8"/>
        <v>0.173625</v>
      </c>
      <c r="BL29" s="99">
        <f t="shared" si="8"/>
        <v>0.18316666666666667</v>
      </c>
      <c r="BM29" s="99">
        <f t="shared" si="8"/>
        <v>0.14275000000000002</v>
      </c>
      <c r="BN29" s="99">
        <f t="shared" si="8"/>
        <v>0.16229166666666667</v>
      </c>
      <c r="BO29" s="99" t="str">
        <f t="shared" si="8"/>
        <v>VAZIO</v>
      </c>
      <c r="BP29" s="101">
        <f t="shared" si="3"/>
        <v>0.14114511494252874</v>
      </c>
      <c r="BQ29" s="198">
        <f t="shared" si="13"/>
        <v>0.168125</v>
      </c>
      <c r="BR29" s="72">
        <f t="shared" si="10"/>
        <v>16.8125</v>
      </c>
      <c r="BS29" s="73">
        <f t="shared" si="11"/>
        <v>-9.4791666666666663E-2</v>
      </c>
      <c r="BT29" s="74">
        <f t="shared" si="6"/>
        <v>-2.6979885057471259E-2</v>
      </c>
      <c r="BU29" s="15" t="s">
        <v>112</v>
      </c>
      <c r="BV29" s="3"/>
      <c r="BW29" s="2"/>
      <c r="BX29" s="2"/>
    </row>
    <row r="30" spans="2:76" ht="15" thickBot="1" x14ac:dyDescent="0.35">
      <c r="B30" s="773" t="s">
        <v>290</v>
      </c>
      <c r="C30" s="326" t="s">
        <v>291</v>
      </c>
      <c r="D30" s="223">
        <v>386.2</v>
      </c>
      <c r="E30" s="223">
        <v>400.4</v>
      </c>
      <c r="F30" s="63">
        <v>435.1</v>
      </c>
      <c r="G30" s="63">
        <v>322.10000000000002</v>
      </c>
      <c r="H30" s="63">
        <v>393.2</v>
      </c>
      <c r="I30" s="312">
        <v>151.9</v>
      </c>
      <c r="J30" s="308">
        <v>522</v>
      </c>
      <c r="K30" s="283">
        <v>464.1</v>
      </c>
      <c r="L30" s="283">
        <v>505.4</v>
      </c>
      <c r="M30" s="283">
        <v>431.2</v>
      </c>
      <c r="N30" s="283">
        <v>474.5</v>
      </c>
      <c r="O30" s="283">
        <v>553.6</v>
      </c>
      <c r="P30" s="283">
        <v>527</v>
      </c>
      <c r="Q30" s="283">
        <v>404.6</v>
      </c>
      <c r="R30" s="283">
        <v>122</v>
      </c>
      <c r="S30" s="283">
        <v>482.3</v>
      </c>
      <c r="T30" s="283">
        <v>507.9</v>
      </c>
      <c r="U30" s="283">
        <v>379</v>
      </c>
      <c r="V30" s="283">
        <v>401.4</v>
      </c>
      <c r="W30" s="283">
        <v>208.9</v>
      </c>
      <c r="X30" s="63">
        <v>256.8</v>
      </c>
      <c r="Y30" s="320">
        <v>205.7</v>
      </c>
      <c r="Z30" s="321">
        <v>21.2</v>
      </c>
      <c r="AA30" s="320">
        <v>396.5</v>
      </c>
      <c r="AB30" s="323">
        <v>409.6</v>
      </c>
      <c r="AC30" s="15">
        <v>344.6</v>
      </c>
      <c r="AD30" s="221">
        <v>452.1</v>
      </c>
      <c r="AE30" s="15">
        <v>452.5</v>
      </c>
      <c r="AF30" s="15">
        <v>421</v>
      </c>
      <c r="AG30" s="15"/>
      <c r="AH30" s="64"/>
      <c r="AI30" s="290">
        <f t="shared" si="7"/>
        <v>11032.800000000001</v>
      </c>
      <c r="AJ30" s="2">
        <v>100</v>
      </c>
      <c r="AK30" s="285">
        <f>F30/(AJ30*432)</f>
        <v>1.0071759259259259E-2</v>
      </c>
      <c r="AL30" s="98">
        <f t="shared" ref="AL30:BM30" si="16">IF(OR(D30="",D30="Sem monitoramento"),"VAZIO",IFERROR(D30/($AJ30*24),"-"))</f>
        <v>0.16091666666666665</v>
      </c>
      <c r="AM30" s="99">
        <f t="shared" si="16"/>
        <v>0.16683333333333333</v>
      </c>
      <c r="AN30" s="99">
        <f t="shared" si="16"/>
        <v>0.18129166666666668</v>
      </c>
      <c r="AO30" s="99">
        <f t="shared" si="16"/>
        <v>0.13420833333333335</v>
      </c>
      <c r="AP30" s="99">
        <f t="shared" si="16"/>
        <v>0.16383333333333333</v>
      </c>
      <c r="AQ30" s="99">
        <f t="shared" si="16"/>
        <v>6.3291666666666663E-2</v>
      </c>
      <c r="AR30" s="99">
        <f t="shared" si="16"/>
        <v>0.2175</v>
      </c>
      <c r="AS30" s="99">
        <f t="shared" si="16"/>
        <v>0.19337500000000002</v>
      </c>
      <c r="AT30" s="99">
        <f t="shared" si="16"/>
        <v>0.21058333333333332</v>
      </c>
      <c r="AU30" s="99">
        <f t="shared" si="16"/>
        <v>0.17966666666666667</v>
      </c>
      <c r="AV30" s="99">
        <f t="shared" si="16"/>
        <v>0.19770833333333335</v>
      </c>
      <c r="AW30" s="99">
        <f t="shared" si="16"/>
        <v>0.23066666666666669</v>
      </c>
      <c r="AX30" s="99">
        <f t="shared" si="16"/>
        <v>0.21958333333333332</v>
      </c>
      <c r="AY30" s="99">
        <f t="shared" si="16"/>
        <v>0.16858333333333334</v>
      </c>
      <c r="AZ30" s="99">
        <f t="shared" si="16"/>
        <v>5.0833333333333335E-2</v>
      </c>
      <c r="BA30" s="99">
        <f t="shared" si="16"/>
        <v>0.20095833333333335</v>
      </c>
      <c r="BB30" s="99">
        <f t="shared" si="16"/>
        <v>0.21162499999999998</v>
      </c>
      <c r="BC30" s="99">
        <f t="shared" si="16"/>
        <v>0.15791666666666668</v>
      </c>
      <c r="BD30" s="99">
        <f t="shared" si="16"/>
        <v>0.16724999999999998</v>
      </c>
      <c r="BE30" s="99">
        <f t="shared" si="16"/>
        <v>8.704166666666667E-2</v>
      </c>
      <c r="BF30" s="99">
        <f t="shared" si="16"/>
        <v>0.107</v>
      </c>
      <c r="BG30" s="99">
        <f t="shared" si="16"/>
        <v>8.5708333333333331E-2</v>
      </c>
      <c r="BH30" s="99">
        <f t="shared" si="16"/>
        <v>8.8333333333333337E-3</v>
      </c>
      <c r="BI30" s="99">
        <f t="shared" si="16"/>
        <v>0.16520833333333335</v>
      </c>
      <c r="BJ30" s="99">
        <f t="shared" si="16"/>
        <v>0.17066666666666669</v>
      </c>
      <c r="BK30" s="99">
        <f t="shared" si="16"/>
        <v>0.14358333333333334</v>
      </c>
      <c r="BL30" s="99">
        <f t="shared" si="16"/>
        <v>0.18837500000000001</v>
      </c>
      <c r="BM30" s="99">
        <f t="shared" si="16"/>
        <v>0.18854166666666666</v>
      </c>
      <c r="BN30" s="286">
        <f t="shared" si="8"/>
        <v>0.17541666666666667</v>
      </c>
      <c r="BO30" s="286" t="str">
        <f t="shared" si="8"/>
        <v>VAZIO</v>
      </c>
      <c r="BP30" s="286">
        <f t="shared" si="3"/>
        <v>0.15851724137931036</v>
      </c>
      <c r="BQ30" s="198">
        <f t="shared" si="13"/>
        <v>0.168125</v>
      </c>
      <c r="BR30" s="72">
        <f>AJ30*BQ30</f>
        <v>16.8125</v>
      </c>
      <c r="BS30" s="73">
        <f>AN30-BQ30</f>
        <v>1.3166666666666688E-2</v>
      </c>
      <c r="BT30" s="74">
        <f t="shared" si="6"/>
        <v>-9.6077586206896326E-3</v>
      </c>
      <c r="BU30" s="2"/>
      <c r="BV30" s="3"/>
      <c r="BW30" s="2"/>
      <c r="BX30" s="2"/>
    </row>
    <row r="31" spans="2:76" ht="15" thickBot="1" x14ac:dyDescent="0.35">
      <c r="B31" s="777"/>
      <c r="C31" s="329"/>
      <c r="D31" s="224"/>
      <c r="E31" s="93"/>
      <c r="F31" s="93"/>
      <c r="G31" s="115"/>
      <c r="H31" s="284"/>
      <c r="I31" s="115"/>
      <c r="J31" s="115"/>
      <c r="K31" s="93"/>
      <c r="L31" s="93"/>
      <c r="M31" s="93"/>
      <c r="N31" s="93"/>
      <c r="O31" s="93"/>
      <c r="P31" s="93"/>
      <c r="Q31" s="318"/>
      <c r="R31" s="93"/>
      <c r="S31" s="93"/>
      <c r="T31" s="93"/>
      <c r="U31" s="22"/>
      <c r="V31" s="22"/>
      <c r="W31" s="292"/>
      <c r="X31" s="22"/>
      <c r="Y31" s="93"/>
      <c r="Z31" s="22"/>
      <c r="AA31" s="322"/>
      <c r="AB31" s="21"/>
      <c r="AC31" s="22"/>
      <c r="AD31" s="277"/>
      <c r="AE31" s="22"/>
      <c r="AF31" s="22"/>
      <c r="AG31" s="22"/>
      <c r="AH31" s="96"/>
      <c r="AI31" s="290">
        <f t="shared" si="7"/>
        <v>0</v>
      </c>
      <c r="AJ31" s="2"/>
      <c r="AK31" s="285"/>
      <c r="AL31" s="286" t="str">
        <f t="shared" si="14"/>
        <v>VAZIO</v>
      </c>
      <c r="AM31" s="286" t="str">
        <f t="shared" si="14"/>
        <v>VAZIO</v>
      </c>
      <c r="AN31" s="286" t="str">
        <f t="shared" si="14"/>
        <v>VAZIO</v>
      </c>
      <c r="AO31" s="286" t="str">
        <f t="shared" si="14"/>
        <v>VAZIO</v>
      </c>
      <c r="AP31" s="286" t="str">
        <f t="shared" si="14"/>
        <v>VAZIO</v>
      </c>
      <c r="AQ31" s="286" t="str">
        <f t="shared" si="14"/>
        <v>VAZIO</v>
      </c>
      <c r="AR31" s="286" t="str">
        <f t="shared" si="14"/>
        <v>VAZIO</v>
      </c>
      <c r="AS31" s="286" t="str">
        <f t="shared" si="14"/>
        <v>VAZIO</v>
      </c>
      <c r="AT31" s="286" t="str">
        <f t="shared" si="14"/>
        <v>VAZIO</v>
      </c>
      <c r="AU31" s="286" t="str">
        <f t="shared" si="15"/>
        <v>VAZIO</v>
      </c>
      <c r="AV31" s="286" t="str">
        <f t="shared" si="15"/>
        <v>VAZIO</v>
      </c>
      <c r="AW31" s="286" t="str">
        <f t="shared" si="15"/>
        <v>VAZIO</v>
      </c>
      <c r="AX31" s="286" t="str">
        <f t="shared" si="15"/>
        <v>VAZIO</v>
      </c>
      <c r="AY31" s="286" t="str">
        <f t="shared" si="15"/>
        <v>VAZIO</v>
      </c>
      <c r="AZ31" s="286" t="str">
        <f t="shared" si="15"/>
        <v>VAZIO</v>
      </c>
      <c r="BA31" s="286" t="str">
        <f t="shared" si="15"/>
        <v>VAZIO</v>
      </c>
      <c r="BB31" s="286" t="str">
        <f t="shared" si="12"/>
        <v>VAZIO</v>
      </c>
      <c r="BC31" s="286" t="str">
        <f t="shared" si="12"/>
        <v>VAZIO</v>
      </c>
      <c r="BD31" s="286" t="str">
        <f t="shared" si="12"/>
        <v>VAZIO</v>
      </c>
      <c r="BE31" s="286" t="str">
        <f t="shared" si="12"/>
        <v>VAZIO</v>
      </c>
      <c r="BF31" s="286" t="str">
        <f t="shared" si="12"/>
        <v>VAZIO</v>
      </c>
      <c r="BG31" s="286" t="str">
        <f t="shared" si="12"/>
        <v>VAZIO</v>
      </c>
      <c r="BH31" s="286" t="str">
        <f t="shared" si="12"/>
        <v>VAZIO</v>
      </c>
      <c r="BI31" s="286" t="str">
        <f t="shared" si="12"/>
        <v>VAZIO</v>
      </c>
      <c r="BJ31" s="286" t="str">
        <f t="shared" si="12"/>
        <v>VAZIO</v>
      </c>
      <c r="BK31" s="286" t="str">
        <f t="shared" si="8"/>
        <v>VAZIO</v>
      </c>
      <c r="BL31" s="286" t="str">
        <f t="shared" si="8"/>
        <v>VAZIO</v>
      </c>
      <c r="BM31" s="286" t="str">
        <f t="shared" si="8"/>
        <v>VAZIO</v>
      </c>
      <c r="BN31" s="286" t="str">
        <f t="shared" si="8"/>
        <v>VAZIO</v>
      </c>
      <c r="BO31" s="286" t="str">
        <f t="shared" si="8"/>
        <v>VAZIO</v>
      </c>
      <c r="BP31" s="286" t="e">
        <f t="shared" si="3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7302.4</v>
      </c>
      <c r="E32" s="103">
        <f>SUM(E5:E30)</f>
        <v>7344.3</v>
      </c>
      <c r="F32" s="103">
        <f>SUM(F5:F30)</f>
        <v>9688.1999999999989</v>
      </c>
      <c r="G32" s="103">
        <f t="shared" ref="G32:AH32" si="17">SUM(G5:G30)</f>
        <v>8475.630000000001</v>
      </c>
      <c r="H32" s="103">
        <f t="shared" si="17"/>
        <v>9255.7000000000007</v>
      </c>
      <c r="I32" s="103">
        <f t="shared" si="17"/>
        <v>10817.6</v>
      </c>
      <c r="J32" s="103">
        <f t="shared" si="17"/>
        <v>10888.039999999999</v>
      </c>
      <c r="K32" s="103">
        <f t="shared" si="17"/>
        <v>10986.24</v>
      </c>
      <c r="L32" s="103">
        <f t="shared" si="17"/>
        <v>11982.3</v>
      </c>
      <c r="M32" s="103">
        <f t="shared" si="17"/>
        <v>11117.560000000001</v>
      </c>
      <c r="N32" s="103">
        <f t="shared" si="17"/>
        <v>11144.200000000003</v>
      </c>
      <c r="O32" s="103">
        <f t="shared" si="17"/>
        <v>12389.400000000001</v>
      </c>
      <c r="P32" s="103">
        <f t="shared" si="17"/>
        <v>11572.1</v>
      </c>
      <c r="Q32" s="103">
        <f t="shared" si="17"/>
        <v>8735.2300000000014</v>
      </c>
      <c r="R32" s="103">
        <f t="shared" si="17"/>
        <v>2982.8999999999996</v>
      </c>
      <c r="S32" s="103">
        <f t="shared" si="17"/>
        <v>11268.400000000001</v>
      </c>
      <c r="T32" s="103">
        <f t="shared" si="17"/>
        <v>11790.099999999999</v>
      </c>
      <c r="U32" s="103">
        <f t="shared" si="17"/>
        <v>8468.6</v>
      </c>
      <c r="V32" s="103">
        <f t="shared" si="17"/>
        <v>8661.08</v>
      </c>
      <c r="W32" s="103">
        <f t="shared" si="17"/>
        <v>4804.8999999999996</v>
      </c>
      <c r="X32" s="103">
        <f t="shared" si="17"/>
        <v>5991.7</v>
      </c>
      <c r="Y32" s="103">
        <f t="shared" si="17"/>
        <v>3772.9000000000005</v>
      </c>
      <c r="Z32" s="103">
        <f t="shared" si="17"/>
        <v>6427.1</v>
      </c>
      <c r="AA32" s="103">
        <f t="shared" si="17"/>
        <v>10865.599999999999</v>
      </c>
      <c r="AB32" s="103">
        <f t="shared" si="17"/>
        <v>10347.500000000002</v>
      </c>
      <c r="AC32" s="103">
        <f>SUM(AC5:AC30)</f>
        <v>9484.9000000000015</v>
      </c>
      <c r="AD32" s="103">
        <f t="shared" si="17"/>
        <v>10440.9</v>
      </c>
      <c r="AE32" s="103">
        <f t="shared" si="17"/>
        <v>9929.8000000000029</v>
      </c>
      <c r="AF32" s="103">
        <f t="shared" si="17"/>
        <v>10184.199999999999</v>
      </c>
      <c r="AG32" s="103">
        <f t="shared" si="17"/>
        <v>0</v>
      </c>
      <c r="AH32" s="103">
        <f t="shared" si="17"/>
        <v>0</v>
      </c>
      <c r="AI32" s="189">
        <f>SUM(AI5:AI31)</f>
        <v>267119.48</v>
      </c>
      <c r="AJ32" s="104">
        <f>SUM(AJ5:AJ31)</f>
        <v>2306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267,119 MWh</v>
      </c>
      <c r="AJ33" s="2"/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9211,017 kWh</v>
      </c>
      <c r="AJ34" s="2"/>
      <c r="AK34" s="2"/>
      <c r="AL34" s="2"/>
      <c r="AM34" s="2"/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276330,51 kWh</v>
      </c>
      <c r="AJ35" s="2"/>
      <c r="AK35" s="2"/>
      <c r="AL35" s="2"/>
      <c r="AM35" s="2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276,33 MWh</v>
      </c>
    </row>
    <row r="37" spans="2:76" x14ac:dyDescent="0.3">
      <c r="T37">
        <f>T36-T35+1.8</f>
        <v>477.8</v>
      </c>
      <c r="X37" s="102"/>
      <c r="AC37">
        <v>53196</v>
      </c>
    </row>
    <row r="38" spans="2:76" x14ac:dyDescent="0.3">
      <c r="AC38">
        <v>60.6</v>
      </c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6" x14ac:dyDescent="0.3">
      <c r="X40" s="102"/>
      <c r="AF40">
        <f>AF39-20.4</f>
        <v>53905.2</v>
      </c>
    </row>
    <row r="41" spans="2:76" x14ac:dyDescent="0.3">
      <c r="X41" s="102"/>
      <c r="AF41">
        <f>AF40-AD39</f>
        <v>263.19999999999709</v>
      </c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</row>
    <row r="44" spans="2:76" x14ac:dyDescent="0.3">
      <c r="B44" s="751" t="s">
        <v>6</v>
      </c>
      <c r="C44" s="18" t="s">
        <v>7</v>
      </c>
      <c r="D44" s="163">
        <f>D5+Agosto23!AF41</f>
        <v>48880.9</v>
      </c>
      <c r="E44" s="164">
        <f t="shared" ref="E44:F59" si="18">D44+E5</f>
        <v>48920.6</v>
      </c>
      <c r="F44" s="164">
        <f t="shared" si="18"/>
        <v>48971.5</v>
      </c>
      <c r="G44" s="165">
        <v>49036.4</v>
      </c>
      <c r="H44" s="166">
        <v>49076</v>
      </c>
      <c r="I44" s="163">
        <f t="shared" ref="I44:V59" si="19">H44+I5</f>
        <v>49125.9</v>
      </c>
      <c r="J44" s="163">
        <f t="shared" si="19"/>
        <v>49187.5</v>
      </c>
      <c r="K44" s="163">
        <f t="shared" si="19"/>
        <v>49241.2</v>
      </c>
      <c r="L44" s="163">
        <f t="shared" si="19"/>
        <v>49300.899999999994</v>
      </c>
      <c r="M44" s="163">
        <f t="shared" si="19"/>
        <v>49351.599999999991</v>
      </c>
      <c r="N44" s="163">
        <f t="shared" si="19"/>
        <v>49410.999999999993</v>
      </c>
      <c r="O44" s="163">
        <f t="shared" si="19"/>
        <v>49480.299999999996</v>
      </c>
      <c r="P44" s="163">
        <f t="shared" si="19"/>
        <v>49536.799999999996</v>
      </c>
      <c r="Q44" s="163">
        <f t="shared" si="19"/>
        <v>49571.899999999994</v>
      </c>
      <c r="R44" s="163">
        <f t="shared" si="19"/>
        <v>49588.899999999994</v>
      </c>
      <c r="S44" s="163">
        <f t="shared" si="19"/>
        <v>49643.299999999996</v>
      </c>
      <c r="T44" s="163">
        <f t="shared" si="19"/>
        <v>49709.7</v>
      </c>
      <c r="U44" s="163">
        <f t="shared" si="19"/>
        <v>49752.899999999994</v>
      </c>
      <c r="V44" s="163">
        <f t="shared" si="19"/>
        <v>49803.199999999997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</row>
    <row r="45" spans="2:76" x14ac:dyDescent="0.3">
      <c r="B45" s="752"/>
      <c r="C45" s="18" t="s">
        <v>8</v>
      </c>
      <c r="D45" s="163">
        <f>D6+Agosto23!AF42</f>
        <v>98990</v>
      </c>
      <c r="E45" s="164">
        <f t="shared" si="18"/>
        <v>99193.600000000006</v>
      </c>
      <c r="F45" s="164">
        <f t="shared" si="18"/>
        <v>99482.5</v>
      </c>
      <c r="G45" s="165">
        <f>21775+78123.8</f>
        <v>99898.8</v>
      </c>
      <c r="H45" s="166">
        <f>21823+78322.8</f>
        <v>100145.8</v>
      </c>
      <c r="I45" s="163">
        <f t="shared" si="19"/>
        <v>100439.5</v>
      </c>
      <c r="J45" s="163">
        <f t="shared" si="19"/>
        <v>100770.94</v>
      </c>
      <c r="K45" s="163">
        <f t="shared" si="19"/>
        <v>101114.88</v>
      </c>
      <c r="L45" s="163">
        <f t="shared" si="19"/>
        <v>101471.78</v>
      </c>
      <c r="M45" s="163">
        <f t="shared" si="19"/>
        <v>101779.04</v>
      </c>
      <c r="N45" s="163">
        <f t="shared" si="19"/>
        <v>102096.93999999999</v>
      </c>
      <c r="O45" s="163">
        <f t="shared" si="19"/>
        <v>102494.73999999999</v>
      </c>
      <c r="P45" s="163">
        <f t="shared" si="19"/>
        <v>102815.73999999999</v>
      </c>
      <c r="Q45" s="163">
        <f t="shared" si="19"/>
        <v>103050.37</v>
      </c>
      <c r="R45" s="163">
        <f t="shared" si="19"/>
        <v>103146.97</v>
      </c>
      <c r="S45" s="163">
        <f t="shared" si="19"/>
        <v>103461.07</v>
      </c>
      <c r="T45" s="163">
        <f t="shared" si="19"/>
        <v>103847.47</v>
      </c>
      <c r="U45" s="163">
        <f t="shared" si="19"/>
        <v>104083.17</v>
      </c>
      <c r="V45" s="163">
        <f t="shared" si="19"/>
        <v>104373.65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</row>
    <row r="46" spans="2:76" x14ac:dyDescent="0.3">
      <c r="B46" s="752"/>
      <c r="C46" s="18" t="s">
        <v>9</v>
      </c>
      <c r="D46" s="163">
        <f>D7+Agosto23!AF43</f>
        <v>69836</v>
      </c>
      <c r="E46" s="164">
        <f t="shared" si="18"/>
        <v>70013.399999999994</v>
      </c>
      <c r="F46" s="164">
        <f t="shared" si="18"/>
        <v>70232</v>
      </c>
      <c r="G46" s="165">
        <v>70458.2</v>
      </c>
      <c r="H46" s="166">
        <v>70615.5</v>
      </c>
      <c r="I46" s="163">
        <f t="shared" si="19"/>
        <v>70831.899999999994</v>
      </c>
      <c r="J46" s="163">
        <f t="shared" si="19"/>
        <v>71089.7</v>
      </c>
      <c r="K46" s="163">
        <f t="shared" si="19"/>
        <v>71307</v>
      </c>
      <c r="L46" s="163">
        <f t="shared" si="19"/>
        <v>71559.899999999994</v>
      </c>
      <c r="M46" s="163">
        <f t="shared" si="19"/>
        <v>71766.7</v>
      </c>
      <c r="N46" s="163">
        <f t="shared" si="19"/>
        <v>72021.899999999994</v>
      </c>
      <c r="O46" s="163">
        <f t="shared" si="19"/>
        <v>72310.7</v>
      </c>
      <c r="P46" s="163">
        <f t="shared" si="19"/>
        <v>72539.599999999991</v>
      </c>
      <c r="Q46" s="163">
        <f t="shared" si="19"/>
        <v>72684.399999999994</v>
      </c>
      <c r="R46" s="163">
        <f t="shared" si="19"/>
        <v>72759.399999999994</v>
      </c>
      <c r="S46" s="163">
        <f t="shared" si="19"/>
        <v>72992.7</v>
      </c>
      <c r="T46" s="163">
        <f t="shared" si="19"/>
        <v>73261.2</v>
      </c>
      <c r="U46" s="163" t="e">
        <f>T46+#REF!</f>
        <v>#REF!</v>
      </c>
      <c r="V46" s="163" t="e">
        <f t="shared" si="19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</row>
    <row r="47" spans="2:76" x14ac:dyDescent="0.3">
      <c r="B47" s="752"/>
      <c r="C47" s="18" t="s">
        <v>10</v>
      </c>
      <c r="D47" s="163">
        <f>D8+Agosto23!AF44</f>
        <v>95716.800000000003</v>
      </c>
      <c r="E47" s="164">
        <f t="shared" si="18"/>
        <v>95817.2</v>
      </c>
      <c r="F47" s="164">
        <f t="shared" si="18"/>
        <v>95942.399999999994</v>
      </c>
      <c r="G47" s="165">
        <v>96154</v>
      </c>
      <c r="H47" s="166">
        <v>96261.9</v>
      </c>
      <c r="I47" s="163">
        <f t="shared" si="19"/>
        <v>96383.4</v>
      </c>
      <c r="J47" s="163">
        <f t="shared" si="19"/>
        <v>96529.7</v>
      </c>
      <c r="K47" s="163">
        <f t="shared" si="19"/>
        <v>96653.7</v>
      </c>
      <c r="L47" s="163">
        <f t="shared" si="19"/>
        <v>96797.4</v>
      </c>
      <c r="M47" s="163">
        <f t="shared" si="19"/>
        <v>96917.599999999991</v>
      </c>
      <c r="N47" s="163">
        <f t="shared" si="19"/>
        <v>97066.299999999988</v>
      </c>
      <c r="O47" s="163">
        <f t="shared" si="19"/>
        <v>97231.999999999985</v>
      </c>
      <c r="P47" s="163">
        <f t="shared" si="19"/>
        <v>97362.39999999998</v>
      </c>
      <c r="Q47" s="163">
        <f t="shared" si="19"/>
        <v>97444.39999999998</v>
      </c>
      <c r="R47" s="163">
        <f t="shared" si="19"/>
        <v>97487.799999999974</v>
      </c>
      <c r="S47" s="163">
        <f t="shared" si="19"/>
        <v>97618.799999999974</v>
      </c>
      <c r="T47" s="163">
        <f t="shared" si="19"/>
        <v>97771.89999999998</v>
      </c>
      <c r="U47" s="163" t="e">
        <f>T47+#REF!</f>
        <v>#REF!</v>
      </c>
      <c r="V47" s="163" t="e">
        <f t="shared" si="19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</row>
    <row r="48" spans="2:76" x14ac:dyDescent="0.3">
      <c r="B48" s="752"/>
      <c r="C48" s="18" t="s">
        <v>11</v>
      </c>
      <c r="D48" s="163">
        <f>D9+Agosto23!AF45</f>
        <v>18768.3</v>
      </c>
      <c r="E48" s="164">
        <f t="shared" si="18"/>
        <v>18801.3</v>
      </c>
      <c r="F48" s="164">
        <f t="shared" si="18"/>
        <v>18842.3</v>
      </c>
      <c r="G48" s="165">
        <v>18957</v>
      </c>
      <c r="H48" s="166">
        <v>18998</v>
      </c>
      <c r="I48" s="163">
        <f t="shared" si="19"/>
        <v>19047.7</v>
      </c>
      <c r="J48" s="163">
        <f t="shared" si="19"/>
        <v>19101.3</v>
      </c>
      <c r="K48" s="163">
        <f t="shared" si="19"/>
        <v>19153.7</v>
      </c>
      <c r="L48" s="163">
        <f t="shared" si="19"/>
        <v>19209</v>
      </c>
      <c r="M48" s="163">
        <f t="shared" si="19"/>
        <v>19257.5</v>
      </c>
      <c r="N48" s="163">
        <f t="shared" si="19"/>
        <v>19314.7</v>
      </c>
      <c r="O48" s="163">
        <f t="shared" si="19"/>
        <v>19377.8</v>
      </c>
      <c r="P48" s="163">
        <f t="shared" si="19"/>
        <v>19439.599999999999</v>
      </c>
      <c r="Q48" s="163">
        <f t="shared" si="19"/>
        <v>19477.699999999997</v>
      </c>
      <c r="R48" s="163">
        <f t="shared" si="19"/>
        <v>19493.699999999997</v>
      </c>
      <c r="S48" s="163">
        <f t="shared" si="19"/>
        <v>19544.099999999999</v>
      </c>
      <c r="T48" s="163">
        <f t="shared" si="19"/>
        <v>19605.5</v>
      </c>
      <c r="U48" s="163">
        <f>T48+U7</f>
        <v>19787.7</v>
      </c>
      <c r="V48" s="163">
        <f t="shared" si="19"/>
        <v>19831.900000000001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</row>
    <row r="49" spans="2:39" x14ac:dyDescent="0.3">
      <c r="B49" s="752"/>
      <c r="C49" s="18" t="s">
        <v>12</v>
      </c>
      <c r="D49" s="163">
        <f>D10+Agosto23!AF46</f>
        <v>58156.6</v>
      </c>
      <c r="E49" s="164">
        <f t="shared" si="18"/>
        <v>58197.599999999999</v>
      </c>
      <c r="F49" s="164">
        <f t="shared" si="18"/>
        <v>58282.6</v>
      </c>
      <c r="G49" s="165">
        <v>58550</v>
      </c>
      <c r="H49" s="166">
        <v>58640</v>
      </c>
      <c r="I49" s="163">
        <f t="shared" si="19"/>
        <v>58745.1</v>
      </c>
      <c r="J49" s="163">
        <f t="shared" si="19"/>
        <v>58859.799999999996</v>
      </c>
      <c r="K49" s="163">
        <f t="shared" si="19"/>
        <v>58965.499999999993</v>
      </c>
      <c r="L49" s="163">
        <f t="shared" si="19"/>
        <v>59079.19999999999</v>
      </c>
      <c r="M49" s="163">
        <f t="shared" si="19"/>
        <v>59181.799999999988</v>
      </c>
      <c r="N49" s="163">
        <f t="shared" si="19"/>
        <v>59296.899999999987</v>
      </c>
      <c r="O49" s="163">
        <f t="shared" si="19"/>
        <v>59433.099999999984</v>
      </c>
      <c r="P49" s="163">
        <f t="shared" si="19"/>
        <v>59565.499999999985</v>
      </c>
      <c r="Q49" s="163">
        <f t="shared" si="19"/>
        <v>59648.899999999987</v>
      </c>
      <c r="R49" s="163">
        <f t="shared" si="19"/>
        <v>59683.499999999985</v>
      </c>
      <c r="S49" s="163">
        <f t="shared" si="19"/>
        <v>59786.599999999984</v>
      </c>
      <c r="T49" s="163">
        <f t="shared" si="19"/>
        <v>59917.599999999984</v>
      </c>
      <c r="U49" s="163">
        <f>T49+U8</f>
        <v>60020.699999999983</v>
      </c>
      <c r="V49" s="163">
        <f t="shared" si="19"/>
        <v>60112.499999999985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</row>
    <row r="50" spans="2:39" x14ac:dyDescent="0.3">
      <c r="B50" s="752"/>
      <c r="C50" s="18" t="s">
        <v>13</v>
      </c>
      <c r="D50" s="163">
        <f>D11+Agosto23!AF47</f>
        <v>230213.5</v>
      </c>
      <c r="E50" s="164">
        <f t="shared" si="18"/>
        <v>230477.5</v>
      </c>
      <c r="F50" s="164">
        <f t="shared" si="18"/>
        <v>230805.3</v>
      </c>
      <c r="G50" s="165">
        <v>231148.9</v>
      </c>
      <c r="H50" s="166">
        <v>231319.5</v>
      </c>
      <c r="I50" s="163">
        <f t="shared" si="19"/>
        <v>231709.3</v>
      </c>
      <c r="J50" s="163">
        <f t="shared" si="19"/>
        <v>232101.9</v>
      </c>
      <c r="K50" s="163">
        <f t="shared" si="19"/>
        <v>232479.3</v>
      </c>
      <c r="L50" s="163">
        <f t="shared" si="19"/>
        <v>232873.69999999998</v>
      </c>
      <c r="M50" s="163">
        <f t="shared" si="19"/>
        <v>233211.99999999997</v>
      </c>
      <c r="N50" s="163">
        <f t="shared" si="19"/>
        <v>233595.69999999998</v>
      </c>
      <c r="O50" s="163">
        <f t="shared" si="19"/>
        <v>234026.09999999998</v>
      </c>
      <c r="P50" s="163">
        <f t="shared" si="19"/>
        <v>234438.39999999997</v>
      </c>
      <c r="Q50" s="163">
        <f t="shared" si="19"/>
        <v>234769.69999999995</v>
      </c>
      <c r="R50" s="163">
        <f t="shared" si="19"/>
        <v>234887.19999999995</v>
      </c>
      <c r="S50" s="163">
        <f t="shared" si="19"/>
        <v>235242.79999999996</v>
      </c>
      <c r="T50" s="163">
        <f t="shared" si="19"/>
        <v>235652.09999999995</v>
      </c>
      <c r="U50" s="163">
        <f t="shared" si="19"/>
        <v>235960.09999999995</v>
      </c>
      <c r="V50" s="163">
        <f t="shared" si="19"/>
        <v>236300.99999999994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</row>
    <row r="51" spans="2:39" x14ac:dyDescent="0.3">
      <c r="B51" s="753"/>
      <c r="C51" s="18" t="s">
        <v>14</v>
      </c>
      <c r="D51" s="163">
        <f>D12+Agosto23!AF48</f>
        <v>812.3</v>
      </c>
      <c r="E51" s="164">
        <f t="shared" si="18"/>
        <v>1026.8</v>
      </c>
      <c r="F51" s="164">
        <f t="shared" si="18"/>
        <v>1302.0999999999999</v>
      </c>
      <c r="G51" s="165">
        <v>1440</v>
      </c>
      <c r="H51" s="166">
        <v>1620</v>
      </c>
      <c r="I51" s="163">
        <f t="shared" si="19"/>
        <v>1898.9</v>
      </c>
      <c r="J51" s="163">
        <f t="shared" si="19"/>
        <v>2208.1</v>
      </c>
      <c r="K51" s="163">
        <f t="shared" si="19"/>
        <v>2506.1</v>
      </c>
      <c r="L51" s="163">
        <f t="shared" si="19"/>
        <v>2806.5</v>
      </c>
      <c r="M51" s="163">
        <f t="shared" si="19"/>
        <v>3085.5</v>
      </c>
      <c r="N51" s="163">
        <f t="shared" si="19"/>
        <v>3405.1</v>
      </c>
      <c r="O51" s="163">
        <f t="shared" si="19"/>
        <v>3767.4</v>
      </c>
      <c r="P51" s="163">
        <f t="shared" si="19"/>
        <v>4090.6</v>
      </c>
      <c r="Q51" s="163">
        <f t="shared" si="19"/>
        <v>4312.7</v>
      </c>
      <c r="R51" s="163">
        <f t="shared" si="19"/>
        <v>4401.5999999999995</v>
      </c>
      <c r="S51" s="163">
        <f t="shared" si="19"/>
        <v>4673.2999999999993</v>
      </c>
      <c r="T51" s="163">
        <f t="shared" si="19"/>
        <v>5024.9999999999991</v>
      </c>
      <c r="U51" s="163">
        <f t="shared" si="19"/>
        <v>5241.9999999999991</v>
      </c>
      <c r="V51" s="163">
        <f t="shared" si="19"/>
        <v>5493.8999999999987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</row>
    <row r="52" spans="2:39" x14ac:dyDescent="0.3">
      <c r="B52" s="751" t="s">
        <v>16</v>
      </c>
      <c r="C52" s="18" t="s">
        <v>17</v>
      </c>
      <c r="D52" s="163">
        <f>D13+Agosto23!AF49</f>
        <v>137275.30000000002</v>
      </c>
      <c r="E52" s="164">
        <f t="shared" si="18"/>
        <v>137610.50000000003</v>
      </c>
      <c r="F52" s="164">
        <f t="shared" si="18"/>
        <v>138050.30000000002</v>
      </c>
      <c r="G52" s="165">
        <v>138545</v>
      </c>
      <c r="H52" s="166">
        <v>138937</v>
      </c>
      <c r="I52" s="163">
        <f t="shared" si="19"/>
        <v>139411.29999999999</v>
      </c>
      <c r="J52" s="163">
        <f t="shared" si="19"/>
        <v>139901.09999999998</v>
      </c>
      <c r="K52" s="163">
        <f t="shared" si="19"/>
        <v>140350.69999999998</v>
      </c>
      <c r="L52" s="163">
        <f t="shared" si="19"/>
        <v>140822.59999999998</v>
      </c>
      <c r="M52" s="163">
        <f t="shared" si="19"/>
        <v>141304.49999999997</v>
      </c>
      <c r="N52" s="163">
        <f t="shared" si="19"/>
        <v>141786.09999999998</v>
      </c>
      <c r="O52" s="163">
        <f t="shared" si="19"/>
        <v>142366.29999999999</v>
      </c>
      <c r="P52" s="163">
        <f t="shared" si="19"/>
        <v>142895.79999999999</v>
      </c>
      <c r="Q52" s="163">
        <f t="shared" si="19"/>
        <v>143288.59999999998</v>
      </c>
      <c r="R52" s="163">
        <f t="shared" si="19"/>
        <v>143437.79999999999</v>
      </c>
      <c r="S52" s="163">
        <f t="shared" si="19"/>
        <v>143879.4</v>
      </c>
      <c r="T52" s="163">
        <f t="shared" si="19"/>
        <v>144450.1</v>
      </c>
      <c r="U52" s="163">
        <f t="shared" si="19"/>
        <v>144817.4</v>
      </c>
      <c r="V52" s="163">
        <f t="shared" si="19"/>
        <v>145222.6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</row>
    <row r="53" spans="2:39" x14ac:dyDescent="0.3">
      <c r="B53" s="752"/>
      <c r="C53" s="18" t="s">
        <v>18</v>
      </c>
      <c r="D53" s="163">
        <f>D14+Agosto23!AF50</f>
        <v>127622.40000000001</v>
      </c>
      <c r="E53" s="164">
        <f t="shared" si="18"/>
        <v>127966.6</v>
      </c>
      <c r="F53" s="164">
        <f t="shared" si="18"/>
        <v>128406.8</v>
      </c>
      <c r="G53" s="165">
        <v>128878</v>
      </c>
      <c r="H53" s="166">
        <v>129112</v>
      </c>
      <c r="I53" s="163">
        <f t="shared" si="19"/>
        <v>129635.4</v>
      </c>
      <c r="J53" s="163">
        <f t="shared" si="19"/>
        <v>130159</v>
      </c>
      <c r="K53" s="163">
        <f t="shared" si="19"/>
        <v>130650.8</v>
      </c>
      <c r="L53" s="163">
        <f t="shared" si="19"/>
        <v>131178.20000000001</v>
      </c>
      <c r="M53" s="163">
        <f t="shared" si="19"/>
        <v>131663.6</v>
      </c>
      <c r="N53" s="163">
        <f t="shared" si="19"/>
        <v>132196.6</v>
      </c>
      <c r="O53" s="163">
        <f>N53+O14</f>
        <v>132767.80000000002</v>
      </c>
      <c r="P53" s="163">
        <f t="shared" si="19"/>
        <v>133317.00000000003</v>
      </c>
      <c r="Q53" s="163">
        <f t="shared" si="19"/>
        <v>133770.00000000003</v>
      </c>
      <c r="R53" s="163">
        <f t="shared" si="19"/>
        <v>133918.60000000003</v>
      </c>
      <c r="S53" s="163">
        <f t="shared" si="19"/>
        <v>134403.10000000003</v>
      </c>
      <c r="T53" s="163" t="e">
        <f>S53+#REF!</f>
        <v>#REF!</v>
      </c>
      <c r="U53" s="163" t="e">
        <f>T53+U14</f>
        <v>#REF!</v>
      </c>
      <c r="V53" s="163" t="e">
        <f t="shared" si="19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</row>
    <row r="54" spans="2:39" x14ac:dyDescent="0.3">
      <c r="B54" s="752"/>
      <c r="C54" s="18" t="s">
        <v>19</v>
      </c>
      <c r="D54" s="163">
        <f>D15+Agosto23!AF51</f>
        <v>37798.9</v>
      </c>
      <c r="E54" s="164">
        <f t="shared" si="18"/>
        <v>37895.1</v>
      </c>
      <c r="F54" s="164">
        <f t="shared" si="18"/>
        <v>38019.1</v>
      </c>
      <c r="G54" s="165">
        <v>38160</v>
      </c>
      <c r="H54" s="166">
        <v>38222</v>
      </c>
      <c r="I54" s="163">
        <f t="shared" si="19"/>
        <v>38366.5</v>
      </c>
      <c r="J54" s="163">
        <f t="shared" si="19"/>
        <v>38511.5</v>
      </c>
      <c r="K54" s="163">
        <f t="shared" si="19"/>
        <v>38655.699999999997</v>
      </c>
      <c r="L54" s="163">
        <f t="shared" si="19"/>
        <v>38811.699999999997</v>
      </c>
      <c r="M54" s="163">
        <f t="shared" si="19"/>
        <v>38948.799999999996</v>
      </c>
      <c r="N54" s="163">
        <f t="shared" si="19"/>
        <v>39107.499999999993</v>
      </c>
      <c r="O54" s="163">
        <f>N54+O15</f>
        <v>39272.099999999991</v>
      </c>
      <c r="P54" s="163">
        <f t="shared" si="19"/>
        <v>39426.299999999988</v>
      </c>
      <c r="Q54" s="163">
        <f t="shared" si="19"/>
        <v>39550.599999999991</v>
      </c>
      <c r="R54" s="163">
        <f t="shared" si="19"/>
        <v>39590.799999999988</v>
      </c>
      <c r="S54" s="163">
        <f t="shared" si="19"/>
        <v>39729.19999999999</v>
      </c>
      <c r="T54" s="163">
        <f>S54+T15</f>
        <v>39882.399999999987</v>
      </c>
      <c r="U54" s="163">
        <f>T54+U15</f>
        <v>39997.19999999999</v>
      </c>
      <c r="V54" s="163">
        <f t="shared" si="19"/>
        <v>40132.19999999999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</row>
    <row r="55" spans="2:39" x14ac:dyDescent="0.3">
      <c r="B55" s="753"/>
      <c r="C55" s="18" t="s">
        <v>20</v>
      </c>
      <c r="D55" s="163">
        <f>D16+Agosto23!AF52</f>
        <v>97347.799999999988</v>
      </c>
      <c r="E55" s="164">
        <f t="shared" si="18"/>
        <v>97648.699999999983</v>
      </c>
      <c r="F55" s="164">
        <f t="shared" si="18"/>
        <v>98115.299999999988</v>
      </c>
      <c r="G55" s="165">
        <v>98510</v>
      </c>
      <c r="H55" s="166">
        <v>98809</v>
      </c>
      <c r="I55" s="163">
        <f t="shared" si="19"/>
        <v>99290.3</v>
      </c>
      <c r="J55" s="163">
        <f t="shared" si="19"/>
        <v>99763.5</v>
      </c>
      <c r="K55" s="163">
        <f t="shared" si="19"/>
        <v>100269.5</v>
      </c>
      <c r="L55" s="163">
        <f t="shared" si="19"/>
        <v>100805.5</v>
      </c>
      <c r="M55" s="163">
        <f t="shared" si="19"/>
        <v>101314.8</v>
      </c>
      <c r="N55" s="163">
        <f t="shared" si="19"/>
        <v>101744.2</v>
      </c>
      <c r="O55" s="163">
        <f t="shared" si="19"/>
        <v>102268.2</v>
      </c>
      <c r="P55" s="163">
        <f t="shared" si="19"/>
        <v>102785.3</v>
      </c>
      <c r="Q55" s="163">
        <f t="shared" si="19"/>
        <v>103149.40000000001</v>
      </c>
      <c r="R55" s="163">
        <f t="shared" si="19"/>
        <v>103272.70000000001</v>
      </c>
      <c r="S55" s="163">
        <f t="shared" si="19"/>
        <v>103611.80000000002</v>
      </c>
      <c r="T55" s="163">
        <f>S55+T14</f>
        <v>104155.40000000002</v>
      </c>
      <c r="U55" s="163">
        <f t="shared" si="19"/>
        <v>104542.00000000003</v>
      </c>
      <c r="V55" s="163">
        <f t="shared" si="19"/>
        <v>104977.80000000003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</row>
    <row r="56" spans="2:39" x14ac:dyDescent="0.3">
      <c r="B56" s="754" t="s">
        <v>21</v>
      </c>
      <c r="C56" s="18" t="s">
        <v>22</v>
      </c>
      <c r="D56" s="163">
        <f>D17+Agosto23!AF53</f>
        <v>66046.600000000006</v>
      </c>
      <c r="E56" s="164">
        <f t="shared" si="18"/>
        <v>66452.400000000009</v>
      </c>
      <c r="F56" s="164">
        <f t="shared" si="18"/>
        <v>66892.900000000009</v>
      </c>
      <c r="G56" s="165">
        <v>67299</v>
      </c>
      <c r="H56" s="166">
        <v>67726</v>
      </c>
      <c r="I56" s="163">
        <f t="shared" si="19"/>
        <v>68194.7</v>
      </c>
      <c r="J56" s="163">
        <f t="shared" si="19"/>
        <v>68688.599999999991</v>
      </c>
      <c r="K56" s="163">
        <f t="shared" si="19"/>
        <v>69124.599999999991</v>
      </c>
      <c r="L56" s="163">
        <f t="shared" si="19"/>
        <v>69578.099999999991</v>
      </c>
      <c r="M56" s="163">
        <f t="shared" si="19"/>
        <v>69965.299999999988</v>
      </c>
      <c r="N56" s="163">
        <f t="shared" si="19"/>
        <v>70416.999999999985</v>
      </c>
      <c r="O56" s="163">
        <f t="shared" si="19"/>
        <v>70948.39999999998</v>
      </c>
      <c r="P56" s="163">
        <f t="shared" si="19"/>
        <v>71382.099999999977</v>
      </c>
      <c r="Q56" s="163">
        <f t="shared" si="19"/>
        <v>71786.499999999971</v>
      </c>
      <c r="R56" s="163">
        <f t="shared" si="19"/>
        <v>71918.799999999974</v>
      </c>
      <c r="S56" s="163">
        <f t="shared" si="19"/>
        <v>72444.199999999968</v>
      </c>
      <c r="T56" s="163">
        <f t="shared" si="19"/>
        <v>72957.699999999968</v>
      </c>
      <c r="U56" s="163">
        <f t="shared" si="19"/>
        <v>73318.599999999962</v>
      </c>
      <c r="V56" s="163">
        <f t="shared" si="19"/>
        <v>73718.299999999959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</row>
    <row r="57" spans="2:39" x14ac:dyDescent="0.3">
      <c r="B57" s="754"/>
      <c r="C57" s="18" t="s">
        <v>23</v>
      </c>
      <c r="D57" s="163">
        <f>D18+Agosto23!AF54</f>
        <v>74648.800000000003</v>
      </c>
      <c r="E57" s="164">
        <f t="shared" si="18"/>
        <v>75110</v>
      </c>
      <c r="F57" s="164">
        <f t="shared" si="18"/>
        <v>75598.8</v>
      </c>
      <c r="G57" s="165">
        <v>75901</v>
      </c>
      <c r="H57" s="166">
        <v>76333</v>
      </c>
      <c r="I57" s="163">
        <f t="shared" si="19"/>
        <v>76861.8</v>
      </c>
      <c r="J57" s="163">
        <f t="shared" si="19"/>
        <v>77398.400000000009</v>
      </c>
      <c r="K57" s="163">
        <f t="shared" si="19"/>
        <v>77857.200000000012</v>
      </c>
      <c r="L57" s="163">
        <f t="shared" si="19"/>
        <v>78344.400000000009</v>
      </c>
      <c r="M57" s="163">
        <f>L57+M21</f>
        <v>78526.200000000012</v>
      </c>
      <c r="N57" s="163">
        <f t="shared" si="19"/>
        <v>79033.500000000015</v>
      </c>
      <c r="O57" s="163">
        <f t="shared" si="19"/>
        <v>79621.900000000009</v>
      </c>
      <c r="P57" s="163">
        <f t="shared" si="19"/>
        <v>80091.600000000006</v>
      </c>
      <c r="Q57" s="163">
        <f t="shared" si="19"/>
        <v>80527</v>
      </c>
      <c r="R57" s="163">
        <f t="shared" si="19"/>
        <v>80680.399999999994</v>
      </c>
      <c r="S57" s="163">
        <f t="shared" si="19"/>
        <v>81257.7</v>
      </c>
      <c r="T57" s="163">
        <f t="shared" si="19"/>
        <v>81824.800000000003</v>
      </c>
      <c r="U57" s="163">
        <f t="shared" si="19"/>
        <v>81975.8</v>
      </c>
      <c r="V57" s="163">
        <f t="shared" si="19"/>
        <v>81975.8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</row>
    <row r="58" spans="2:39" x14ac:dyDescent="0.3">
      <c r="B58" s="754"/>
      <c r="C58" s="18" t="s">
        <v>24</v>
      </c>
      <c r="D58" s="163">
        <f>D19+Agosto23!AF55</f>
        <v>136285</v>
      </c>
      <c r="E58" s="164">
        <f t="shared" si="18"/>
        <v>136646</v>
      </c>
      <c r="F58" s="164">
        <f t="shared" si="18"/>
        <v>137034.1</v>
      </c>
      <c r="G58" s="165">
        <v>137294</v>
      </c>
      <c r="H58" s="166">
        <v>137664</v>
      </c>
      <c r="I58" s="163">
        <f>H58+I19</f>
        <v>138073.4</v>
      </c>
      <c r="J58" s="163">
        <f t="shared" si="19"/>
        <v>138501.19999999998</v>
      </c>
      <c r="K58" s="163">
        <f t="shared" si="19"/>
        <v>138879.79999999999</v>
      </c>
      <c r="L58" s="163">
        <f>K58+L21</f>
        <v>139069.59999999998</v>
      </c>
      <c r="M58" s="163">
        <f t="shared" si="19"/>
        <v>139465.19999999998</v>
      </c>
      <c r="N58" s="163">
        <f t="shared" si="19"/>
        <v>139806.99999999997</v>
      </c>
      <c r="O58" s="163">
        <f t="shared" si="19"/>
        <v>140258.49999999997</v>
      </c>
      <c r="P58" s="163">
        <f t="shared" si="19"/>
        <v>140637.59999999998</v>
      </c>
      <c r="Q58" s="163">
        <f t="shared" si="19"/>
        <v>140976.99999999997</v>
      </c>
      <c r="R58" s="163">
        <f t="shared" si="19"/>
        <v>141087.99999999997</v>
      </c>
      <c r="S58" s="163">
        <f t="shared" si="19"/>
        <v>141535.39999999997</v>
      </c>
      <c r="T58" s="163">
        <f t="shared" si="19"/>
        <v>141981.89999999997</v>
      </c>
      <c r="U58" s="163">
        <f t="shared" si="19"/>
        <v>142321.69999999995</v>
      </c>
      <c r="V58" s="163">
        <f t="shared" si="19"/>
        <v>142664.29999999996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</row>
    <row r="59" spans="2:39" x14ac:dyDescent="0.3">
      <c r="B59" s="754"/>
      <c r="C59" s="18" t="s">
        <v>25</v>
      </c>
      <c r="D59" s="163">
        <f>D20+Agosto23!AF56</f>
        <v>174718.9</v>
      </c>
      <c r="E59" s="164">
        <f t="shared" si="18"/>
        <v>175178.1</v>
      </c>
      <c r="F59" s="164">
        <f t="shared" si="18"/>
        <v>175668.6</v>
      </c>
      <c r="G59" s="165">
        <v>176032</v>
      </c>
      <c r="H59" s="166">
        <v>176536</v>
      </c>
      <c r="I59" s="163">
        <f>H59+I20</f>
        <v>177081.9</v>
      </c>
      <c r="J59" s="163">
        <f t="shared" si="19"/>
        <v>177641.1</v>
      </c>
      <c r="K59" s="163">
        <f t="shared" si="19"/>
        <v>178121.60000000001</v>
      </c>
      <c r="L59" s="163">
        <f t="shared" si="19"/>
        <v>178678.80000000002</v>
      </c>
      <c r="M59" s="163">
        <f t="shared" si="19"/>
        <v>179177.60000000001</v>
      </c>
      <c r="N59" s="163">
        <f>M59+N21</f>
        <v>179334.2</v>
      </c>
      <c r="O59" s="163" t="e">
        <f>N59+#REF!</f>
        <v>#REF!</v>
      </c>
      <c r="P59" s="163" t="e">
        <f t="shared" si="19"/>
        <v>#REF!</v>
      </c>
      <c r="Q59" s="163" t="e">
        <f t="shared" si="19"/>
        <v>#REF!</v>
      </c>
      <c r="R59" s="163" t="e">
        <f t="shared" si="19"/>
        <v>#REF!</v>
      </c>
      <c r="S59" s="163" t="e">
        <f>R59+S21</f>
        <v>#REF!</v>
      </c>
      <c r="T59" s="163" t="e">
        <f t="shared" si="19"/>
        <v>#REF!</v>
      </c>
      <c r="U59" s="163" t="e">
        <f t="shared" si="19"/>
        <v>#REF!</v>
      </c>
      <c r="V59" s="163" t="e">
        <f t="shared" si="19"/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</row>
    <row r="60" spans="2:39" x14ac:dyDescent="0.3">
      <c r="B60" s="754"/>
      <c r="C60" s="18" t="s">
        <v>26</v>
      </c>
      <c r="D60" s="163">
        <f>D21+Agosto23!AF57</f>
        <v>82306.400000000009</v>
      </c>
      <c r="E60" s="164">
        <f t="shared" ref="E60:F66" si="20">D60+E21</f>
        <v>82445.3</v>
      </c>
      <c r="F60" s="164">
        <f t="shared" si="20"/>
        <v>82685.3</v>
      </c>
      <c r="G60" s="165">
        <v>83628</v>
      </c>
      <c r="H60" s="166">
        <v>84081</v>
      </c>
      <c r="I60" s="163">
        <f t="shared" ref="I60:L66" si="21">H60+I21</f>
        <v>84250.5</v>
      </c>
      <c r="J60" s="163">
        <f t="shared" si="21"/>
        <v>84454.3</v>
      </c>
      <c r="K60" s="163">
        <f t="shared" si="21"/>
        <v>84633.8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22">N60+O21</f>
        <v>#REF!</v>
      </c>
      <c r="P60" s="163" t="e">
        <f t="shared" si="22"/>
        <v>#REF!</v>
      </c>
      <c r="Q60" s="163" t="e">
        <f t="shared" si="22"/>
        <v>#REF!</v>
      </c>
      <c r="R60" s="163" t="e">
        <f t="shared" si="22"/>
        <v>#REF!</v>
      </c>
      <c r="S60" s="163" t="e">
        <f>R60+#REF!</f>
        <v>#REF!</v>
      </c>
      <c r="T60" s="163" t="e">
        <f t="shared" ref="T60:V66" si="23">S60+T21</f>
        <v>#REF!</v>
      </c>
      <c r="U60" s="163" t="e">
        <f t="shared" si="23"/>
        <v>#REF!</v>
      </c>
      <c r="V60" s="163" t="e">
        <f t="shared" si="23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</row>
    <row r="61" spans="2:39" x14ac:dyDescent="0.3">
      <c r="B61" s="754"/>
      <c r="C61" s="18" t="s">
        <v>27</v>
      </c>
      <c r="D61" s="163">
        <f>D22+Agosto23!AF58</f>
        <v>61528.299999999996</v>
      </c>
      <c r="E61" s="164">
        <f t="shared" si="20"/>
        <v>61926.1</v>
      </c>
      <c r="F61" s="164">
        <f t="shared" si="20"/>
        <v>62491.9</v>
      </c>
      <c r="G61" s="165">
        <v>63058</v>
      </c>
      <c r="H61" s="166">
        <v>63281</v>
      </c>
      <c r="I61" s="163">
        <f t="shared" si="21"/>
        <v>63879.8</v>
      </c>
      <c r="J61" s="163">
        <f t="shared" si="21"/>
        <v>64482.8</v>
      </c>
      <c r="K61" s="163">
        <f t="shared" si="21"/>
        <v>65040.600000000006</v>
      </c>
      <c r="L61" s="163">
        <f t="shared" si="21"/>
        <v>65688.5</v>
      </c>
      <c r="M61" s="163">
        <f t="shared" si="22"/>
        <v>66285.899999999994</v>
      </c>
      <c r="N61" s="163">
        <f t="shared" si="22"/>
        <v>66860.899999999994</v>
      </c>
      <c r="O61" s="163">
        <f t="shared" si="22"/>
        <v>67503.299999999988</v>
      </c>
      <c r="P61" s="163">
        <f t="shared" si="22"/>
        <v>68135.499999999985</v>
      </c>
      <c r="Q61" s="163">
        <f t="shared" si="22"/>
        <v>68662.89999999998</v>
      </c>
      <c r="R61" s="163">
        <f t="shared" si="22"/>
        <v>68827.599999999977</v>
      </c>
      <c r="S61" s="163">
        <f t="shared" si="22"/>
        <v>69442.599999999977</v>
      </c>
      <c r="T61" s="163">
        <f t="shared" si="23"/>
        <v>70038.999999999971</v>
      </c>
      <c r="U61" s="163">
        <f t="shared" si="23"/>
        <v>70450.899999999965</v>
      </c>
      <c r="V61" s="163">
        <f t="shared" si="23"/>
        <v>70913.999999999971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</row>
    <row r="62" spans="2:39" x14ac:dyDescent="0.3">
      <c r="B62" s="754"/>
      <c r="C62" s="18" t="s">
        <v>28</v>
      </c>
      <c r="D62" s="163">
        <f>D23+Agosto23!AF59</f>
        <v>87627.97</v>
      </c>
      <c r="E62" s="164">
        <f t="shared" si="20"/>
        <v>87938.37</v>
      </c>
      <c r="F62" s="164">
        <f t="shared" si="20"/>
        <v>88406.76999999999</v>
      </c>
      <c r="G62" s="165">
        <v>87693.64</v>
      </c>
      <c r="H62" s="166">
        <v>87903.16</v>
      </c>
      <c r="I62" s="163">
        <f t="shared" si="21"/>
        <v>88416.960000000006</v>
      </c>
      <c r="J62" s="163">
        <f t="shared" si="21"/>
        <v>88927.060000000012</v>
      </c>
      <c r="K62" s="163">
        <f>J62+K23</f>
        <v>89424.960000000006</v>
      </c>
      <c r="L62" s="163">
        <f t="shared" si="21"/>
        <v>89990.36</v>
      </c>
      <c r="M62" s="163">
        <f t="shared" si="22"/>
        <v>90527.06</v>
      </c>
      <c r="N62" s="163">
        <f t="shared" si="22"/>
        <v>91025.56</v>
      </c>
      <c r="O62" s="163">
        <f>N62+O20</f>
        <v>91599.06</v>
      </c>
      <c r="P62" s="163">
        <f t="shared" si="22"/>
        <v>92135.959999999992</v>
      </c>
      <c r="Q62" s="163">
        <f t="shared" si="22"/>
        <v>92577.06</v>
      </c>
      <c r="R62" s="163">
        <f t="shared" si="22"/>
        <v>92702.86</v>
      </c>
      <c r="S62" s="163">
        <f t="shared" si="22"/>
        <v>93220.96</v>
      </c>
      <c r="T62" s="163">
        <f t="shared" si="23"/>
        <v>93752.86</v>
      </c>
      <c r="U62" s="163">
        <f t="shared" si="23"/>
        <v>94102.96</v>
      </c>
      <c r="V62" s="163">
        <f t="shared" si="23"/>
        <v>94512.16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</row>
    <row r="63" spans="2:39" x14ac:dyDescent="0.3">
      <c r="B63" s="754"/>
      <c r="C63" s="18" t="s">
        <v>29</v>
      </c>
      <c r="D63" s="163">
        <f>D24+Agosto23!AF60</f>
        <v>129868.9</v>
      </c>
      <c r="E63" s="164">
        <f t="shared" si="20"/>
        <v>131078.9</v>
      </c>
      <c r="F63" s="164">
        <f t="shared" si="20"/>
        <v>132858.9</v>
      </c>
      <c r="G63" s="165">
        <v>130195</v>
      </c>
      <c r="H63" s="166">
        <v>130451</v>
      </c>
      <c r="I63" s="163">
        <f t="shared" si="21"/>
        <v>132338.6</v>
      </c>
      <c r="J63" s="163">
        <f t="shared" si="21"/>
        <v>134221</v>
      </c>
      <c r="K63" s="163">
        <f>J63+K24</f>
        <v>135995.9</v>
      </c>
      <c r="L63" s="163">
        <f t="shared" si="21"/>
        <v>138035.9</v>
      </c>
      <c r="M63" s="163">
        <f t="shared" si="22"/>
        <v>139968.6</v>
      </c>
      <c r="N63" s="163">
        <f t="shared" si="22"/>
        <v>141858.6</v>
      </c>
      <c r="O63" s="163">
        <f t="shared" si="22"/>
        <v>143868.6</v>
      </c>
      <c r="P63" s="163">
        <f t="shared" si="22"/>
        <v>145808.6</v>
      </c>
      <c r="Q63" s="163">
        <f t="shared" si="22"/>
        <v>147455.1</v>
      </c>
      <c r="R63" s="163">
        <f t="shared" si="22"/>
        <v>147953.70000000001</v>
      </c>
      <c r="S63" s="163">
        <f t="shared" si="22"/>
        <v>149963.70000000001</v>
      </c>
      <c r="T63" s="163">
        <f t="shared" si="23"/>
        <v>151903.70000000001</v>
      </c>
      <c r="U63" s="163">
        <f t="shared" si="23"/>
        <v>153243.70000000001</v>
      </c>
      <c r="V63" s="163">
        <f t="shared" si="23"/>
        <v>154775.70000000001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</row>
    <row r="64" spans="2:39" x14ac:dyDescent="0.3">
      <c r="B64" s="754"/>
      <c r="C64" s="18" t="s">
        <v>30</v>
      </c>
      <c r="D64" s="163">
        <f>D25+Agosto23!AF61</f>
        <v>14599.2</v>
      </c>
      <c r="E64" s="164">
        <f t="shared" si="20"/>
        <v>14863.400000000001</v>
      </c>
      <c r="F64" s="164">
        <f t="shared" si="20"/>
        <v>15356.800000000001</v>
      </c>
      <c r="G64" s="165">
        <v>18667</v>
      </c>
      <c r="H64" s="166">
        <v>19364</v>
      </c>
      <c r="I64" s="163">
        <f t="shared" si="21"/>
        <v>19985.7</v>
      </c>
      <c r="J64" s="163">
        <f t="shared" si="21"/>
        <v>20559.8</v>
      </c>
      <c r="K64" s="163">
        <f t="shared" si="21"/>
        <v>21124.6</v>
      </c>
      <c r="L64" s="163">
        <f t="shared" si="21"/>
        <v>21721.599999999999</v>
      </c>
      <c r="M64" s="163">
        <f t="shared" si="22"/>
        <v>22346.699999999997</v>
      </c>
      <c r="N64" s="163">
        <f t="shared" si="22"/>
        <v>22927.899999999998</v>
      </c>
      <c r="O64" s="163">
        <f t="shared" si="22"/>
        <v>23487.699999999997</v>
      </c>
      <c r="P64" s="163">
        <f t="shared" si="22"/>
        <v>24028.699999999997</v>
      </c>
      <c r="Q64" s="163">
        <f t="shared" si="22"/>
        <v>24404.799999999996</v>
      </c>
      <c r="R64" s="163">
        <f t="shared" si="22"/>
        <v>24524.499999999996</v>
      </c>
      <c r="S64" s="163">
        <f t="shared" si="22"/>
        <v>25125.599999999995</v>
      </c>
      <c r="T64" s="163">
        <f t="shared" si="23"/>
        <v>25665.199999999993</v>
      </c>
      <c r="U64" s="163">
        <f t="shared" si="23"/>
        <v>26101.599999999995</v>
      </c>
      <c r="V64" s="163">
        <f t="shared" si="23"/>
        <v>26441.099999999995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</row>
    <row r="65" spans="2:39" x14ac:dyDescent="0.3">
      <c r="B65" s="754"/>
      <c r="C65" s="18" t="s">
        <v>111</v>
      </c>
      <c r="D65" s="163">
        <f>D26+Agosto23!AF62</f>
        <v>45264.800000000003</v>
      </c>
      <c r="E65" s="164">
        <f t="shared" si="20"/>
        <v>45515.4</v>
      </c>
      <c r="F65" s="164">
        <f t="shared" si="20"/>
        <v>45994.3</v>
      </c>
      <c r="G65" s="165">
        <v>46772</v>
      </c>
      <c r="H65" s="166">
        <v>47086</v>
      </c>
      <c r="I65" s="163">
        <f t="shared" si="21"/>
        <v>47555.7</v>
      </c>
      <c r="J65" s="163">
        <f t="shared" si="21"/>
        <v>47951</v>
      </c>
      <c r="K65" s="163">
        <f t="shared" si="21"/>
        <v>48482.2</v>
      </c>
      <c r="L65" s="163">
        <f t="shared" si="21"/>
        <v>49048.1</v>
      </c>
      <c r="M65" s="163">
        <f t="shared" si="22"/>
        <v>49601.799999999996</v>
      </c>
      <c r="N65" s="163">
        <f t="shared" si="22"/>
        <v>50053.399999999994</v>
      </c>
      <c r="O65" s="163">
        <f t="shared" si="22"/>
        <v>50613.399999999994</v>
      </c>
      <c r="P65" s="163">
        <f t="shared" si="22"/>
        <v>51161.099999999991</v>
      </c>
      <c r="Q65" s="163">
        <f t="shared" si="22"/>
        <v>51161.099999999991</v>
      </c>
      <c r="R65" s="163">
        <f t="shared" si="22"/>
        <v>51312.799999999988</v>
      </c>
      <c r="S65" s="163">
        <f t="shared" si="22"/>
        <v>51703.499999999985</v>
      </c>
      <c r="T65" s="163">
        <f t="shared" si="23"/>
        <v>51981.699999999983</v>
      </c>
      <c r="U65" s="163">
        <f t="shared" si="23"/>
        <v>52282.699999999983</v>
      </c>
      <c r="V65" s="163">
        <f t="shared" si="23"/>
        <v>52655.499999999985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</row>
    <row r="66" spans="2:39" ht="15" thickBot="1" x14ac:dyDescent="0.35">
      <c r="B66" s="754"/>
      <c r="C66" s="18" t="s">
        <v>32</v>
      </c>
      <c r="D66" s="163">
        <f>D27+Agosto23!AF63</f>
        <v>9151.7000000000007</v>
      </c>
      <c r="E66" s="164">
        <f t="shared" si="20"/>
        <v>9336.8000000000011</v>
      </c>
      <c r="F66" s="164">
        <f t="shared" si="20"/>
        <v>9514.2000000000007</v>
      </c>
      <c r="G66" s="165">
        <v>10779</v>
      </c>
      <c r="H66" s="166">
        <v>10940</v>
      </c>
      <c r="I66" s="163">
        <f t="shared" si="21"/>
        <v>11384.9</v>
      </c>
      <c r="J66" s="163">
        <f t="shared" si="21"/>
        <v>11687.3</v>
      </c>
      <c r="K66" s="163">
        <f t="shared" si="21"/>
        <v>12193.199999999999</v>
      </c>
      <c r="L66" s="163">
        <f t="shared" si="21"/>
        <v>12715.199999999999</v>
      </c>
      <c r="M66" s="163">
        <f t="shared" si="22"/>
        <v>13203.699999999999</v>
      </c>
      <c r="N66" s="163">
        <f t="shared" si="22"/>
        <v>13726.9</v>
      </c>
      <c r="O66" s="163">
        <f t="shared" si="22"/>
        <v>14174.9</v>
      </c>
      <c r="P66" s="163">
        <f t="shared" si="22"/>
        <v>14666.9</v>
      </c>
      <c r="Q66" s="163">
        <f t="shared" si="22"/>
        <v>15000.9</v>
      </c>
      <c r="R66" s="163">
        <f t="shared" si="22"/>
        <v>15084.1</v>
      </c>
      <c r="S66" s="163">
        <f t="shared" si="22"/>
        <v>15561.4</v>
      </c>
      <c r="T66" s="163">
        <f t="shared" si="23"/>
        <v>16046.9</v>
      </c>
      <c r="U66" s="163">
        <f t="shared" si="23"/>
        <v>16455</v>
      </c>
      <c r="V66" s="163">
        <f t="shared" si="23"/>
        <v>16764.599999999999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</row>
    <row r="67" spans="2:39" x14ac:dyDescent="0.3">
      <c r="B67" s="754"/>
      <c r="C67" s="18" t="s">
        <v>112</v>
      </c>
      <c r="D67" s="163">
        <f>D29+Agosto23!AF64</f>
        <v>18605.8</v>
      </c>
      <c r="E67" s="164">
        <f>D67+E29</f>
        <v>18780.399999999998</v>
      </c>
      <c r="F67" s="164">
        <f>E67+F29</f>
        <v>18956.399999999998</v>
      </c>
      <c r="G67" s="165">
        <v>20520.400000000001</v>
      </c>
      <c r="H67" s="166">
        <v>20739</v>
      </c>
      <c r="I67" s="163">
        <f t="shared" ref="I67:V67" si="24">H67+I29</f>
        <v>21183.5</v>
      </c>
      <c r="J67" s="163">
        <f t="shared" si="24"/>
        <v>21468.799999999999</v>
      </c>
      <c r="K67" s="163">
        <f t="shared" si="24"/>
        <v>21959.1</v>
      </c>
      <c r="L67" s="163">
        <f t="shared" si="24"/>
        <v>22466.3</v>
      </c>
      <c r="M67" s="163">
        <f t="shared" si="24"/>
        <v>22966.2</v>
      </c>
      <c r="N67" s="163">
        <f t="shared" si="24"/>
        <v>23479.4</v>
      </c>
      <c r="O67" s="163">
        <f t="shared" si="24"/>
        <v>23955.600000000002</v>
      </c>
      <c r="P67" s="163">
        <f t="shared" si="24"/>
        <v>24431.9</v>
      </c>
      <c r="Q67" s="163">
        <f t="shared" si="24"/>
        <v>24762.9</v>
      </c>
      <c r="R67" s="163">
        <f t="shared" si="24"/>
        <v>24838.300000000003</v>
      </c>
      <c r="S67" s="163">
        <f t="shared" si="24"/>
        <v>25295.300000000003</v>
      </c>
      <c r="T67" s="163">
        <f t="shared" si="24"/>
        <v>25791.700000000004</v>
      </c>
      <c r="U67" s="163">
        <f t="shared" si="24"/>
        <v>26188.700000000004</v>
      </c>
      <c r="V67" s="163">
        <f t="shared" si="24"/>
        <v>26515.200000000004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9" x14ac:dyDescent="0.3">
      <c r="B68" s="756" t="s">
        <v>196</v>
      </c>
      <c r="C68" s="756"/>
      <c r="D68" s="756"/>
      <c r="E68" s="756"/>
    </row>
    <row r="69" spans="2:39" x14ac:dyDescent="0.3">
      <c r="B69" s="757" t="s">
        <v>132</v>
      </c>
      <c r="C69" s="757"/>
      <c r="D69" s="757"/>
      <c r="E69" s="757"/>
    </row>
  </sheetData>
  <mergeCells count="14">
    <mergeCell ref="B68:E68"/>
    <mergeCell ref="B69:E69"/>
    <mergeCell ref="AE34:AG34"/>
    <mergeCell ref="AE35:AG35"/>
    <mergeCell ref="AE36:AG36"/>
    <mergeCell ref="B44:B51"/>
    <mergeCell ref="B52:B55"/>
    <mergeCell ref="B56:B67"/>
    <mergeCell ref="B32:C32"/>
    <mergeCell ref="B4:C4"/>
    <mergeCell ref="B5:B12"/>
    <mergeCell ref="B13:B16"/>
    <mergeCell ref="B17:B29"/>
    <mergeCell ref="B30:B31"/>
  </mergeCells>
  <conditionalFormatting sqref="AL5:BO31">
    <cfRule type="cellIs" dxfId="136" priority="2" operator="equal">
      <formula>"VAZIO"</formula>
    </cfRule>
  </conditionalFormatting>
  <conditionalFormatting sqref="AL5:BP31">
    <cfRule type="expression" dxfId="135" priority="6">
      <formula>AL5&gt;$BQ5</formula>
    </cfRule>
    <cfRule type="expression" dxfId="134" priority="7">
      <formula>AL5&lt;($BQ5-0.01)</formula>
    </cfRule>
  </conditionalFormatting>
  <conditionalFormatting sqref="AM8:BO8 BJ9 AM16:BO16 BG17 AM24:BO25">
    <cfRule type="cellIs" dxfId="133" priority="3" operator="equal">
      <formula>"""VAZIO"""</formula>
    </cfRule>
  </conditionalFormatting>
  <conditionalFormatting sqref="AP5:BO31">
    <cfRule type="expression" dxfId="132" priority="1">
      <formula>AP5=0</formula>
    </cfRule>
  </conditionalFormatting>
  <conditionalFormatting sqref="BT5:BT31">
    <cfRule type="cellIs" dxfId="131" priority="4" operator="greaterThan">
      <formula>0</formula>
    </cfRule>
    <cfRule type="cellIs" dxfId="130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7F58-5878-4E9E-86B0-35A5D522B6C4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9935F-DB6E-4220-83E8-6B372BE8768A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E91A-FD75-4141-92DA-681591FA604C}">
  <dimension ref="B3:CF69"/>
  <sheetViews>
    <sheetView zoomScaleNormal="100" workbookViewId="0">
      <pane xSplit="3" ySplit="4" topLeftCell="Z5" activePane="bottomRight" state="frozen"/>
      <selection pane="topRight" activeCell="D1" sqref="D1"/>
      <selection pane="bottomLeft" activeCell="A5" sqref="A5"/>
      <selection pane="bottomRight" activeCell="AH12" sqref="Q12:AH12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23" width="16.44140625" customWidth="1"/>
    <col min="24" max="24" width="17.109375" customWidth="1"/>
    <col min="25" max="25" width="17.5546875" customWidth="1"/>
    <col min="26" max="26" width="16.44140625" customWidth="1"/>
    <col min="27" max="27" width="18.109375" customWidth="1"/>
    <col min="28" max="28" width="17.33203125" customWidth="1"/>
    <col min="29" max="29" width="18.88671875" customWidth="1"/>
    <col min="30" max="31" width="18.33203125" customWidth="1"/>
    <col min="32" max="32" width="17.6640625" customWidth="1"/>
    <col min="33" max="34" width="17.8867187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  <col min="78" max="78" width="24.109375" customWidth="1"/>
    <col min="79" max="79" width="16.44140625" customWidth="1"/>
    <col min="83" max="83" width="9.44140625" bestFit="1" customWidth="1"/>
  </cols>
  <sheetData>
    <row r="3" spans="2:84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84" ht="44.25" customHeight="1" thickBot="1" x14ac:dyDescent="0.35">
      <c r="B4" s="768" t="s">
        <v>133</v>
      </c>
      <c r="C4" s="769"/>
      <c r="D4" s="343" t="s">
        <v>441</v>
      </c>
      <c r="E4" s="344" t="s">
        <v>442</v>
      </c>
      <c r="F4" s="344" t="s">
        <v>443</v>
      </c>
      <c r="G4" s="344" t="s">
        <v>444</v>
      </c>
      <c r="H4" s="344" t="s">
        <v>445</v>
      </c>
      <c r="I4" s="344" t="s">
        <v>446</v>
      </c>
      <c r="J4" s="344" t="s">
        <v>447</v>
      </c>
      <c r="K4" s="344" t="s">
        <v>448</v>
      </c>
      <c r="L4" s="344" t="s">
        <v>449</v>
      </c>
      <c r="M4" s="344" t="s">
        <v>450</v>
      </c>
      <c r="N4" s="344" t="s">
        <v>451</v>
      </c>
      <c r="O4" s="344" t="s">
        <v>452</v>
      </c>
      <c r="P4" s="344" t="s">
        <v>453</v>
      </c>
      <c r="Q4" s="344" t="s">
        <v>454</v>
      </c>
      <c r="R4" s="344" t="s">
        <v>455</v>
      </c>
      <c r="S4" s="344" t="s">
        <v>456</v>
      </c>
      <c r="T4" s="344" t="s">
        <v>457</v>
      </c>
      <c r="U4" s="344" t="s">
        <v>458</v>
      </c>
      <c r="V4" s="344" t="s">
        <v>459</v>
      </c>
      <c r="W4" s="344" t="s">
        <v>460</v>
      </c>
      <c r="X4" s="344" t="s">
        <v>461</v>
      </c>
      <c r="Y4" s="344" t="s">
        <v>462</v>
      </c>
      <c r="Z4" s="344" t="s">
        <v>463</v>
      </c>
      <c r="AA4" s="344" t="s">
        <v>464</v>
      </c>
      <c r="AB4" s="344" t="s">
        <v>465</v>
      </c>
      <c r="AC4" s="344" t="s">
        <v>466</v>
      </c>
      <c r="AD4" s="344" t="s">
        <v>467</v>
      </c>
      <c r="AE4" s="344" t="s">
        <v>468</v>
      </c>
      <c r="AF4" s="344" t="s">
        <v>469</v>
      </c>
      <c r="AG4" s="345" t="s">
        <v>470</v>
      </c>
      <c r="AH4" s="345" t="s">
        <v>471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84" x14ac:dyDescent="0.3">
      <c r="B5" s="770" t="s">
        <v>6</v>
      </c>
      <c r="C5" s="328" t="s">
        <v>7</v>
      </c>
      <c r="D5" s="330">
        <v>52.5</v>
      </c>
      <c r="E5" s="103">
        <v>54.4</v>
      </c>
      <c r="F5" s="103">
        <v>49.1</v>
      </c>
      <c r="G5" s="103">
        <v>52.5</v>
      </c>
      <c r="H5" s="103">
        <v>54</v>
      </c>
      <c r="I5" s="331">
        <v>39.9</v>
      </c>
      <c r="J5" s="103">
        <v>33.700000000000003</v>
      </c>
      <c r="K5" s="103">
        <v>46.3</v>
      </c>
      <c r="L5" s="103">
        <v>36.799999999999997</v>
      </c>
      <c r="M5" s="103">
        <v>30.4</v>
      </c>
      <c r="N5" s="283">
        <v>59.8</v>
      </c>
      <c r="O5" s="103">
        <v>42.3</v>
      </c>
      <c r="P5" s="103">
        <v>51.1</v>
      </c>
      <c r="Q5" s="331">
        <v>52.5</v>
      </c>
      <c r="R5" s="103">
        <v>51.3</v>
      </c>
      <c r="S5" s="103">
        <v>45.5</v>
      </c>
      <c r="T5" s="103">
        <v>60.4</v>
      </c>
      <c r="U5" s="103">
        <v>60.4</v>
      </c>
      <c r="V5" s="103">
        <v>42.3</v>
      </c>
      <c r="W5" s="331">
        <v>44.3</v>
      </c>
      <c r="X5" s="103">
        <v>49.3</v>
      </c>
      <c r="Y5" s="103">
        <v>33.6</v>
      </c>
      <c r="Z5" s="104">
        <v>27.5</v>
      </c>
      <c r="AA5" s="332">
        <v>24.9</v>
      </c>
      <c r="AB5" s="333">
        <v>31.3</v>
      </c>
      <c r="AC5" s="104">
        <v>17.899999999999999</v>
      </c>
      <c r="AD5" s="104">
        <v>19.3</v>
      </c>
      <c r="AE5" s="104">
        <v>14.9</v>
      </c>
      <c r="AF5" s="104">
        <v>22.7</v>
      </c>
      <c r="AG5" s="104">
        <v>35.4</v>
      </c>
      <c r="AH5" s="334">
        <v>66.7</v>
      </c>
      <c r="AI5" s="335">
        <f>SUM(D5:AH5)</f>
        <v>1303</v>
      </c>
      <c r="AJ5" s="160">
        <v>12</v>
      </c>
      <c r="AK5" s="336">
        <f t="shared" ref="AK5:AK11" si="0">F5/(AJ5*432)</f>
        <v>9.4714506172839507E-3</v>
      </c>
      <c r="AL5" s="337">
        <f t="shared" ref="AL5:BA21" si="1">IF(OR(D5="",D5="Sem monitoramento"),"VAZIO",IFERROR(D5/($AJ5*24),"-"))</f>
        <v>0.18229166666666666</v>
      </c>
      <c r="AM5" s="338">
        <f t="shared" si="1"/>
        <v>0.18888888888888888</v>
      </c>
      <c r="AN5" s="338">
        <f t="shared" si="1"/>
        <v>0.17048611111111112</v>
      </c>
      <c r="AO5" s="338">
        <f t="shared" si="1"/>
        <v>0.18229166666666666</v>
      </c>
      <c r="AP5" s="338">
        <f t="shared" si="1"/>
        <v>0.1875</v>
      </c>
      <c r="AQ5" s="338">
        <f t="shared" si="1"/>
        <v>0.13854166666666667</v>
      </c>
      <c r="AR5" s="338">
        <f t="shared" si="1"/>
        <v>0.1170138888888889</v>
      </c>
      <c r="AS5" s="338">
        <f t="shared" si="1"/>
        <v>0.16076388888888887</v>
      </c>
      <c r="AT5" s="338">
        <f t="shared" si="1"/>
        <v>0.12777777777777777</v>
      </c>
      <c r="AU5" s="338">
        <f t="shared" si="1"/>
        <v>0.10555555555555556</v>
      </c>
      <c r="AV5" s="338">
        <f t="shared" si="1"/>
        <v>0.20763888888888887</v>
      </c>
      <c r="AW5" s="338">
        <f t="shared" si="1"/>
        <v>0.14687499999999998</v>
      </c>
      <c r="AX5" s="338">
        <f t="shared" si="1"/>
        <v>0.17743055555555556</v>
      </c>
      <c r="AY5" s="338">
        <f t="shared" si="1"/>
        <v>0.18229166666666666</v>
      </c>
      <c r="AZ5" s="338">
        <f t="shared" si="1"/>
        <v>0.17812499999999998</v>
      </c>
      <c r="BA5" s="338">
        <f t="shared" si="1"/>
        <v>0.1579861111111111</v>
      </c>
      <c r="BB5" s="338">
        <f t="shared" ref="BB5:BO20" si="2">IF(OR(T5="",T5="Sem monitoramento"),"VAZIO",IFERROR(T5/($AJ5*24),"-"))</f>
        <v>0.20972222222222223</v>
      </c>
      <c r="BC5" s="338">
        <f t="shared" si="2"/>
        <v>0.20972222222222223</v>
      </c>
      <c r="BD5" s="338">
        <f t="shared" si="2"/>
        <v>0.14687499999999998</v>
      </c>
      <c r="BE5" s="338">
        <f t="shared" si="2"/>
        <v>0.15381944444444443</v>
      </c>
      <c r="BF5" s="338">
        <f t="shared" si="2"/>
        <v>0.17118055555555556</v>
      </c>
      <c r="BG5" s="338">
        <f t="shared" si="2"/>
        <v>0.11666666666666667</v>
      </c>
      <c r="BH5" s="338">
        <f t="shared" si="2"/>
        <v>9.5486111111111105E-2</v>
      </c>
      <c r="BI5" s="338">
        <f t="shared" si="2"/>
        <v>8.6458333333333331E-2</v>
      </c>
      <c r="BJ5" s="338">
        <f t="shared" si="2"/>
        <v>0.10868055555555556</v>
      </c>
      <c r="BK5" s="338" t="e">
        <f>IF(OR(#REF!="",#REF!="Sem monitoramento"),"VAZIO",IFERROR(#REF!/($AJ5*24),"-"))</f>
        <v>#REF!</v>
      </c>
      <c r="BL5" s="338">
        <f t="shared" si="2"/>
        <v>6.7013888888888887E-2</v>
      </c>
      <c r="BM5" s="338">
        <f t="shared" si="2"/>
        <v>5.1736111111111115E-2</v>
      </c>
      <c r="BN5" s="338">
        <f t="shared" si="2"/>
        <v>7.8819444444444442E-2</v>
      </c>
      <c r="BO5" s="338">
        <f t="shared" si="2"/>
        <v>0.12291666666666666</v>
      </c>
      <c r="BP5" s="339">
        <f t="shared" ref="BP5:BP31" si="3">AI5/(AJ5*(COUNTA(D5:AG5)*24))</f>
        <v>0.15081018518518519</v>
      </c>
      <c r="BQ5" s="180">
        <f>'FCs estimados em PVsyst'!Y3</f>
        <v>0.1804398148148148</v>
      </c>
      <c r="BR5" s="340">
        <f t="shared" ref="BR5:BR11" si="4">AJ5*BQ5</f>
        <v>2.1652777777777779</v>
      </c>
      <c r="BS5" s="341">
        <f t="shared" ref="BS5:BS11" si="5">AN5-BQ5</f>
        <v>-9.9537037037036868E-3</v>
      </c>
      <c r="BT5" s="342">
        <f t="shared" ref="BT5:BT30" si="6">BP5-BQ5</f>
        <v>-2.9629629629629617E-2</v>
      </c>
      <c r="BU5" s="15" t="s">
        <v>7</v>
      </c>
      <c r="BV5" s="75" t="s">
        <v>107</v>
      </c>
      <c r="BW5" s="7">
        <f>COUNTIF(BT5:BT29,"&gt;0")</f>
        <v>4</v>
      </c>
      <c r="BX5" s="2"/>
      <c r="BZ5" s="102"/>
      <c r="CA5" s="102"/>
      <c r="CC5" s="102"/>
      <c r="CD5" s="102"/>
      <c r="CE5" s="102"/>
      <c r="CF5" s="102"/>
    </row>
    <row r="6" spans="2:84" x14ac:dyDescent="0.3">
      <c r="B6" s="771"/>
      <c r="C6" s="325" t="s">
        <v>8</v>
      </c>
      <c r="D6" s="62">
        <f>196.2+47.4</f>
        <v>243.6</v>
      </c>
      <c r="E6" s="63">
        <f>204.5+50.2</f>
        <v>254.7</v>
      </c>
      <c r="F6" s="63">
        <f>56.4+220</f>
        <v>276.39999999999998</v>
      </c>
      <c r="G6" s="63">
        <f>64.4+262.8</f>
        <v>327.20000000000005</v>
      </c>
      <c r="H6" s="63">
        <f>64.4</f>
        <v>64.400000000000006</v>
      </c>
      <c r="I6" s="283">
        <f>194.5+46</f>
        <v>240.5</v>
      </c>
      <c r="J6" s="63">
        <f>39.5+161.2</f>
        <v>200.7</v>
      </c>
      <c r="K6" s="63">
        <f>52.2+214.5</f>
        <v>266.7</v>
      </c>
      <c r="L6" s="63">
        <f>42+172</f>
        <v>214</v>
      </c>
      <c r="M6" s="63">
        <f>146.7+36.2</f>
        <v>182.89999999999998</v>
      </c>
      <c r="N6" s="283">
        <f>51.6+211.2</f>
        <v>262.8</v>
      </c>
      <c r="O6" s="63">
        <f>187.9+46.2</f>
        <v>234.10000000000002</v>
      </c>
      <c r="P6" s="63">
        <f>245.07+59.6</f>
        <v>304.67</v>
      </c>
      <c r="Q6" s="283">
        <f>62.8+258.6</f>
        <v>321.40000000000003</v>
      </c>
      <c r="R6" s="63">
        <f>57+234.3</f>
        <v>291.3</v>
      </c>
      <c r="S6" s="63">
        <f>62.4+255.2</f>
        <v>317.59999999999997</v>
      </c>
      <c r="T6" s="63">
        <f>70+283.63</f>
        <v>353.63</v>
      </c>
      <c r="U6" s="63">
        <f>66.5+270.6</f>
        <v>337.1</v>
      </c>
      <c r="V6" s="63">
        <f>227.6+55.3</f>
        <v>282.89999999999998</v>
      </c>
      <c r="W6" s="283">
        <f>54.5+223.5</f>
        <v>278</v>
      </c>
      <c r="X6" s="63">
        <f>56.8+233.7</f>
        <v>290.5</v>
      </c>
      <c r="Y6" s="63">
        <f>37.3+152.3</f>
        <v>189.60000000000002</v>
      </c>
      <c r="Z6" s="15">
        <f>120.8+29.7</f>
        <v>150.5</v>
      </c>
      <c r="AA6" s="18">
        <f>30.6+124.6</f>
        <v>155.19999999999999</v>
      </c>
      <c r="AB6" s="20">
        <f>35.7+145.9</f>
        <v>181.60000000000002</v>
      </c>
      <c r="AC6" s="487">
        <f>83.1+20.7</f>
        <v>103.8</v>
      </c>
      <c r="AD6" s="193">
        <f>93.4+23.3</f>
        <v>116.7</v>
      </c>
      <c r="AE6" s="15">
        <f>17.5+70.3</f>
        <v>87.8</v>
      </c>
      <c r="AF6" s="15">
        <f>25.6+102.8</f>
        <v>128.4</v>
      </c>
      <c r="AG6" s="15">
        <f>161.2+39.7</f>
        <v>200.89999999999998</v>
      </c>
      <c r="AH6" s="64">
        <f>300.73+74</f>
        <v>374.73</v>
      </c>
      <c r="AI6" s="290">
        <f>SUM(D6:AH6)</f>
        <v>7234.33</v>
      </c>
      <c r="AJ6" s="118">
        <v>67</v>
      </c>
      <c r="AK6" s="121">
        <f t="shared" si="0"/>
        <v>9.5494748479823099E-3</v>
      </c>
      <c r="AL6" s="67">
        <f t="shared" si="1"/>
        <v>0.15149253731343285</v>
      </c>
      <c r="AM6" s="68">
        <f t="shared" si="1"/>
        <v>0.15839552238805971</v>
      </c>
      <c r="AN6" s="68">
        <f t="shared" si="1"/>
        <v>0.17189054726368158</v>
      </c>
      <c r="AO6" s="68">
        <f t="shared" si="1"/>
        <v>0.20348258706467665</v>
      </c>
      <c r="AP6" s="68">
        <f t="shared" si="1"/>
        <v>4.0049751243781101E-2</v>
      </c>
      <c r="AQ6" s="68">
        <f t="shared" si="1"/>
        <v>0.14956467661691542</v>
      </c>
      <c r="AR6" s="68">
        <f t="shared" si="1"/>
        <v>0.12481343283582089</v>
      </c>
      <c r="AS6" s="68">
        <f t="shared" si="1"/>
        <v>0.16585820895522388</v>
      </c>
      <c r="AT6" s="68">
        <f t="shared" si="1"/>
        <v>0.13308457711442787</v>
      </c>
      <c r="AU6" s="68">
        <f t="shared" si="1"/>
        <v>0.11374378109452735</v>
      </c>
      <c r="AV6" s="68">
        <f t="shared" si="1"/>
        <v>0.16343283582089552</v>
      </c>
      <c r="AW6" s="68">
        <f t="shared" si="1"/>
        <v>0.14558457711442788</v>
      </c>
      <c r="AX6" s="68">
        <f t="shared" si="1"/>
        <v>0.18947139303482588</v>
      </c>
      <c r="AY6" s="68">
        <f t="shared" si="1"/>
        <v>0.19987562189054728</v>
      </c>
      <c r="AZ6" s="68">
        <f t="shared" si="1"/>
        <v>0.18115671641791045</v>
      </c>
      <c r="BA6" s="68">
        <f t="shared" si="1"/>
        <v>0.19751243781094524</v>
      </c>
      <c r="BB6" s="68">
        <f t="shared" si="2"/>
        <v>0.21991915422885572</v>
      </c>
      <c r="BC6" s="68">
        <f t="shared" si="2"/>
        <v>0.20963930348258708</v>
      </c>
      <c r="BD6" s="68">
        <f t="shared" si="2"/>
        <v>0.1759328358208955</v>
      </c>
      <c r="BE6" s="68">
        <f t="shared" si="2"/>
        <v>0.17288557213930347</v>
      </c>
      <c r="BF6" s="68">
        <f t="shared" si="2"/>
        <v>0.18065920398009949</v>
      </c>
      <c r="BG6" s="68">
        <f t="shared" si="2"/>
        <v>0.11791044776119404</v>
      </c>
      <c r="BH6" s="68">
        <f t="shared" si="2"/>
        <v>9.3594527363184077E-2</v>
      </c>
      <c r="BI6" s="68">
        <f t="shared" si="2"/>
        <v>9.6517412935323371E-2</v>
      </c>
      <c r="BJ6" s="68">
        <f t="shared" si="2"/>
        <v>0.1129353233830846</v>
      </c>
      <c r="BK6" s="68">
        <f>IF(OR(AC5="",AC5="Sem monitoramento"),"VAZIO",IFERROR(AC5/($AJ6*24),"-"))</f>
        <v>1.11318407960199E-2</v>
      </c>
      <c r="BL6" s="68">
        <f t="shared" si="2"/>
        <v>7.2574626865671649E-2</v>
      </c>
      <c r="BM6" s="68">
        <f t="shared" si="2"/>
        <v>5.4601990049751241E-2</v>
      </c>
      <c r="BN6" s="68">
        <f t="shared" si="2"/>
        <v>7.9850746268656722E-2</v>
      </c>
      <c r="BO6" s="68">
        <f t="shared" si="2"/>
        <v>0.12493781094527362</v>
      </c>
      <c r="BP6" s="70">
        <f t="shared" si="3"/>
        <v>0.14996538142620233</v>
      </c>
      <c r="BQ6" s="180">
        <f>'FCs estimados em PVsyst'!Y4</f>
        <v>0.1868988391376451</v>
      </c>
      <c r="BR6" s="72">
        <f t="shared" si="4"/>
        <v>12.522222222222222</v>
      </c>
      <c r="BS6" s="73">
        <f t="shared" si="5"/>
        <v>-1.500829187396352E-2</v>
      </c>
      <c r="BT6" s="74">
        <f t="shared" si="6"/>
        <v>-3.6933457711442769E-2</v>
      </c>
      <c r="BU6" s="15" t="s">
        <v>8</v>
      </c>
      <c r="BV6" s="77" t="s">
        <v>108</v>
      </c>
      <c r="BW6" s="78">
        <f>(COUNTA(BU5:BU29)-BW5-BW7)</f>
        <v>5</v>
      </c>
      <c r="BX6" s="2"/>
      <c r="BZ6" s="102"/>
      <c r="CA6" s="102"/>
    </row>
    <row r="7" spans="2:84" x14ac:dyDescent="0.3">
      <c r="B7" s="771"/>
      <c r="C7" s="326" t="s">
        <v>9</v>
      </c>
      <c r="D7" s="62">
        <v>183.2</v>
      </c>
      <c r="E7" s="63">
        <v>234.5</v>
      </c>
      <c r="F7" s="63">
        <v>225.1</v>
      </c>
      <c r="G7" s="63">
        <v>233.3</v>
      </c>
      <c r="H7" s="63">
        <v>222.3</v>
      </c>
      <c r="I7" s="283">
        <v>171.7</v>
      </c>
      <c r="J7" s="63">
        <v>152.19999999999999</v>
      </c>
      <c r="K7" s="63">
        <v>202.8</v>
      </c>
      <c r="L7" s="283">
        <v>158</v>
      </c>
      <c r="M7" s="283">
        <v>134.6</v>
      </c>
      <c r="N7" s="283">
        <v>241.3</v>
      </c>
      <c r="O7" s="360">
        <v>189.6</v>
      </c>
      <c r="P7" s="283">
        <v>220</v>
      </c>
      <c r="Q7" s="283">
        <v>229.7</v>
      </c>
      <c r="R7" s="283">
        <v>227.6</v>
      </c>
      <c r="S7" s="283">
        <v>186.4</v>
      </c>
      <c r="T7" s="283">
        <v>256.2</v>
      </c>
      <c r="U7" s="63">
        <v>243</v>
      </c>
      <c r="V7" s="283">
        <v>176.6</v>
      </c>
      <c r="W7" s="283">
        <v>192.4</v>
      </c>
      <c r="X7" s="283">
        <v>218.3</v>
      </c>
      <c r="Y7" s="283">
        <v>144.19999999999999</v>
      </c>
      <c r="Z7" s="15">
        <v>120.2</v>
      </c>
      <c r="AA7" s="18">
        <v>117.4</v>
      </c>
      <c r="AB7" s="323">
        <v>139.1</v>
      </c>
      <c r="AC7" s="15">
        <v>80.900000000000006</v>
      </c>
      <c r="AD7" s="15">
        <v>84.4</v>
      </c>
      <c r="AE7" s="15">
        <v>68.900000000000006</v>
      </c>
      <c r="AF7" s="15">
        <v>105.7</v>
      </c>
      <c r="AG7" s="15">
        <v>151.4</v>
      </c>
      <c r="AH7" s="64">
        <v>283</v>
      </c>
      <c r="AI7" s="290">
        <f t="shared" ref="AI7:AI31" si="7">SUM(D7:AH7)</f>
        <v>5593.9999999999973</v>
      </c>
      <c r="AJ7" s="118">
        <v>49</v>
      </c>
      <c r="AK7" s="121">
        <f t="shared" si="0"/>
        <v>1.0633975812547242E-2</v>
      </c>
      <c r="AL7" s="67">
        <f t="shared" si="1"/>
        <v>0.15578231292517006</v>
      </c>
      <c r="AM7" s="68">
        <f t="shared" si="1"/>
        <v>0.19940476190476192</v>
      </c>
      <c r="AN7" s="68">
        <f t="shared" si="1"/>
        <v>0.19141156462585032</v>
      </c>
      <c r="AO7" s="68">
        <f t="shared" si="1"/>
        <v>0.1983843537414966</v>
      </c>
      <c r="AP7" s="68">
        <f t="shared" si="1"/>
        <v>0.18903061224489798</v>
      </c>
      <c r="AQ7" s="68">
        <f t="shared" si="1"/>
        <v>0.14600340136054421</v>
      </c>
      <c r="AR7" s="68">
        <f t="shared" si="1"/>
        <v>0.12942176870748298</v>
      </c>
      <c r="AS7" s="68">
        <f t="shared" si="1"/>
        <v>0.17244897959183675</v>
      </c>
      <c r="AT7" s="68">
        <f t="shared" si="1"/>
        <v>0.13435374149659865</v>
      </c>
      <c r="AU7" s="68">
        <f t="shared" si="1"/>
        <v>0.11445578231292516</v>
      </c>
      <c r="AV7" s="68">
        <f t="shared" si="1"/>
        <v>0.20518707482993198</v>
      </c>
      <c r="AW7" s="68">
        <f t="shared" si="1"/>
        <v>0.16122448979591836</v>
      </c>
      <c r="AX7" s="68">
        <f t="shared" si="1"/>
        <v>0.1870748299319728</v>
      </c>
      <c r="AY7" s="68">
        <f t="shared" si="1"/>
        <v>0.19532312925170067</v>
      </c>
      <c r="AZ7" s="68">
        <f t="shared" si="1"/>
        <v>0.19353741496598639</v>
      </c>
      <c r="BA7" s="68">
        <f t="shared" si="1"/>
        <v>0.15850340136054422</v>
      </c>
      <c r="BB7" s="68">
        <f t="shared" si="2"/>
        <v>0.21785714285714286</v>
      </c>
      <c r="BC7" s="68">
        <f t="shared" si="2"/>
        <v>0.2066326530612245</v>
      </c>
      <c r="BD7" s="68">
        <f t="shared" si="2"/>
        <v>0.15017006802721089</v>
      </c>
      <c r="BE7" s="68">
        <f t="shared" si="2"/>
        <v>0.16360544217687076</v>
      </c>
      <c r="BF7" s="68">
        <f t="shared" si="2"/>
        <v>0.18562925170068029</v>
      </c>
      <c r="BG7" s="68">
        <f t="shared" si="2"/>
        <v>0.12261904761904761</v>
      </c>
      <c r="BH7" s="68">
        <f t="shared" si="2"/>
        <v>0.1022108843537415</v>
      </c>
      <c r="BI7" s="68">
        <f t="shared" si="2"/>
        <v>9.9829931972789124E-2</v>
      </c>
      <c r="BJ7" s="68">
        <f t="shared" si="2"/>
        <v>0.11828231292517007</v>
      </c>
      <c r="BK7" s="68" t="e">
        <f>IF(OR(#REF!="",#REF!="Sem monitoramento"),"VAZIO",IFERROR(#REF!/($AJ7*24),"-"))</f>
        <v>#REF!</v>
      </c>
      <c r="BL7" s="68">
        <f t="shared" si="2"/>
        <v>7.1768707482993202E-2</v>
      </c>
      <c r="BM7" s="68">
        <f t="shared" si="2"/>
        <v>5.8588435374149664E-2</v>
      </c>
      <c r="BN7" s="68">
        <f t="shared" si="2"/>
        <v>8.9880952380952381E-2</v>
      </c>
      <c r="BO7" s="68" t="e">
        <f>IF(OR(#REF!="",#REF!="Sem monitoramento"),"VAZIO",IFERROR(#REF!/($AJ7*24),"-"))</f>
        <v>#REF!</v>
      </c>
      <c r="BP7" s="70">
        <f>AI7/(AJ7*(COUNTA(D7:AG7)*24))</f>
        <v>0.15856009070294777</v>
      </c>
      <c r="BQ7" s="180">
        <f>'FCs estimados em PVsyst'!Y5</f>
        <v>0.17987528344671203</v>
      </c>
      <c r="BR7" s="72">
        <f t="shared" si="4"/>
        <v>8.81388888888889</v>
      </c>
      <c r="BS7" s="73">
        <f t="shared" si="5"/>
        <v>1.1536281179138297E-2</v>
      </c>
      <c r="BT7" s="74">
        <f t="shared" si="6"/>
        <v>-2.1315192743764255E-2</v>
      </c>
      <c r="BU7" s="15" t="s">
        <v>9</v>
      </c>
      <c r="BV7" s="79" t="s">
        <v>109</v>
      </c>
      <c r="BW7" s="80">
        <f>COUNTIF(BT5:BT29,"&lt;-0,01")</f>
        <v>16</v>
      </c>
      <c r="BX7" s="2"/>
      <c r="BZ7" s="102"/>
      <c r="CA7" s="102"/>
    </row>
    <row r="8" spans="2:84" x14ac:dyDescent="0.3">
      <c r="B8" s="771"/>
      <c r="C8" s="326" t="s">
        <v>10</v>
      </c>
      <c r="D8" s="62">
        <v>100.5</v>
      </c>
      <c r="E8" s="63">
        <v>133.9</v>
      </c>
      <c r="F8" s="63">
        <v>126.4</v>
      </c>
      <c r="G8" s="63">
        <v>131.19999999999999</v>
      </c>
      <c r="H8" s="63">
        <v>124.6</v>
      </c>
      <c r="I8" s="283">
        <v>93.9</v>
      </c>
      <c r="J8" s="63">
        <v>85.2</v>
      </c>
      <c r="K8" s="63">
        <v>116.2</v>
      </c>
      <c r="L8" s="283">
        <v>87.1</v>
      </c>
      <c r="M8" s="283">
        <v>75.900000000000006</v>
      </c>
      <c r="N8" s="283">
        <v>138.6</v>
      </c>
      <c r="O8" s="63">
        <v>107.6</v>
      </c>
      <c r="P8" s="63">
        <v>126.7</v>
      </c>
      <c r="Q8" s="283">
        <v>131.80000000000001</v>
      </c>
      <c r="R8" s="63">
        <v>128.69999999999999</v>
      </c>
      <c r="S8" s="63">
        <v>104.5</v>
      </c>
      <c r="T8" s="63">
        <v>144.1</v>
      </c>
      <c r="U8" s="63">
        <v>138.19999999999999</v>
      </c>
      <c r="V8" s="63">
        <v>100.7</v>
      </c>
      <c r="W8" s="283">
        <v>107.8</v>
      </c>
      <c r="X8" s="63">
        <v>124.2</v>
      </c>
      <c r="Y8" s="283">
        <v>81.8</v>
      </c>
      <c r="Z8" s="15">
        <v>67.8</v>
      </c>
      <c r="AA8" s="18">
        <v>66.599999999999994</v>
      </c>
      <c r="AB8" s="20">
        <v>78.900000000000006</v>
      </c>
      <c r="AC8" s="15">
        <v>46.5</v>
      </c>
      <c r="AD8" s="15">
        <v>48.2</v>
      </c>
      <c r="AE8" s="15">
        <v>40</v>
      </c>
      <c r="AF8" s="15">
        <v>60.6</v>
      </c>
      <c r="AG8" s="15">
        <v>87.9</v>
      </c>
      <c r="AH8" s="64">
        <v>161.5</v>
      </c>
      <c r="AI8" s="290">
        <f t="shared" si="7"/>
        <v>3167.6</v>
      </c>
      <c r="AJ8" s="118">
        <v>33</v>
      </c>
      <c r="AK8" s="121">
        <f t="shared" si="0"/>
        <v>8.8664421997755333E-3</v>
      </c>
      <c r="AL8" s="67">
        <f t="shared" si="1"/>
        <v>0.12689393939393939</v>
      </c>
      <c r="AM8" s="68">
        <f t="shared" si="1"/>
        <v>0.16906565656565659</v>
      </c>
      <c r="AN8" s="68">
        <f t="shared" si="1"/>
        <v>0.1595959595959596</v>
      </c>
      <c r="AO8" s="68">
        <f t="shared" si="1"/>
        <v>0.16565656565656564</v>
      </c>
      <c r="AP8" s="68">
        <f t="shared" si="1"/>
        <v>0.15732323232323231</v>
      </c>
      <c r="AQ8" s="68">
        <f t="shared" si="1"/>
        <v>0.11856060606060607</v>
      </c>
      <c r="AR8" s="68">
        <f t="shared" si="1"/>
        <v>0.10757575757575757</v>
      </c>
      <c r="AS8" s="68">
        <f t="shared" si="1"/>
        <v>0.14671717171717172</v>
      </c>
      <c r="AT8" s="68">
        <f t="shared" si="1"/>
        <v>0.10997474747474746</v>
      </c>
      <c r="AU8" s="68">
        <f t="shared" si="1"/>
        <v>9.583333333333334E-2</v>
      </c>
      <c r="AV8" s="68">
        <f t="shared" si="1"/>
        <v>0.17499999999999999</v>
      </c>
      <c r="AW8" s="68">
        <f t="shared" si="1"/>
        <v>0.13585858585858585</v>
      </c>
      <c r="AX8" s="68">
        <f t="shared" si="1"/>
        <v>0.15997474747474749</v>
      </c>
      <c r="AY8" s="68">
        <f t="shared" si="1"/>
        <v>0.16641414141414143</v>
      </c>
      <c r="AZ8" s="68">
        <f t="shared" si="1"/>
        <v>0.16249999999999998</v>
      </c>
      <c r="BA8" s="68">
        <f t="shared" si="1"/>
        <v>0.13194444444444445</v>
      </c>
      <c r="BB8" s="68">
        <f t="shared" si="2"/>
        <v>0.18194444444444444</v>
      </c>
      <c r="BC8" s="68">
        <f t="shared" si="2"/>
        <v>0.17449494949494948</v>
      </c>
      <c r="BD8" s="68">
        <f t="shared" si="2"/>
        <v>0.12714646464646465</v>
      </c>
      <c r="BE8" s="68">
        <f t="shared" si="2"/>
        <v>0.1361111111111111</v>
      </c>
      <c r="BF8" s="68">
        <f t="shared" si="2"/>
        <v>0.15681818181818183</v>
      </c>
      <c r="BG8" s="68">
        <f t="shared" si="2"/>
        <v>0.10328282828282828</v>
      </c>
      <c r="BH8" s="68">
        <f t="shared" si="2"/>
        <v>8.5606060606060602E-2</v>
      </c>
      <c r="BI8" s="68">
        <f t="shared" si="2"/>
        <v>8.4090909090909077E-2</v>
      </c>
      <c r="BJ8" s="68">
        <f t="shared" si="2"/>
        <v>9.9621212121212124E-2</v>
      </c>
      <c r="BK8" s="68" t="e">
        <f>IF(OR(#REF!="",#REF!="Sem monitoramento"),"VAZIO",IFERROR(#REF!/($AJ8*24),"-"))</f>
        <v>#REF!</v>
      </c>
      <c r="BL8" s="68">
        <f t="shared" si="2"/>
        <v>6.0858585858585862E-2</v>
      </c>
      <c r="BM8" s="68">
        <f t="shared" si="2"/>
        <v>5.0505050505050504E-2</v>
      </c>
      <c r="BN8" s="68">
        <f t="shared" si="2"/>
        <v>7.6515151515151522E-2</v>
      </c>
      <c r="BO8" s="68" t="e">
        <f>IF(OR(#REF!="",#REF!="Sem monitoramento"),"VAZIO",IFERROR(#REF!/($AJ8*24),"-"))</f>
        <v>#REF!</v>
      </c>
      <c r="BP8" s="70">
        <f>AI8/(AJ8*(COUNTA(D8:AG8)*24))</f>
        <v>0.13331649831649831</v>
      </c>
      <c r="BQ8" s="180">
        <f>'FCs estimados em PVsyst'!Y6</f>
        <v>0.18501683501683502</v>
      </c>
      <c r="BR8" s="72">
        <f t="shared" si="4"/>
        <v>6.1055555555555561</v>
      </c>
      <c r="BS8" s="73">
        <f t="shared" si="5"/>
        <v>-2.5420875420875427E-2</v>
      </c>
      <c r="BT8" s="74">
        <f t="shared" si="6"/>
        <v>-5.1700336700336719E-2</v>
      </c>
      <c r="BU8" s="15" t="s">
        <v>10</v>
      </c>
      <c r="BV8" s="3"/>
      <c r="BW8" s="2"/>
      <c r="BX8" s="2"/>
      <c r="BZ8" s="102"/>
      <c r="CA8" s="102"/>
    </row>
    <row r="9" spans="2:84" x14ac:dyDescent="0.3">
      <c r="B9" s="771"/>
      <c r="C9" s="326" t="s">
        <v>11</v>
      </c>
      <c r="D9" s="305">
        <v>0</v>
      </c>
      <c r="E9" s="63">
        <v>48.1</v>
      </c>
      <c r="F9" s="63">
        <v>42.9</v>
      </c>
      <c r="G9" s="82">
        <v>53.8</v>
      </c>
      <c r="H9" s="82">
        <v>60.4</v>
      </c>
      <c r="I9" s="308">
        <v>36.6</v>
      </c>
      <c r="J9" s="63">
        <v>33.4</v>
      </c>
      <c r="K9" s="283">
        <v>39.6</v>
      </c>
      <c r="L9" s="63">
        <v>38.6</v>
      </c>
      <c r="M9" s="63">
        <v>31.4</v>
      </c>
      <c r="N9" s="63">
        <v>60</v>
      </c>
      <c r="O9" s="63">
        <v>40.299999999999997</v>
      </c>
      <c r="P9" s="63">
        <v>51.1</v>
      </c>
      <c r="Q9" s="283">
        <v>52.4</v>
      </c>
      <c r="R9" s="308">
        <v>52.3</v>
      </c>
      <c r="S9" s="63">
        <v>54.7</v>
      </c>
      <c r="T9" s="63">
        <v>61.3</v>
      </c>
      <c r="U9" s="63">
        <v>58.1</v>
      </c>
      <c r="V9" s="63">
        <v>46.7</v>
      </c>
      <c r="W9" s="283">
        <v>48.3</v>
      </c>
      <c r="X9" s="63">
        <v>49.9</v>
      </c>
      <c r="Y9" s="63">
        <v>34</v>
      </c>
      <c r="Z9" s="148">
        <v>28.2</v>
      </c>
      <c r="AA9" s="18">
        <v>26.2</v>
      </c>
      <c r="AB9" s="323">
        <v>31.9</v>
      </c>
      <c r="AC9" s="489">
        <v>16.600000000000001</v>
      </c>
      <c r="AD9" s="15">
        <v>21.6</v>
      </c>
      <c r="AE9" s="15">
        <v>15</v>
      </c>
      <c r="AF9" s="15">
        <v>22.5</v>
      </c>
      <c r="AG9" s="15">
        <v>31.5</v>
      </c>
      <c r="AH9" s="64">
        <v>61.7</v>
      </c>
      <c r="AI9" s="290">
        <f t="shared" si="7"/>
        <v>1249.0999999999999</v>
      </c>
      <c r="AJ9" s="118">
        <v>12</v>
      </c>
      <c r="AK9" s="121">
        <f t="shared" si="0"/>
        <v>8.2754629629629619E-3</v>
      </c>
      <c r="AL9" s="67">
        <f t="shared" si="1"/>
        <v>0</v>
      </c>
      <c r="AM9" s="68">
        <f t="shared" si="1"/>
        <v>0.16701388888888891</v>
      </c>
      <c r="AN9" s="68">
        <f t="shared" si="1"/>
        <v>0.14895833333333333</v>
      </c>
      <c r="AO9" s="68">
        <f t="shared" si="1"/>
        <v>0.18680555555555556</v>
      </c>
      <c r="AP9" s="68">
        <f t="shared" si="1"/>
        <v>0.20972222222222223</v>
      </c>
      <c r="AQ9" s="68">
        <f t="shared" si="1"/>
        <v>0.12708333333333333</v>
      </c>
      <c r="AR9" s="68">
        <f t="shared" si="1"/>
        <v>0.11597222222222221</v>
      </c>
      <c r="AS9" s="68">
        <f t="shared" si="1"/>
        <v>0.13750000000000001</v>
      </c>
      <c r="AT9" s="68">
        <f t="shared" si="1"/>
        <v>0.13402777777777777</v>
      </c>
      <c r="AU9" s="68">
        <f t="shared" si="1"/>
        <v>0.10902777777777778</v>
      </c>
      <c r="AV9" s="68">
        <f t="shared" si="1"/>
        <v>0.20833333333333334</v>
      </c>
      <c r="AW9" s="68">
        <f t="shared" si="1"/>
        <v>0.13993055555555556</v>
      </c>
      <c r="AX9" s="68">
        <f t="shared" si="1"/>
        <v>0.17743055555555556</v>
      </c>
      <c r="AY9" s="68">
        <f t="shared" si="1"/>
        <v>0.18194444444444444</v>
      </c>
      <c r="AZ9" s="68">
        <f t="shared" si="1"/>
        <v>0.18159722222222222</v>
      </c>
      <c r="BA9" s="68">
        <f t="shared" si="1"/>
        <v>0.18993055555555557</v>
      </c>
      <c r="BB9" s="68">
        <f t="shared" si="2"/>
        <v>0.21284722222222222</v>
      </c>
      <c r="BC9" s="68">
        <f>IF(OR(U7="",U7="Sem monitoramento"),"VAZIO",IFERROR(U7/($AJ9*24),"-"))</f>
        <v>0.84375</v>
      </c>
      <c r="BD9" s="68">
        <f t="shared" si="2"/>
        <v>0.16215277777777778</v>
      </c>
      <c r="BE9" s="68">
        <f t="shared" si="2"/>
        <v>0.16770833333333332</v>
      </c>
      <c r="BF9" s="68">
        <f t="shared" si="2"/>
        <v>0.17326388888888888</v>
      </c>
      <c r="BG9" s="68">
        <f t="shared" si="2"/>
        <v>0.11805555555555555</v>
      </c>
      <c r="BH9" s="68">
        <f>IF(OR(Z10="",Z10="Sem monitoramento"),"VAZIO",IFERROR(Z10/($AJ9*24),"-"))</f>
        <v>0.15937499999999999</v>
      </c>
      <c r="BI9" s="68">
        <f t="shared" si="2"/>
        <v>9.0972222222222218E-2</v>
      </c>
      <c r="BJ9" s="68">
        <f t="shared" si="2"/>
        <v>0.11076388888888888</v>
      </c>
      <c r="BK9" s="68">
        <f>IF(OR(AC7="",AC7="Sem monitoramento"),"VAZIO",IFERROR(AC7/($AJ9*24),"-"))</f>
        <v>0.28090277777777778</v>
      </c>
      <c r="BL9" s="68">
        <f t="shared" si="2"/>
        <v>7.5000000000000011E-2</v>
      </c>
      <c r="BM9" s="68">
        <f t="shared" si="2"/>
        <v>5.2083333333333336E-2</v>
      </c>
      <c r="BN9" s="68">
        <f t="shared" si="2"/>
        <v>7.8125E-2</v>
      </c>
      <c r="BO9" s="68">
        <f>IF(OR(AG7="",AG7="Sem monitoramento"),"VAZIO",IFERROR(AG7/($AJ9*24),"-"))</f>
        <v>0.52569444444444446</v>
      </c>
      <c r="BP9" s="70">
        <f t="shared" si="3"/>
        <v>0.14457175925925925</v>
      </c>
      <c r="BQ9" s="180">
        <f>'FCs estimados em PVsyst'!Y7</f>
        <v>0.18333333333333332</v>
      </c>
      <c r="BR9" s="72">
        <f t="shared" si="4"/>
        <v>2.1999999999999997</v>
      </c>
      <c r="BS9" s="73">
        <f t="shared" si="5"/>
        <v>-3.4374999999999989E-2</v>
      </c>
      <c r="BT9" s="74">
        <f t="shared" si="6"/>
        <v>-3.8761574074074073E-2</v>
      </c>
      <c r="BU9" s="15" t="s">
        <v>11</v>
      </c>
      <c r="BV9" s="3"/>
      <c r="BW9" s="2"/>
      <c r="BX9" s="2"/>
      <c r="BZ9" s="102"/>
      <c r="CA9" s="102"/>
    </row>
    <row r="10" spans="2:84" x14ac:dyDescent="0.3">
      <c r="B10" s="771"/>
      <c r="C10" s="326" t="s">
        <v>12</v>
      </c>
      <c r="D10" s="305">
        <v>0</v>
      </c>
      <c r="E10" s="63">
        <v>67.599999999999994</v>
      </c>
      <c r="F10" s="63">
        <v>90.1</v>
      </c>
      <c r="G10" s="82">
        <v>106.8</v>
      </c>
      <c r="H10" s="82">
        <v>123.3</v>
      </c>
      <c r="I10" s="63">
        <v>76.7</v>
      </c>
      <c r="J10" s="63">
        <v>67.900000000000006</v>
      </c>
      <c r="K10" s="283">
        <v>77.5</v>
      </c>
      <c r="L10" s="63">
        <v>73.8</v>
      </c>
      <c r="M10" s="63">
        <v>61.1</v>
      </c>
      <c r="N10" s="63">
        <v>111.5</v>
      </c>
      <c r="O10" s="63">
        <v>77.099999999999994</v>
      </c>
      <c r="P10" s="63">
        <v>90.7</v>
      </c>
      <c r="Q10" s="283">
        <v>90.1</v>
      </c>
      <c r="R10" s="308">
        <v>88.1</v>
      </c>
      <c r="S10" s="63">
        <v>91.3</v>
      </c>
      <c r="T10" s="63">
        <v>63.3</v>
      </c>
      <c r="U10" s="63">
        <v>95.4</v>
      </c>
      <c r="V10" s="63">
        <v>73.7</v>
      </c>
      <c r="W10" s="283">
        <v>73</v>
      </c>
      <c r="X10" s="63">
        <v>74.7</v>
      </c>
      <c r="Y10" s="63">
        <v>55.1</v>
      </c>
      <c r="Z10" s="15">
        <v>45.9</v>
      </c>
      <c r="AA10" s="18">
        <v>42.3</v>
      </c>
      <c r="AB10" s="323">
        <v>48.5</v>
      </c>
      <c r="AC10" s="489">
        <v>26.2</v>
      </c>
      <c r="AD10" s="15">
        <v>33</v>
      </c>
      <c r="AE10" s="15">
        <v>22.9</v>
      </c>
      <c r="AF10" s="15">
        <v>33.700000000000003</v>
      </c>
      <c r="AG10" s="15">
        <v>44.5</v>
      </c>
      <c r="AH10" s="64">
        <v>80</v>
      </c>
      <c r="AI10" s="290">
        <f t="shared" si="7"/>
        <v>2105.8000000000002</v>
      </c>
      <c r="AJ10" s="118">
        <v>25</v>
      </c>
      <c r="AK10" s="121">
        <f t="shared" si="0"/>
        <v>8.3425925925925924E-3</v>
      </c>
      <c r="AL10" s="67">
        <f t="shared" si="1"/>
        <v>0</v>
      </c>
      <c r="AM10" s="68">
        <f t="shared" si="1"/>
        <v>0.11266666666666665</v>
      </c>
      <c r="AN10" s="68">
        <f t="shared" si="1"/>
        <v>0.15016666666666667</v>
      </c>
      <c r="AO10" s="68">
        <f t="shared" si="1"/>
        <v>0.17799999999999999</v>
      </c>
      <c r="AP10" s="68">
        <f t="shared" si="1"/>
        <v>0.20549999999999999</v>
      </c>
      <c r="AQ10" s="68">
        <f t="shared" si="1"/>
        <v>0.12783333333333333</v>
      </c>
      <c r="AR10" s="68">
        <f t="shared" si="1"/>
        <v>0.11316666666666668</v>
      </c>
      <c r="AS10" s="68">
        <f t="shared" si="1"/>
        <v>0.12916666666666668</v>
      </c>
      <c r="AT10" s="68">
        <f t="shared" si="1"/>
        <v>0.123</v>
      </c>
      <c r="AU10" s="68">
        <f t="shared" si="1"/>
        <v>0.10183333333333333</v>
      </c>
      <c r="AV10" s="68">
        <f t="shared" si="1"/>
        <v>0.18583333333333332</v>
      </c>
      <c r="AW10" s="68">
        <f t="shared" si="1"/>
        <v>0.1285</v>
      </c>
      <c r="AX10" s="68">
        <f t="shared" si="1"/>
        <v>0.15116666666666667</v>
      </c>
      <c r="AY10" s="68">
        <f t="shared" si="1"/>
        <v>0.15016666666666667</v>
      </c>
      <c r="AZ10" s="68">
        <f t="shared" si="1"/>
        <v>0.14683333333333332</v>
      </c>
      <c r="BA10" s="68">
        <f t="shared" si="1"/>
        <v>0.15216666666666667</v>
      </c>
      <c r="BB10" s="68">
        <f t="shared" si="2"/>
        <v>0.1055</v>
      </c>
      <c r="BC10" s="68">
        <f>IF(OR(U8="",U8="Sem monitoramento"),"VAZIO",IFERROR(U8/($AJ10*24),"-"))</f>
        <v>0.23033333333333331</v>
      </c>
      <c r="BD10" s="68">
        <f t="shared" si="2"/>
        <v>0.12283333333333334</v>
      </c>
      <c r="BE10" s="68">
        <f t="shared" si="2"/>
        <v>0.12166666666666667</v>
      </c>
      <c r="BF10" s="68">
        <f t="shared" si="2"/>
        <v>0.1245</v>
      </c>
      <c r="BG10" s="68">
        <f t="shared" si="2"/>
        <v>9.1833333333333336E-2</v>
      </c>
      <c r="BH10" s="68" t="e">
        <f>IF(OR(#REF!="",#REF!="Sem monitoramento"),"VAZIO",IFERROR(#REF!/($AJ10*24),"-"))</f>
        <v>#REF!</v>
      </c>
      <c r="BI10" s="68">
        <f t="shared" si="2"/>
        <v>7.0499999999999993E-2</v>
      </c>
      <c r="BJ10" s="68">
        <f t="shared" si="2"/>
        <v>8.0833333333333326E-2</v>
      </c>
      <c r="BK10" s="68">
        <f>IF(OR(AC8="",AC8="Sem monitoramento"),"VAZIO",IFERROR(AC8/($AJ10*24),"-"))</f>
        <v>7.7499999999999999E-2</v>
      </c>
      <c r="BL10" s="68">
        <f t="shared" si="2"/>
        <v>5.5E-2</v>
      </c>
      <c r="BM10" s="68">
        <f t="shared" si="2"/>
        <v>3.8166666666666661E-2</v>
      </c>
      <c r="BN10" s="68">
        <f t="shared" si="2"/>
        <v>5.616666666666667E-2</v>
      </c>
      <c r="BO10" s="68">
        <f>IF(OR(AG8="",AG8="Sem monitoramento"),"VAZIO",IFERROR(AG8/($AJ10*24),"-"))</f>
        <v>0.14650000000000002</v>
      </c>
      <c r="BP10" s="70">
        <f t="shared" si="3"/>
        <v>0.11698888888888889</v>
      </c>
      <c r="BQ10" s="180">
        <f>'FCs estimados em PVsyst'!Y8</f>
        <v>0.185</v>
      </c>
      <c r="BR10" s="72">
        <f t="shared" si="4"/>
        <v>4.625</v>
      </c>
      <c r="BS10" s="73">
        <f t="shared" si="5"/>
        <v>-3.4833333333333327E-2</v>
      </c>
      <c r="BT10" s="74">
        <f t="shared" si="6"/>
        <v>-6.8011111111111106E-2</v>
      </c>
      <c r="BU10" s="15" t="s">
        <v>12</v>
      </c>
      <c r="BV10" s="3"/>
      <c r="BW10" s="2"/>
      <c r="BX10" s="2"/>
      <c r="BZ10" s="102"/>
      <c r="CA10" s="102"/>
    </row>
    <row r="11" spans="2:84" x14ac:dyDescent="0.3">
      <c r="B11" s="771"/>
      <c r="C11" s="327" t="s">
        <v>13</v>
      </c>
      <c r="D11" s="62">
        <v>325.7</v>
      </c>
      <c r="E11" s="63">
        <v>331</v>
      </c>
      <c r="F11" s="63">
        <v>348.3</v>
      </c>
      <c r="G11" s="63">
        <v>432.2</v>
      </c>
      <c r="H11" s="63">
        <v>344.8</v>
      </c>
      <c r="I11" s="283">
        <v>281.10000000000002</v>
      </c>
      <c r="J11" s="283">
        <v>236.9</v>
      </c>
      <c r="K11" s="283">
        <v>305.5</v>
      </c>
      <c r="L11" s="63">
        <v>246.8</v>
      </c>
      <c r="M11" s="63">
        <v>257.8</v>
      </c>
      <c r="N11" s="63">
        <v>361.2</v>
      </c>
      <c r="O11" s="63">
        <v>325.8</v>
      </c>
      <c r="P11" s="63">
        <v>363.3</v>
      </c>
      <c r="Q11" s="283">
        <v>375.3</v>
      </c>
      <c r="R11" s="63">
        <v>366.3</v>
      </c>
      <c r="S11" s="63">
        <v>396.2</v>
      </c>
      <c r="T11" s="63">
        <v>419.4</v>
      </c>
      <c r="U11" s="63">
        <v>381.3</v>
      </c>
      <c r="V11" s="283">
        <v>321.3</v>
      </c>
      <c r="W11" s="283">
        <v>304.60000000000002</v>
      </c>
      <c r="X11" s="63">
        <v>300.60000000000002</v>
      </c>
      <c r="Y11" s="63">
        <v>256</v>
      </c>
      <c r="Z11" s="15">
        <v>200.5</v>
      </c>
      <c r="AA11" s="18">
        <v>181.2</v>
      </c>
      <c r="AB11" s="323">
        <v>237.5</v>
      </c>
      <c r="AC11" s="221">
        <v>119.6</v>
      </c>
      <c r="AD11" s="15">
        <v>165</v>
      </c>
      <c r="AE11" s="221">
        <v>117.6</v>
      </c>
      <c r="AF11" s="15">
        <v>152.5</v>
      </c>
      <c r="AG11" s="15">
        <v>238.2</v>
      </c>
      <c r="AH11" s="64">
        <v>368.1</v>
      </c>
      <c r="AI11" s="290">
        <f t="shared" si="7"/>
        <v>9061.6000000000022</v>
      </c>
      <c r="AJ11" s="118">
        <v>78</v>
      </c>
      <c r="AK11" s="121">
        <f t="shared" si="0"/>
        <v>1.0336538461538461E-2</v>
      </c>
      <c r="AL11" s="67">
        <f t="shared" si="1"/>
        <v>0.17398504273504273</v>
      </c>
      <c r="AM11" s="68">
        <f t="shared" si="1"/>
        <v>0.17681623931623933</v>
      </c>
      <c r="AN11" s="68">
        <f t="shared" si="1"/>
        <v>0.18605769230769231</v>
      </c>
      <c r="AO11" s="68">
        <f t="shared" si="1"/>
        <v>0.23087606837606836</v>
      </c>
      <c r="AP11" s="68">
        <f t="shared" si="1"/>
        <v>0.1841880341880342</v>
      </c>
      <c r="AQ11" s="68">
        <f t="shared" si="1"/>
        <v>0.15016025641025643</v>
      </c>
      <c r="AR11" s="68">
        <f t="shared" si="1"/>
        <v>0.12654914529914529</v>
      </c>
      <c r="AS11" s="68">
        <f t="shared" si="1"/>
        <v>0.16319444444444445</v>
      </c>
      <c r="AT11" s="68">
        <f t="shared" si="1"/>
        <v>0.13183760683760684</v>
      </c>
      <c r="AU11" s="68">
        <f t="shared" si="1"/>
        <v>0.13771367521367522</v>
      </c>
      <c r="AV11" s="68">
        <f t="shared" si="1"/>
        <v>0.19294871794871793</v>
      </c>
      <c r="AW11" s="68">
        <f t="shared" si="1"/>
        <v>0.17403846153846153</v>
      </c>
      <c r="AX11" s="68">
        <f t="shared" si="1"/>
        <v>0.19407051282051282</v>
      </c>
      <c r="AY11" s="68">
        <f t="shared" si="1"/>
        <v>0.20048076923076924</v>
      </c>
      <c r="AZ11" s="68">
        <f t="shared" si="1"/>
        <v>0.19567307692307692</v>
      </c>
      <c r="BA11" s="68">
        <f t="shared" si="1"/>
        <v>0.21164529914529914</v>
      </c>
      <c r="BB11" s="68">
        <f t="shared" si="2"/>
        <v>0.22403846153846152</v>
      </c>
      <c r="BC11" s="68">
        <f t="shared" si="2"/>
        <v>0.20368589743589743</v>
      </c>
      <c r="BD11" s="68">
        <f t="shared" si="2"/>
        <v>0.17163461538461539</v>
      </c>
      <c r="BE11" s="68">
        <f t="shared" si="2"/>
        <v>0.16271367521367522</v>
      </c>
      <c r="BF11" s="68">
        <f t="shared" si="2"/>
        <v>0.16057692307692309</v>
      </c>
      <c r="BG11" s="68">
        <f t="shared" si="2"/>
        <v>0.13675213675213677</v>
      </c>
      <c r="BH11" s="68">
        <f t="shared" si="2"/>
        <v>0.10710470085470085</v>
      </c>
      <c r="BI11" s="68">
        <f t="shared" si="2"/>
        <v>9.6794871794871784E-2</v>
      </c>
      <c r="BJ11" s="68">
        <f>IF(OR(AB9="",AB9="Sem monitoramento"),"VAZIO",IFERROR(AB9/($AJ11*24),"-"))</f>
        <v>1.7040598290598289E-2</v>
      </c>
      <c r="BK11" s="68">
        <f t="shared" ref="BK11:BO31" si="8">IF(OR(AC11="",AC11="Sem monitoramento"),"VAZIO",IFERROR(AC11/($AJ11*24),"-"))</f>
        <v>6.3888888888888884E-2</v>
      </c>
      <c r="BL11" s="68">
        <f t="shared" si="2"/>
        <v>8.8141025641025647E-2</v>
      </c>
      <c r="BM11" s="68">
        <f t="shared" si="2"/>
        <v>6.2820512820512819E-2</v>
      </c>
      <c r="BN11" s="68">
        <f t="shared" si="2"/>
        <v>8.1463675213675216E-2</v>
      </c>
      <c r="BO11" s="68">
        <f t="shared" si="2"/>
        <v>0.12724358974358974</v>
      </c>
      <c r="BP11" s="70">
        <f t="shared" si="3"/>
        <v>0.1613532763532764</v>
      </c>
      <c r="BQ11" s="198">
        <f>BQ19</f>
        <v>0.168125</v>
      </c>
      <c r="BR11" s="72">
        <f t="shared" si="4"/>
        <v>13.11375</v>
      </c>
      <c r="BS11" s="73">
        <f t="shared" si="5"/>
        <v>1.7932692307692316E-2</v>
      </c>
      <c r="BT11" s="74">
        <f t="shared" si="6"/>
        <v>-6.7717236467235986E-3</v>
      </c>
      <c r="BU11" s="15" t="s">
        <v>13</v>
      </c>
      <c r="BV11" s="3"/>
      <c r="BW11" s="2"/>
      <c r="BX11" s="2"/>
      <c r="BZ11" s="102"/>
      <c r="CA11" s="102"/>
    </row>
    <row r="12" spans="2:84" x14ac:dyDescent="0.3">
      <c r="B12" s="772"/>
      <c r="C12" s="326" t="s">
        <v>14</v>
      </c>
      <c r="D12" s="394">
        <v>12.7</v>
      </c>
      <c r="E12" s="308">
        <v>242.1</v>
      </c>
      <c r="F12" s="82">
        <v>231.1</v>
      </c>
      <c r="G12" s="82">
        <v>272.39999999999998</v>
      </c>
      <c r="H12" s="82">
        <v>298</v>
      </c>
      <c r="I12" s="308">
        <v>180.9</v>
      </c>
      <c r="J12" s="82">
        <v>178.9</v>
      </c>
      <c r="K12" s="308">
        <v>213.6</v>
      </c>
      <c r="L12" s="82">
        <v>188.1</v>
      </c>
      <c r="M12" s="82">
        <v>161.5</v>
      </c>
      <c r="N12" s="82">
        <v>307</v>
      </c>
      <c r="O12" s="82">
        <v>216.3</v>
      </c>
      <c r="P12" s="82">
        <v>258.8</v>
      </c>
      <c r="Q12" s="308">
        <v>253.7</v>
      </c>
      <c r="R12" s="308">
        <v>276.5</v>
      </c>
      <c r="S12" s="82">
        <v>287.7</v>
      </c>
      <c r="T12" s="82">
        <v>312.89999999999998</v>
      </c>
      <c r="U12" s="82">
        <v>293.2</v>
      </c>
      <c r="V12" s="82">
        <v>249.7</v>
      </c>
      <c r="W12" s="308">
        <v>236.5</v>
      </c>
      <c r="X12" s="82">
        <v>256.39999999999998</v>
      </c>
      <c r="Y12" s="82">
        <v>180.8</v>
      </c>
      <c r="Z12" s="16">
        <v>146.9</v>
      </c>
      <c r="AA12" s="17">
        <v>145.19999999999999</v>
      </c>
      <c r="AB12" s="324">
        <v>168.5</v>
      </c>
      <c r="AC12" s="489">
        <v>89.1</v>
      </c>
      <c r="AD12" s="16">
        <v>118.1</v>
      </c>
      <c r="AE12" s="16">
        <v>84.8</v>
      </c>
      <c r="AF12" s="16">
        <v>117</v>
      </c>
      <c r="AG12" s="16">
        <v>162.1</v>
      </c>
      <c r="AH12" s="86">
        <v>300.10000000000002</v>
      </c>
      <c r="AI12" s="290">
        <f t="shared" si="7"/>
        <v>6440.6000000000013</v>
      </c>
      <c r="AJ12" s="123">
        <v>61</v>
      </c>
      <c r="AK12" s="121" t="s">
        <v>31</v>
      </c>
      <c r="AL12" s="67">
        <f t="shared" si="1"/>
        <v>8.6748633879781423E-3</v>
      </c>
      <c r="AM12" s="68">
        <f t="shared" si="1"/>
        <v>0.16536885245901639</v>
      </c>
      <c r="AN12" s="68">
        <f t="shared" si="1"/>
        <v>0.15785519125683059</v>
      </c>
      <c r="AO12" s="68">
        <f t="shared" si="1"/>
        <v>0.18606557377049179</v>
      </c>
      <c r="AP12" s="68">
        <f t="shared" si="1"/>
        <v>0.20355191256830601</v>
      </c>
      <c r="AQ12" s="68">
        <f t="shared" si="1"/>
        <v>0.12356557377049181</v>
      </c>
      <c r="AR12" s="68">
        <f t="shared" si="1"/>
        <v>0.12219945355191257</v>
      </c>
      <c r="AS12" s="68">
        <f t="shared" si="1"/>
        <v>0.14590163934426228</v>
      </c>
      <c r="AT12" s="68">
        <f t="shared" si="1"/>
        <v>0.12848360655737703</v>
      </c>
      <c r="AU12" s="68">
        <f t="shared" si="1"/>
        <v>0.11031420765027322</v>
      </c>
      <c r="AV12" s="68">
        <f t="shared" si="1"/>
        <v>0.20969945355191258</v>
      </c>
      <c r="AW12" s="68">
        <f t="shared" si="1"/>
        <v>0.14774590163934426</v>
      </c>
      <c r="AX12" s="68">
        <f t="shared" si="1"/>
        <v>0.17677595628415302</v>
      </c>
      <c r="AY12" s="68">
        <f t="shared" si="1"/>
        <v>0.17329234972677596</v>
      </c>
      <c r="AZ12" s="68">
        <f t="shared" si="1"/>
        <v>0.18886612021857924</v>
      </c>
      <c r="BA12" s="68">
        <f t="shared" si="1"/>
        <v>0.19651639344262295</v>
      </c>
      <c r="BB12" s="68">
        <f t="shared" si="2"/>
        <v>0.21372950819672129</v>
      </c>
      <c r="BC12" s="68">
        <f t="shared" si="2"/>
        <v>0.20027322404371584</v>
      </c>
      <c r="BD12" s="68">
        <f t="shared" si="2"/>
        <v>0.17056010928961748</v>
      </c>
      <c r="BE12" s="68">
        <f t="shared" si="2"/>
        <v>0.16154371584699453</v>
      </c>
      <c r="BF12" s="68">
        <f t="shared" si="2"/>
        <v>0.1751366120218579</v>
      </c>
      <c r="BG12" s="68">
        <f t="shared" si="2"/>
        <v>0.12349726775956285</v>
      </c>
      <c r="BH12" s="68">
        <f t="shared" si="2"/>
        <v>0.10034153005464481</v>
      </c>
      <c r="BI12" s="68">
        <f t="shared" si="2"/>
        <v>9.9180327868852447E-2</v>
      </c>
      <c r="BJ12" s="68">
        <f t="shared" si="2"/>
        <v>0.11509562841530055</v>
      </c>
      <c r="BK12" s="68">
        <f t="shared" si="8"/>
        <v>6.0860655737704918E-2</v>
      </c>
      <c r="BL12" s="68">
        <f t="shared" si="2"/>
        <v>8.0669398907103826E-2</v>
      </c>
      <c r="BM12" s="68">
        <f t="shared" si="2"/>
        <v>5.7923497267759562E-2</v>
      </c>
      <c r="BN12" s="68">
        <f t="shared" si="2"/>
        <v>7.9918032786885251E-2</v>
      </c>
      <c r="BO12" s="68">
        <f t="shared" si="2"/>
        <v>0.11072404371584699</v>
      </c>
      <c r="BP12" s="70">
        <f t="shared" si="3"/>
        <v>0.14664389799635705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6"/>
        <v>-3.8010018214936214E-2</v>
      </c>
      <c r="BU12" s="15" t="s">
        <v>14</v>
      </c>
      <c r="BV12" s="3"/>
      <c r="BW12" s="2"/>
      <c r="BX12" s="2"/>
      <c r="BZ12" s="102"/>
      <c r="CA12" s="102"/>
    </row>
    <row r="13" spans="2:84" x14ac:dyDescent="0.3">
      <c r="B13" s="773" t="s">
        <v>16</v>
      </c>
      <c r="C13" s="328" t="s">
        <v>17</v>
      </c>
      <c r="D13" s="395">
        <v>17.2</v>
      </c>
      <c r="E13" s="63">
        <v>403.4</v>
      </c>
      <c r="F13" s="63">
        <v>389.5</v>
      </c>
      <c r="G13" s="63">
        <v>433.7</v>
      </c>
      <c r="H13" s="63">
        <v>514.1</v>
      </c>
      <c r="I13" s="283">
        <v>302.39999999999998</v>
      </c>
      <c r="J13" s="63">
        <v>277.8</v>
      </c>
      <c r="K13" s="283">
        <v>338.1</v>
      </c>
      <c r="L13" s="63">
        <v>306.10000000000002</v>
      </c>
      <c r="M13" s="63">
        <v>281.10000000000002</v>
      </c>
      <c r="N13" s="63">
        <v>475.3</v>
      </c>
      <c r="O13" s="63">
        <v>362.5</v>
      </c>
      <c r="P13" s="63">
        <v>395.5</v>
      </c>
      <c r="Q13" s="283">
        <v>377.2</v>
      </c>
      <c r="R13" s="308">
        <v>403.9</v>
      </c>
      <c r="S13" s="63">
        <v>438.3</v>
      </c>
      <c r="T13" s="63">
        <v>536.1</v>
      </c>
      <c r="U13" s="63">
        <v>501</v>
      </c>
      <c r="V13" s="63">
        <v>392.8</v>
      </c>
      <c r="W13" s="283">
        <v>393.8</v>
      </c>
      <c r="X13" s="63">
        <v>399.3</v>
      </c>
      <c r="Y13" s="63">
        <v>300.60000000000002</v>
      </c>
      <c r="Z13" s="15">
        <v>250.2</v>
      </c>
      <c r="AA13" s="18">
        <v>243.2</v>
      </c>
      <c r="AB13" s="323">
        <v>278.10000000000002</v>
      </c>
      <c r="AC13" s="489">
        <v>151.19999999999999</v>
      </c>
      <c r="AD13" s="15">
        <v>198.7</v>
      </c>
      <c r="AE13" s="15">
        <v>140.69999999999999</v>
      </c>
      <c r="AF13" s="15">
        <v>201.1</v>
      </c>
      <c r="AG13" s="15">
        <v>266.5</v>
      </c>
      <c r="AH13" s="64">
        <v>472.8</v>
      </c>
      <c r="AI13" s="290">
        <f t="shared" si="7"/>
        <v>10442.200000000004</v>
      </c>
      <c r="AJ13" s="118">
        <v>100</v>
      </c>
      <c r="AK13" s="121">
        <f t="shared" ref="AK13:AK25" si="9">F13/(AJ13*432)</f>
        <v>9.0162037037037034E-3</v>
      </c>
      <c r="AL13" s="67">
        <f t="shared" si="1"/>
        <v>7.1666666666666667E-3</v>
      </c>
      <c r="AM13" s="68">
        <f t="shared" si="1"/>
        <v>0.16808333333333333</v>
      </c>
      <c r="AN13" s="68">
        <f t="shared" si="1"/>
        <v>0.16229166666666667</v>
      </c>
      <c r="AO13" s="68">
        <f t="shared" si="1"/>
        <v>0.18070833333333333</v>
      </c>
      <c r="AP13" s="68">
        <f t="shared" si="1"/>
        <v>0.21420833333333333</v>
      </c>
      <c r="AQ13" s="68">
        <f t="shared" si="1"/>
        <v>0.126</v>
      </c>
      <c r="AR13" s="68">
        <f t="shared" si="1"/>
        <v>0.11575000000000001</v>
      </c>
      <c r="AS13" s="68">
        <f t="shared" si="1"/>
        <v>0.140875</v>
      </c>
      <c r="AT13" s="68">
        <f t="shared" si="1"/>
        <v>0.12754166666666666</v>
      </c>
      <c r="AU13" s="68">
        <f t="shared" si="1"/>
        <v>0.11712500000000001</v>
      </c>
      <c r="AV13" s="68">
        <f t="shared" si="1"/>
        <v>0.19804166666666667</v>
      </c>
      <c r="AW13" s="68">
        <f t="shared" si="1"/>
        <v>0.15104166666666666</v>
      </c>
      <c r="AX13" s="68">
        <f t="shared" si="1"/>
        <v>0.16479166666666667</v>
      </c>
      <c r="AY13" s="68">
        <f t="shared" si="1"/>
        <v>0.15716666666666665</v>
      </c>
      <c r="AZ13" s="68">
        <f t="shared" si="1"/>
        <v>0.16829166666666664</v>
      </c>
      <c r="BA13" s="68">
        <f t="shared" si="1"/>
        <v>0.18262500000000001</v>
      </c>
      <c r="BB13" s="68">
        <f t="shared" si="2"/>
        <v>0.22337500000000002</v>
      </c>
      <c r="BC13" s="68">
        <f t="shared" si="2"/>
        <v>0.20874999999999999</v>
      </c>
      <c r="BD13" s="68">
        <f t="shared" si="2"/>
        <v>0.16366666666666668</v>
      </c>
      <c r="BE13" s="68">
        <f t="shared" si="2"/>
        <v>0.16408333333333333</v>
      </c>
      <c r="BF13" s="68">
        <f t="shared" si="2"/>
        <v>0.166375</v>
      </c>
      <c r="BG13" s="68">
        <f t="shared" si="2"/>
        <v>0.12525</v>
      </c>
      <c r="BH13" s="68">
        <f t="shared" si="2"/>
        <v>0.10425</v>
      </c>
      <c r="BI13" s="68">
        <f t="shared" si="2"/>
        <v>0.10133333333333333</v>
      </c>
      <c r="BJ13" s="68">
        <f t="shared" si="2"/>
        <v>0.11587500000000001</v>
      </c>
      <c r="BK13" s="68">
        <f t="shared" si="8"/>
        <v>6.3E-2</v>
      </c>
      <c r="BL13" s="68">
        <f t="shared" si="2"/>
        <v>8.2791666666666666E-2</v>
      </c>
      <c r="BM13" s="68">
        <f t="shared" si="2"/>
        <v>5.8624999999999997E-2</v>
      </c>
      <c r="BN13" s="68">
        <f t="shared" si="2"/>
        <v>8.3791666666666667E-2</v>
      </c>
      <c r="BO13" s="68">
        <f t="shared" si="2"/>
        <v>0.11104166666666666</v>
      </c>
      <c r="BP13" s="70">
        <f t="shared" si="3"/>
        <v>0.14503055555555561</v>
      </c>
      <c r="BQ13" s="198">
        <f>BQ19</f>
        <v>0.168125</v>
      </c>
      <c r="BR13" s="72">
        <f t="shared" ref="BR13:BR30" si="10">AJ13*BQ13</f>
        <v>16.8125</v>
      </c>
      <c r="BS13" s="73">
        <f t="shared" ref="BS13:BS30" si="11">AN13-BQ13</f>
        <v>-5.8333333333333293E-3</v>
      </c>
      <c r="BT13" s="74">
        <f t="shared" si="6"/>
        <v>-2.309444444444439E-2</v>
      </c>
      <c r="BU13" s="15" t="s">
        <v>17</v>
      </c>
      <c r="BV13" s="3"/>
      <c r="BW13" s="2"/>
      <c r="BX13" s="2"/>
      <c r="BZ13" s="102"/>
      <c r="CA13" s="102"/>
    </row>
    <row r="14" spans="2:84" x14ac:dyDescent="0.3">
      <c r="B14" s="771"/>
      <c r="C14" s="326" t="s">
        <v>18</v>
      </c>
      <c r="D14" s="62">
        <v>425.5</v>
      </c>
      <c r="E14" s="63">
        <v>435.4</v>
      </c>
      <c r="F14" s="63">
        <v>465.5</v>
      </c>
      <c r="G14" s="63">
        <v>567.9</v>
      </c>
      <c r="H14" s="63">
        <v>472.2</v>
      </c>
      <c r="I14" s="283">
        <v>363.9</v>
      </c>
      <c r="J14" s="283">
        <v>309.10000000000002</v>
      </c>
      <c r="K14" s="283">
        <v>400.9</v>
      </c>
      <c r="L14" s="63">
        <v>333.2</v>
      </c>
      <c r="M14" s="63">
        <v>352.2</v>
      </c>
      <c r="N14" s="63">
        <v>497.9</v>
      </c>
      <c r="O14" s="63">
        <v>422.9</v>
      </c>
      <c r="P14" s="63">
        <v>473.4</v>
      </c>
      <c r="Q14" s="283">
        <v>476.8</v>
      </c>
      <c r="R14" s="63">
        <v>479.8</v>
      </c>
      <c r="S14" s="63">
        <v>521.9</v>
      </c>
      <c r="T14" s="63">
        <v>565.70000000000005</v>
      </c>
      <c r="U14" s="63">
        <v>511.8</v>
      </c>
      <c r="V14" s="283">
        <v>427.1</v>
      </c>
      <c r="W14" s="283">
        <v>410.8</v>
      </c>
      <c r="X14" s="63">
        <v>403.5</v>
      </c>
      <c r="Y14" s="63">
        <v>344.6</v>
      </c>
      <c r="Z14" s="15">
        <v>266.89999999999998</v>
      </c>
      <c r="AA14" s="18">
        <v>243.4</v>
      </c>
      <c r="AB14" s="323">
        <v>318.3</v>
      </c>
      <c r="AC14" s="221">
        <v>156.6</v>
      </c>
      <c r="AD14" s="15">
        <v>220.8</v>
      </c>
      <c r="AE14" s="15">
        <v>152.30000000000001</v>
      </c>
      <c r="AF14" s="15">
        <v>201.9</v>
      </c>
      <c r="AG14" s="15">
        <v>330.2</v>
      </c>
      <c r="AH14" s="64">
        <v>504.8</v>
      </c>
      <c r="AI14" s="290">
        <f t="shared" si="7"/>
        <v>12057.199999999995</v>
      </c>
      <c r="AJ14" s="118">
        <v>100</v>
      </c>
      <c r="AK14" s="121">
        <f t="shared" si="9"/>
        <v>1.0775462962962962E-2</v>
      </c>
      <c r="AL14" s="67">
        <f t="shared" si="1"/>
        <v>0.17729166666666665</v>
      </c>
      <c r="AM14" s="68">
        <f t="shared" si="1"/>
        <v>0.18141666666666667</v>
      </c>
      <c r="AN14" s="68">
        <f t="shared" si="1"/>
        <v>0.19395833333333334</v>
      </c>
      <c r="AO14" s="68">
        <f t="shared" si="1"/>
        <v>0.236625</v>
      </c>
      <c r="AP14" s="68">
        <f t="shared" si="1"/>
        <v>0.19675000000000001</v>
      </c>
      <c r="AQ14" s="68">
        <f t="shared" si="1"/>
        <v>0.15162499999999998</v>
      </c>
      <c r="AR14" s="68">
        <f t="shared" si="1"/>
        <v>0.12879166666666667</v>
      </c>
      <c r="AS14" s="68">
        <f t="shared" si="1"/>
        <v>0.16704166666666664</v>
      </c>
      <c r="AT14" s="68">
        <f t="shared" si="1"/>
        <v>0.13883333333333334</v>
      </c>
      <c r="AU14" s="68">
        <f t="shared" si="1"/>
        <v>0.14674999999999999</v>
      </c>
      <c r="AV14" s="68">
        <f t="shared" si="1"/>
        <v>0.20745833333333333</v>
      </c>
      <c r="AW14" s="68">
        <f>IF(OR(O14="",O14="Sem monitoramento"),"VAZIO",IFERROR(O14/($AJ14*24),"-"))</f>
        <v>0.17620833333333333</v>
      </c>
      <c r="AX14" s="68">
        <f t="shared" si="1"/>
        <v>0.19724999999999998</v>
      </c>
      <c r="AY14" s="68">
        <f t="shared" si="1"/>
        <v>0.19866666666666666</v>
      </c>
      <c r="AZ14" s="68">
        <f t="shared" si="1"/>
        <v>0.19991666666666666</v>
      </c>
      <c r="BA14" s="68">
        <f t="shared" si="1"/>
        <v>0.21745833333333334</v>
      </c>
      <c r="BB14" s="68">
        <f t="shared" si="2"/>
        <v>0.23570833333333335</v>
      </c>
      <c r="BC14" s="68">
        <f>IF(OR(U14="",U14="Sem monitoramento"),"VAZIO",IFERROR(U14/($AJ14*24),"-"))</f>
        <v>0.21325</v>
      </c>
      <c r="BD14" s="68">
        <f t="shared" si="2"/>
        <v>0.17795833333333333</v>
      </c>
      <c r="BE14" s="68">
        <f t="shared" si="2"/>
        <v>0.17116666666666666</v>
      </c>
      <c r="BF14" s="68">
        <f t="shared" si="2"/>
        <v>0.168125</v>
      </c>
      <c r="BG14" s="68">
        <f t="shared" si="2"/>
        <v>0.14358333333333334</v>
      </c>
      <c r="BH14" s="68">
        <f t="shared" si="2"/>
        <v>0.11120833333333333</v>
      </c>
      <c r="BI14" s="68">
        <f t="shared" si="2"/>
        <v>0.10141666666666667</v>
      </c>
      <c r="BJ14" s="68">
        <f t="shared" si="2"/>
        <v>0.13262499999999999</v>
      </c>
      <c r="BK14" s="68">
        <f t="shared" si="8"/>
        <v>6.5250000000000002E-2</v>
      </c>
      <c r="BL14" s="68">
        <f t="shared" si="2"/>
        <v>9.1999999999999998E-2</v>
      </c>
      <c r="BM14" s="68">
        <f t="shared" si="2"/>
        <v>6.3458333333333339E-2</v>
      </c>
      <c r="BN14" s="68">
        <f t="shared" si="2"/>
        <v>8.4125000000000005E-2</v>
      </c>
      <c r="BO14" s="68">
        <f t="shared" si="2"/>
        <v>0.13758333333333334</v>
      </c>
      <c r="BP14" s="70">
        <f t="shared" si="3"/>
        <v>0.16746111111111103</v>
      </c>
      <c r="BQ14" s="198">
        <f>$BQ$19</f>
        <v>0.168125</v>
      </c>
      <c r="BR14" s="72">
        <f t="shared" si="10"/>
        <v>16.8125</v>
      </c>
      <c r="BS14" s="73">
        <f t="shared" si="11"/>
        <v>2.5833333333333347E-2</v>
      </c>
      <c r="BT14" s="74">
        <f t="shared" si="6"/>
        <v>-6.638888888889638E-4</v>
      </c>
      <c r="BU14" s="15" t="s">
        <v>18</v>
      </c>
      <c r="BV14" s="3"/>
      <c r="BW14" s="2"/>
      <c r="BX14" s="2"/>
      <c r="BZ14" s="102"/>
      <c r="CA14" s="102"/>
    </row>
    <row r="15" spans="2:84" x14ac:dyDescent="0.3">
      <c r="B15" s="771"/>
      <c r="C15" s="326" t="s">
        <v>110</v>
      </c>
      <c r="D15" s="62">
        <v>122.9</v>
      </c>
      <c r="E15" s="63">
        <v>123.2</v>
      </c>
      <c r="F15" s="63">
        <v>131.5</v>
      </c>
      <c r="G15" s="63">
        <v>166.8</v>
      </c>
      <c r="H15" s="63">
        <v>132.19999999999999</v>
      </c>
      <c r="I15" s="283">
        <v>105.2</v>
      </c>
      <c r="J15" s="283">
        <v>87.1</v>
      </c>
      <c r="K15" s="283">
        <v>114.9</v>
      </c>
      <c r="L15" s="63">
        <v>94.4</v>
      </c>
      <c r="M15" s="63">
        <v>97.1</v>
      </c>
      <c r="N15" s="63">
        <v>147.30000000000001</v>
      </c>
      <c r="O15" s="63">
        <v>121</v>
      </c>
      <c r="P15" s="63">
        <v>136.80000000000001</v>
      </c>
      <c r="Q15" s="283">
        <v>143.19999999999999</v>
      </c>
      <c r="R15" s="63">
        <v>142.69999999999999</v>
      </c>
      <c r="S15" s="63">
        <v>146.4</v>
      </c>
      <c r="T15" s="63">
        <v>155.6</v>
      </c>
      <c r="U15" s="63">
        <v>140.1</v>
      </c>
      <c r="V15" s="283">
        <v>122.3</v>
      </c>
      <c r="W15" s="283">
        <v>115.6</v>
      </c>
      <c r="X15" s="63">
        <v>118.5</v>
      </c>
      <c r="Y15" s="63">
        <v>94.2</v>
      </c>
      <c r="Z15" s="15">
        <v>72.3</v>
      </c>
      <c r="AA15" s="18">
        <v>66.099999999999994</v>
      </c>
      <c r="AB15" s="323">
        <v>87.2</v>
      </c>
      <c r="AC15" s="221">
        <v>42.2</v>
      </c>
      <c r="AD15" s="221">
        <v>59.8</v>
      </c>
      <c r="AE15" s="15">
        <v>41.3</v>
      </c>
      <c r="AF15" s="15">
        <v>54.6</v>
      </c>
      <c r="AG15" s="15">
        <v>97.3</v>
      </c>
      <c r="AH15" s="64">
        <v>147.30000000000001</v>
      </c>
      <c r="AI15" s="290">
        <f t="shared" si="7"/>
        <v>3427.1000000000004</v>
      </c>
      <c r="AJ15" s="118">
        <v>29</v>
      </c>
      <c r="AK15" s="121">
        <f t="shared" si="9"/>
        <v>1.0496487867177523E-2</v>
      </c>
      <c r="AL15" s="67">
        <f t="shared" si="1"/>
        <v>0.17658045977011494</v>
      </c>
      <c r="AM15" s="68">
        <f t="shared" si="1"/>
        <v>0.17701149425287357</v>
      </c>
      <c r="AN15" s="68">
        <f t="shared" si="1"/>
        <v>0.18893678160919541</v>
      </c>
      <c r="AO15" s="68">
        <f t="shared" si="1"/>
        <v>0.23965517241379311</v>
      </c>
      <c r="AP15" s="68">
        <f t="shared" si="1"/>
        <v>0.18994252873563217</v>
      </c>
      <c r="AQ15" s="68">
        <f t="shared" si="1"/>
        <v>0.15114942528735634</v>
      </c>
      <c r="AR15" s="68">
        <f t="shared" si="1"/>
        <v>0.12514367816091954</v>
      </c>
      <c r="AS15" s="68">
        <f t="shared" si="1"/>
        <v>0.16508620689655173</v>
      </c>
      <c r="AT15" s="68">
        <f t="shared" si="1"/>
        <v>0.13563218390804599</v>
      </c>
      <c r="AU15" s="68">
        <f t="shared" si="1"/>
        <v>0.13951149425287354</v>
      </c>
      <c r="AV15" s="68">
        <f t="shared" si="1"/>
        <v>0.21163793103448278</v>
      </c>
      <c r="AW15" s="68">
        <f>IF(OR(O15="",O15="Sem monitoramento"),"VAZIO",IFERROR(O15/($AJ15*24),"-"))</f>
        <v>0.17385057471264367</v>
      </c>
      <c r="AX15" s="68">
        <f t="shared" si="1"/>
        <v>0.19655172413793104</v>
      </c>
      <c r="AY15" s="68">
        <f t="shared" si="1"/>
        <v>0.20574712643678159</v>
      </c>
      <c r="AZ15" s="68">
        <f t="shared" si="1"/>
        <v>0.20502873563218388</v>
      </c>
      <c r="BA15" s="68">
        <f t="shared" si="1"/>
        <v>0.2103448275862069</v>
      </c>
      <c r="BB15" s="68">
        <f>IF(OR(T15="",T15="Sem monitoramento"),"VAZIO",IFERROR(T15/($AJ15*24),"-"))</f>
        <v>0.22356321839080459</v>
      </c>
      <c r="BC15" s="68">
        <f>IF(OR(U15="",U15="Sem monitoramento"),"VAZIO",IFERROR(U15/($AJ15*24),"-"))</f>
        <v>0.20129310344827586</v>
      </c>
      <c r="BD15" s="68">
        <f t="shared" si="2"/>
        <v>0.1757183908045977</v>
      </c>
      <c r="BE15" s="68">
        <f t="shared" si="2"/>
        <v>0.16609195402298849</v>
      </c>
      <c r="BF15" s="68">
        <f t="shared" si="2"/>
        <v>0.17025862068965517</v>
      </c>
      <c r="BG15" s="68">
        <f t="shared" si="2"/>
        <v>0.13534482758620689</v>
      </c>
      <c r="BH15" s="68">
        <f t="shared" si="2"/>
        <v>0.10387931034482759</v>
      </c>
      <c r="BI15" s="68">
        <f t="shared" si="2"/>
        <v>9.4971264367816083E-2</v>
      </c>
      <c r="BJ15" s="68">
        <f t="shared" si="2"/>
        <v>0.12528735632183907</v>
      </c>
      <c r="BK15" s="68">
        <f t="shared" si="8"/>
        <v>6.0632183908045978E-2</v>
      </c>
      <c r="BL15" s="68">
        <f t="shared" si="2"/>
        <v>8.5919540229885058E-2</v>
      </c>
      <c r="BM15" s="68">
        <f t="shared" si="2"/>
        <v>5.9339080459770113E-2</v>
      </c>
      <c r="BN15" s="68">
        <f t="shared" si="2"/>
        <v>7.844827586206897E-2</v>
      </c>
      <c r="BO15" s="68">
        <f t="shared" si="2"/>
        <v>0.13979885057471264</v>
      </c>
      <c r="BP15" s="70">
        <f t="shared" si="3"/>
        <v>0.16413314176245211</v>
      </c>
      <c r="BQ15" s="180">
        <f>'FCs estimados em PVsyst'!Y13</f>
        <v>0.1850095785440613</v>
      </c>
      <c r="BR15" s="72">
        <f t="shared" si="10"/>
        <v>5.365277777777778</v>
      </c>
      <c r="BS15" s="73">
        <f t="shared" si="11"/>
        <v>3.9272030651341105E-3</v>
      </c>
      <c r="BT15" s="74">
        <f t="shared" si="6"/>
        <v>-2.0876436781609192E-2</v>
      </c>
      <c r="BU15" s="15" t="s">
        <v>110</v>
      </c>
      <c r="BV15" s="3"/>
      <c r="BW15" s="2"/>
      <c r="BX15" s="2"/>
      <c r="BZ15" s="102"/>
      <c r="CA15" s="102"/>
    </row>
    <row r="16" spans="2:84" x14ac:dyDescent="0.3">
      <c r="B16" s="774"/>
      <c r="C16" s="326" t="s">
        <v>20</v>
      </c>
      <c r="D16" s="62">
        <v>436.4</v>
      </c>
      <c r="E16" s="63">
        <v>51.1</v>
      </c>
      <c r="F16" s="63">
        <v>443.2</v>
      </c>
      <c r="G16" s="63">
        <v>516.5</v>
      </c>
      <c r="H16" s="63">
        <v>486.1</v>
      </c>
      <c r="I16" s="63">
        <v>326</v>
      </c>
      <c r="J16" s="63">
        <v>336.5</v>
      </c>
      <c r="K16" s="63">
        <v>408.7</v>
      </c>
      <c r="L16" s="63">
        <v>317.10000000000002</v>
      </c>
      <c r="M16" s="63">
        <v>318.60000000000002</v>
      </c>
      <c r="N16" s="63">
        <v>393.4</v>
      </c>
      <c r="O16" s="63">
        <v>329.8</v>
      </c>
      <c r="P16" s="283">
        <v>439.3</v>
      </c>
      <c r="Q16" s="283">
        <v>458.1</v>
      </c>
      <c r="R16" s="63">
        <v>454.9</v>
      </c>
      <c r="S16" s="63">
        <v>424.5</v>
      </c>
      <c r="T16" s="382">
        <v>546.1</v>
      </c>
      <c r="U16" s="63">
        <v>445.4</v>
      </c>
      <c r="V16" s="282">
        <v>118.5</v>
      </c>
      <c r="W16" s="282">
        <v>123.5</v>
      </c>
      <c r="X16" s="63">
        <v>392.9</v>
      </c>
      <c r="Y16" s="63">
        <v>229</v>
      </c>
      <c r="Z16" s="15">
        <v>335</v>
      </c>
      <c r="AA16" s="488">
        <v>300</v>
      </c>
      <c r="AB16" s="387">
        <v>310</v>
      </c>
      <c r="AC16" s="193">
        <v>286</v>
      </c>
      <c r="AD16" s="15">
        <v>174.7</v>
      </c>
      <c r="AE16" s="15">
        <v>133.30000000000001</v>
      </c>
      <c r="AF16" s="15">
        <v>190.4</v>
      </c>
      <c r="AG16" s="15">
        <v>313</v>
      </c>
      <c r="AH16" s="64">
        <v>553.29999999999995</v>
      </c>
      <c r="AI16" s="290">
        <f t="shared" si="7"/>
        <v>10591.299999999997</v>
      </c>
      <c r="AJ16" s="118">
        <v>100</v>
      </c>
      <c r="AK16" s="121">
        <f t="shared" si="9"/>
        <v>1.025925925925926E-2</v>
      </c>
      <c r="AL16" s="67">
        <f t="shared" si="1"/>
        <v>0.18183333333333332</v>
      </c>
      <c r="AM16" s="68">
        <f t="shared" si="1"/>
        <v>2.1291666666666667E-2</v>
      </c>
      <c r="AN16" s="68">
        <f t="shared" si="1"/>
        <v>0.18466666666666667</v>
      </c>
      <c r="AO16" s="68">
        <f t="shared" si="1"/>
        <v>0.21520833333333333</v>
      </c>
      <c r="AP16" s="68">
        <f t="shared" si="1"/>
        <v>0.20254166666666668</v>
      </c>
      <c r="AQ16" s="68">
        <f t="shared" si="1"/>
        <v>0.13583333333333333</v>
      </c>
      <c r="AR16" s="68">
        <f t="shared" si="1"/>
        <v>0.14020833333333332</v>
      </c>
      <c r="AS16" s="68">
        <f t="shared" si="1"/>
        <v>0.17029166666666667</v>
      </c>
      <c r="AT16" s="68">
        <f t="shared" si="1"/>
        <v>0.13212500000000002</v>
      </c>
      <c r="AU16" s="68">
        <f t="shared" si="1"/>
        <v>0.13275000000000001</v>
      </c>
      <c r="AV16" s="68">
        <f t="shared" si="1"/>
        <v>0.16391666666666665</v>
      </c>
      <c r="AW16" s="68">
        <f t="shared" si="1"/>
        <v>0.13741666666666666</v>
      </c>
      <c r="AX16" s="68">
        <f t="shared" si="1"/>
        <v>0.18304166666666666</v>
      </c>
      <c r="AY16" s="68">
        <f t="shared" si="1"/>
        <v>0.19087500000000002</v>
      </c>
      <c r="AZ16" s="68">
        <f t="shared" si="1"/>
        <v>0.18954166666666666</v>
      </c>
      <c r="BA16" s="68">
        <f t="shared" si="1"/>
        <v>0.176875</v>
      </c>
      <c r="BB16" s="68">
        <f>IF(OR(T14="",T14="Sem monitoramento"),"VAZIO",IFERROR(T14/($AJ16*24),"-"))</f>
        <v>0.23570833333333335</v>
      </c>
      <c r="BC16" s="68">
        <f t="shared" si="2"/>
        <v>0.18558333333333332</v>
      </c>
      <c r="BD16" s="68">
        <f t="shared" si="2"/>
        <v>4.9375000000000002E-2</v>
      </c>
      <c r="BE16" s="68">
        <f t="shared" si="2"/>
        <v>5.1458333333333335E-2</v>
      </c>
      <c r="BF16" s="68">
        <f t="shared" si="2"/>
        <v>0.16370833333333332</v>
      </c>
      <c r="BG16" s="68">
        <f t="shared" si="2"/>
        <v>9.5416666666666664E-2</v>
      </c>
      <c r="BH16" s="68">
        <f t="shared" si="2"/>
        <v>0.13958333333333334</v>
      </c>
      <c r="BI16" s="68">
        <f t="shared" si="2"/>
        <v>0.125</v>
      </c>
      <c r="BJ16" s="68">
        <f t="shared" si="2"/>
        <v>0.12916666666666668</v>
      </c>
      <c r="BK16" s="68">
        <f t="shared" si="8"/>
        <v>0.11916666666666667</v>
      </c>
      <c r="BL16" s="68">
        <f t="shared" si="2"/>
        <v>7.2791666666666657E-2</v>
      </c>
      <c r="BM16" s="68">
        <f t="shared" si="2"/>
        <v>5.554166666666667E-2</v>
      </c>
      <c r="BN16" s="68">
        <f t="shared" si="2"/>
        <v>7.9333333333333339E-2</v>
      </c>
      <c r="BO16" s="68">
        <f t="shared" si="2"/>
        <v>0.13041666666666665</v>
      </c>
      <c r="BP16" s="70">
        <f t="shared" si="3"/>
        <v>0.14710138888888885</v>
      </c>
      <c r="BQ16" s="180">
        <f>'FCs estimados em PVsyst'!Y14</f>
        <v>0.16425000000000001</v>
      </c>
      <c r="BR16" s="72">
        <f t="shared" si="10"/>
        <v>16.425000000000001</v>
      </c>
      <c r="BS16" s="73">
        <f t="shared" si="11"/>
        <v>2.0416666666666666E-2</v>
      </c>
      <c r="BT16" s="74">
        <f t="shared" si="6"/>
        <v>-1.7148611111111156E-2</v>
      </c>
      <c r="BU16" s="15" t="s">
        <v>20</v>
      </c>
      <c r="BV16" s="3"/>
      <c r="BW16" s="2"/>
      <c r="BX16" s="2"/>
      <c r="BZ16" s="102"/>
      <c r="CA16" s="102"/>
    </row>
    <row r="17" spans="2:79" x14ac:dyDescent="0.3">
      <c r="B17" s="775" t="s">
        <v>21</v>
      </c>
      <c r="C17" s="326" t="s">
        <v>22</v>
      </c>
      <c r="D17" s="223">
        <v>399.1</v>
      </c>
      <c r="E17" s="63">
        <v>43.5</v>
      </c>
      <c r="F17" s="312">
        <v>294.10000000000002</v>
      </c>
      <c r="G17" s="283">
        <v>479.7</v>
      </c>
      <c r="H17" s="63">
        <v>418.3</v>
      </c>
      <c r="I17" s="82">
        <v>321.10000000000002</v>
      </c>
      <c r="J17" s="82">
        <v>343.8</v>
      </c>
      <c r="K17" s="63">
        <v>430.5</v>
      </c>
      <c r="L17" s="63">
        <v>354.1</v>
      </c>
      <c r="M17" s="63">
        <v>297.89999999999998</v>
      </c>
      <c r="N17" s="63">
        <v>443.9</v>
      </c>
      <c r="O17" s="63">
        <v>458.6</v>
      </c>
      <c r="P17" s="283">
        <v>426.4</v>
      </c>
      <c r="Q17" s="283">
        <v>490</v>
      </c>
      <c r="R17" s="63">
        <v>483.5</v>
      </c>
      <c r="S17" s="63">
        <v>544.5</v>
      </c>
      <c r="T17" s="63">
        <v>542.79999999999995</v>
      </c>
      <c r="U17" s="63">
        <v>519.20000000000005</v>
      </c>
      <c r="V17" s="63">
        <v>466.7</v>
      </c>
      <c r="W17" s="283">
        <v>447</v>
      </c>
      <c r="X17" s="63">
        <v>346.8</v>
      </c>
      <c r="Y17" s="63">
        <v>201</v>
      </c>
      <c r="Z17" s="15">
        <v>210.2</v>
      </c>
      <c r="AA17" s="18">
        <v>288.2</v>
      </c>
      <c r="AB17" s="20">
        <v>299.60000000000002</v>
      </c>
      <c r="AC17" s="15">
        <v>134</v>
      </c>
      <c r="AD17" s="283">
        <v>258.10000000000002</v>
      </c>
      <c r="AE17" s="15">
        <v>155.6</v>
      </c>
      <c r="AF17" s="15">
        <v>221.9</v>
      </c>
      <c r="AG17" s="15">
        <v>331.2</v>
      </c>
      <c r="AH17" s="64">
        <v>550.1</v>
      </c>
      <c r="AI17" s="290">
        <f t="shared" si="7"/>
        <v>11201.400000000003</v>
      </c>
      <c r="AJ17" s="118">
        <v>100</v>
      </c>
      <c r="AK17" s="122">
        <f t="shared" si="9"/>
        <v>6.8078703703703712E-3</v>
      </c>
      <c r="AL17" s="67">
        <f t="shared" si="1"/>
        <v>0.16629166666666667</v>
      </c>
      <c r="AM17" s="68">
        <f t="shared" si="1"/>
        <v>1.8124999999999999E-2</v>
      </c>
      <c r="AN17" s="68">
        <f t="shared" si="1"/>
        <v>0.12254166666666667</v>
      </c>
      <c r="AO17" s="68">
        <f t="shared" si="1"/>
        <v>0.199875</v>
      </c>
      <c r="AP17" s="68">
        <f t="shared" si="1"/>
        <v>0.17429166666666668</v>
      </c>
      <c r="AQ17" s="68">
        <f t="shared" si="1"/>
        <v>0.13379166666666667</v>
      </c>
      <c r="AR17" s="68">
        <f t="shared" si="1"/>
        <v>0.14325000000000002</v>
      </c>
      <c r="AS17" s="68">
        <f t="shared" si="1"/>
        <v>0.17937500000000001</v>
      </c>
      <c r="AT17" s="68">
        <f t="shared" si="1"/>
        <v>0.14754166666666668</v>
      </c>
      <c r="AU17" s="68">
        <f t="shared" si="1"/>
        <v>0.12412499999999999</v>
      </c>
      <c r="AV17" s="68">
        <f t="shared" si="1"/>
        <v>0.18495833333333334</v>
      </c>
      <c r="AW17" s="68">
        <f t="shared" si="1"/>
        <v>0.19108333333333336</v>
      </c>
      <c r="AX17" s="68">
        <f t="shared" si="1"/>
        <v>0.17766666666666667</v>
      </c>
      <c r="AY17" s="68">
        <f t="shared" si="1"/>
        <v>0.20416666666666666</v>
      </c>
      <c r="AZ17" s="68">
        <f t="shared" si="1"/>
        <v>0.20145833333333332</v>
      </c>
      <c r="BA17" s="68">
        <f t="shared" si="1"/>
        <v>0.22687499999999999</v>
      </c>
      <c r="BB17" s="68">
        <f t="shared" ref="BB17:BJ31" si="12">IF(OR(T17="",T17="Sem monitoramento"),"VAZIO",IFERROR(T17/($AJ17*24),"-"))</f>
        <v>0.22616666666666665</v>
      </c>
      <c r="BC17" s="68">
        <f t="shared" si="2"/>
        <v>0.21633333333333335</v>
      </c>
      <c r="BD17" s="68">
        <f t="shared" si="2"/>
        <v>0.19445833333333332</v>
      </c>
      <c r="BE17" s="68">
        <f t="shared" si="2"/>
        <v>0.18625</v>
      </c>
      <c r="BF17" s="68">
        <f t="shared" si="2"/>
        <v>0.14450000000000002</v>
      </c>
      <c r="BG17" s="68">
        <f t="shared" si="2"/>
        <v>8.3750000000000005E-2</v>
      </c>
      <c r="BH17" s="68">
        <f t="shared" si="2"/>
        <v>8.7583333333333332E-2</v>
      </c>
      <c r="BI17" s="68">
        <f t="shared" si="2"/>
        <v>0.12008333333333333</v>
      </c>
      <c r="BJ17" s="68">
        <f t="shared" si="2"/>
        <v>0.12483333333333334</v>
      </c>
      <c r="BK17" s="68">
        <f t="shared" si="8"/>
        <v>5.5833333333333332E-2</v>
      </c>
      <c r="BL17" s="68">
        <f t="shared" si="2"/>
        <v>0.10754166666666667</v>
      </c>
      <c r="BM17" s="68">
        <f t="shared" si="2"/>
        <v>6.4833333333333326E-2</v>
      </c>
      <c r="BN17" s="68">
        <f t="shared" si="2"/>
        <v>9.2458333333333337E-2</v>
      </c>
      <c r="BO17" s="68">
        <f t="shared" si="2"/>
        <v>0.13799999999999998</v>
      </c>
      <c r="BP17" s="70">
        <f t="shared" si="3"/>
        <v>0.15557500000000005</v>
      </c>
      <c r="BQ17" s="198">
        <f>$BQ$19</f>
        <v>0.168125</v>
      </c>
      <c r="BR17" s="90">
        <f t="shared" si="10"/>
        <v>16.8125</v>
      </c>
      <c r="BS17" s="73">
        <f t="shared" si="11"/>
        <v>-4.5583333333333323E-2</v>
      </c>
      <c r="BT17" s="74">
        <f t="shared" si="6"/>
        <v>-1.254999999999995E-2</v>
      </c>
      <c r="BU17" s="15" t="s">
        <v>22</v>
      </c>
      <c r="BV17" s="3"/>
      <c r="BW17" s="2"/>
      <c r="BX17" s="2"/>
      <c r="BZ17" s="102"/>
      <c r="CA17" s="102"/>
    </row>
    <row r="18" spans="2:79" x14ac:dyDescent="0.3">
      <c r="B18" s="775"/>
      <c r="C18" s="326" t="s">
        <v>23</v>
      </c>
      <c r="D18" s="223">
        <v>448.8</v>
      </c>
      <c r="E18" s="63">
        <v>56.7</v>
      </c>
      <c r="F18" s="312">
        <v>322.7</v>
      </c>
      <c r="G18" s="283">
        <v>541.9</v>
      </c>
      <c r="H18" s="63">
        <v>467.5</v>
      </c>
      <c r="I18" s="63">
        <v>360.8</v>
      </c>
      <c r="J18" s="63">
        <v>395.5</v>
      </c>
      <c r="K18" s="63">
        <v>496.8</v>
      </c>
      <c r="L18" s="63">
        <v>409.8</v>
      </c>
      <c r="M18" s="316">
        <v>337.8</v>
      </c>
      <c r="N18" s="63">
        <v>493.9</v>
      </c>
      <c r="O18" s="63">
        <v>512.20000000000005</v>
      </c>
      <c r="P18" s="63">
        <v>437.5</v>
      </c>
      <c r="Q18" s="283">
        <v>520.9</v>
      </c>
      <c r="R18" s="63">
        <v>503.6</v>
      </c>
      <c r="S18" s="63">
        <v>556.6</v>
      </c>
      <c r="T18" s="63">
        <v>557.29999999999995</v>
      </c>
      <c r="U18" s="283">
        <v>532.79999999999995</v>
      </c>
      <c r="V18" s="283">
        <v>473.4</v>
      </c>
      <c r="W18" s="283">
        <v>460.8</v>
      </c>
      <c r="X18" s="63">
        <v>363.8</v>
      </c>
      <c r="Y18" s="63">
        <v>202.9</v>
      </c>
      <c r="Z18" s="15">
        <v>217.4</v>
      </c>
      <c r="AA18" s="18">
        <v>296.2</v>
      </c>
      <c r="AB18" s="20">
        <v>313.7</v>
      </c>
      <c r="AC18" s="15">
        <v>138.9</v>
      </c>
      <c r="AD18" s="283">
        <v>269.10000000000002</v>
      </c>
      <c r="AE18" s="15">
        <v>160</v>
      </c>
      <c r="AF18" s="15">
        <v>195.8</v>
      </c>
      <c r="AG18" s="15">
        <v>314.8</v>
      </c>
      <c r="AH18" s="64">
        <v>568.4</v>
      </c>
      <c r="AI18" s="290">
        <f t="shared" si="7"/>
        <v>11928.3</v>
      </c>
      <c r="AJ18" s="118">
        <v>100</v>
      </c>
      <c r="AK18" s="122">
        <f t="shared" si="9"/>
        <v>7.4699074074074069E-3</v>
      </c>
      <c r="AL18" s="67">
        <f t="shared" si="1"/>
        <v>0.187</v>
      </c>
      <c r="AM18" s="68">
        <f t="shared" si="1"/>
        <v>2.3625E-2</v>
      </c>
      <c r="AN18" s="68">
        <f t="shared" si="1"/>
        <v>0.13445833333333332</v>
      </c>
      <c r="AO18" s="68">
        <f t="shared" si="1"/>
        <v>0.22579166666666667</v>
      </c>
      <c r="AP18" s="68">
        <f t="shared" si="1"/>
        <v>0.19479166666666667</v>
      </c>
      <c r="AQ18" s="68">
        <f t="shared" si="1"/>
        <v>0.15033333333333335</v>
      </c>
      <c r="AR18" s="68">
        <f t="shared" si="1"/>
        <v>0.16479166666666667</v>
      </c>
      <c r="AS18" s="68">
        <f t="shared" si="1"/>
        <v>0.20700000000000002</v>
      </c>
      <c r="AT18" s="68">
        <f t="shared" si="1"/>
        <v>0.17075000000000001</v>
      </c>
      <c r="AU18" s="68">
        <f>IF(OR(M21="",M21="Sem monitoramento"),"VAZIO",IFERROR(M21/($AJ18*24),"-"))</f>
        <v>0.13945833333333332</v>
      </c>
      <c r="AV18" s="68">
        <f t="shared" si="1"/>
        <v>0.20579166666666665</v>
      </c>
      <c r="AW18" s="68">
        <f t="shared" si="1"/>
        <v>0.2134166666666667</v>
      </c>
      <c r="AX18" s="68">
        <f t="shared" si="1"/>
        <v>0.18229166666666666</v>
      </c>
      <c r="AY18" s="68">
        <f t="shared" si="1"/>
        <v>0.21704166666666666</v>
      </c>
      <c r="AZ18" s="68">
        <f t="shared" si="1"/>
        <v>0.20983333333333334</v>
      </c>
      <c r="BA18" s="68">
        <f t="shared" si="1"/>
        <v>0.23191666666666669</v>
      </c>
      <c r="BB18" s="68">
        <f t="shared" si="12"/>
        <v>0.23220833333333332</v>
      </c>
      <c r="BC18" s="68">
        <f t="shared" si="2"/>
        <v>0.22199999999999998</v>
      </c>
      <c r="BD18" s="68">
        <f t="shared" si="2"/>
        <v>0.19724999999999998</v>
      </c>
      <c r="BE18" s="68">
        <f t="shared" si="2"/>
        <v>0.192</v>
      </c>
      <c r="BF18" s="68">
        <f t="shared" si="2"/>
        <v>0.15158333333333335</v>
      </c>
      <c r="BG18" s="68">
        <f t="shared" si="2"/>
        <v>8.4541666666666668E-2</v>
      </c>
      <c r="BH18" s="68">
        <f>IF(OR(Z18="",Z18="Sem monitoramento"),"VAZIO",IFERROR(Z18/($AJ18*24),"-"))</f>
        <v>9.0583333333333335E-2</v>
      </c>
      <c r="BI18" s="68">
        <f t="shared" si="2"/>
        <v>0.12341666666666666</v>
      </c>
      <c r="BJ18" s="68">
        <f t="shared" si="2"/>
        <v>0.13070833333333332</v>
      </c>
      <c r="BK18" s="68">
        <f t="shared" si="8"/>
        <v>5.7875000000000003E-2</v>
      </c>
      <c r="BL18" s="68">
        <f t="shared" si="2"/>
        <v>0.11212500000000002</v>
      </c>
      <c r="BM18" s="68">
        <f t="shared" si="2"/>
        <v>6.6666666666666666E-2</v>
      </c>
      <c r="BN18" s="68">
        <f t="shared" si="2"/>
        <v>8.1583333333333341E-2</v>
      </c>
      <c r="BO18" s="68">
        <f t="shared" si="2"/>
        <v>0.13116666666666668</v>
      </c>
      <c r="BP18" s="70">
        <f t="shared" si="3"/>
        <v>0.16567083333333332</v>
      </c>
      <c r="BQ18" s="198">
        <f>$BQ$19</f>
        <v>0.168125</v>
      </c>
      <c r="BR18" s="90">
        <f t="shared" si="10"/>
        <v>16.8125</v>
      </c>
      <c r="BS18" s="73">
        <f t="shared" si="11"/>
        <v>-3.3666666666666678E-2</v>
      </c>
      <c r="BT18" s="74">
        <f t="shared" si="6"/>
        <v>-2.4541666666666739E-3</v>
      </c>
      <c r="BU18" s="15" t="s">
        <v>23</v>
      </c>
      <c r="BV18" s="3"/>
      <c r="BW18" s="2"/>
      <c r="BX18" s="2"/>
      <c r="BZ18" s="102"/>
      <c r="CA18" s="102"/>
    </row>
    <row r="19" spans="2:79" x14ac:dyDescent="0.3">
      <c r="B19" s="775"/>
      <c r="C19" s="326" t="s">
        <v>24</v>
      </c>
      <c r="D19" s="62">
        <v>384</v>
      </c>
      <c r="E19" s="63">
        <v>310</v>
      </c>
      <c r="F19" s="63">
        <v>393</v>
      </c>
      <c r="G19" s="63">
        <v>482.3</v>
      </c>
      <c r="H19" s="282">
        <v>135.80000000000001</v>
      </c>
      <c r="I19" s="63">
        <v>328.4</v>
      </c>
      <c r="J19" s="283">
        <v>336.8</v>
      </c>
      <c r="K19" s="63">
        <v>412</v>
      </c>
      <c r="L19" s="63">
        <v>353.8</v>
      </c>
      <c r="M19" s="63">
        <v>291.60000000000002</v>
      </c>
      <c r="N19" s="63">
        <v>429.8</v>
      </c>
      <c r="O19" s="63">
        <v>433.1</v>
      </c>
      <c r="P19" s="63">
        <v>402.5</v>
      </c>
      <c r="Q19" s="283">
        <v>472.7</v>
      </c>
      <c r="R19" s="63">
        <v>434</v>
      </c>
      <c r="S19" s="63">
        <v>455.1</v>
      </c>
      <c r="T19" s="63">
        <v>462.4</v>
      </c>
      <c r="U19" s="63">
        <v>466.8</v>
      </c>
      <c r="V19" s="283">
        <v>393.7</v>
      </c>
      <c r="W19" s="283">
        <v>412.3</v>
      </c>
      <c r="X19" s="316">
        <v>296.8</v>
      </c>
      <c r="Y19" s="316">
        <v>175.6</v>
      </c>
      <c r="Z19" s="15">
        <v>188.7</v>
      </c>
      <c r="AA19" s="18">
        <v>252.6</v>
      </c>
      <c r="AB19" s="20">
        <v>250.1</v>
      </c>
      <c r="AC19" s="15">
        <v>99.6</v>
      </c>
      <c r="AD19" s="283">
        <v>209.5</v>
      </c>
      <c r="AE19" s="221">
        <v>138.9</v>
      </c>
      <c r="AF19" s="15">
        <v>206.8</v>
      </c>
      <c r="AG19" s="15">
        <v>287.3</v>
      </c>
      <c r="AH19" s="64">
        <v>467.6</v>
      </c>
      <c r="AI19" s="290">
        <f t="shared" si="7"/>
        <v>10363.6</v>
      </c>
      <c r="AJ19" s="118">
        <v>80</v>
      </c>
      <c r="AK19" s="121">
        <f t="shared" si="9"/>
        <v>1.1371527777777777E-2</v>
      </c>
      <c r="AL19" s="67">
        <f t="shared" si="1"/>
        <v>0.2</v>
      </c>
      <c r="AM19" s="68">
        <f t="shared" si="1"/>
        <v>0.16145833333333334</v>
      </c>
      <c r="AN19" s="68">
        <f t="shared" si="1"/>
        <v>0.20468749999999999</v>
      </c>
      <c r="AO19" s="68">
        <f t="shared" si="1"/>
        <v>0.25119791666666669</v>
      </c>
      <c r="AP19" s="68">
        <f t="shared" si="1"/>
        <v>7.0729166666666676E-2</v>
      </c>
      <c r="AQ19" s="68">
        <f>IF(OR(I19="",I19="Sem monitoramento"),"VAZIO",IFERROR(I19/($AJ19*24),"-"))</f>
        <v>0.17104166666666665</v>
      </c>
      <c r="AR19" s="68">
        <f t="shared" si="1"/>
        <v>0.17541666666666667</v>
      </c>
      <c r="AS19" s="68">
        <f t="shared" si="1"/>
        <v>0.21458333333333332</v>
      </c>
      <c r="AT19" s="68">
        <f>IF(OR(L21="",L21="Sem monitoramento"),"VAZIO",IFERROR(L21/($AJ19*24),"-"))</f>
        <v>0.20885416666666667</v>
      </c>
      <c r="AU19" s="68">
        <f t="shared" si="1"/>
        <v>0.15187500000000001</v>
      </c>
      <c r="AV19" s="68">
        <f t="shared" si="1"/>
        <v>0.22385416666666666</v>
      </c>
      <c r="AW19" s="68">
        <f t="shared" si="1"/>
        <v>0.22557291666666668</v>
      </c>
      <c r="AX19" s="68">
        <f t="shared" si="1"/>
        <v>0.20963541666666666</v>
      </c>
      <c r="AY19" s="68">
        <f t="shared" si="1"/>
        <v>0.24619791666666666</v>
      </c>
      <c r="AZ19" s="68">
        <f t="shared" si="1"/>
        <v>0.22604166666666667</v>
      </c>
      <c r="BA19" s="68">
        <f t="shared" si="1"/>
        <v>0.23703125</v>
      </c>
      <c r="BB19" s="68">
        <f t="shared" si="12"/>
        <v>0.24083333333333332</v>
      </c>
      <c r="BC19" s="68">
        <f t="shared" si="2"/>
        <v>0.24312500000000001</v>
      </c>
      <c r="BD19" s="68">
        <f t="shared" si="2"/>
        <v>0.20505208333333333</v>
      </c>
      <c r="BE19" s="68">
        <f t="shared" si="2"/>
        <v>0.21473958333333334</v>
      </c>
      <c r="BF19" s="68">
        <f>IF(OR(X21="",X21="Sem monitoramento"),"VAZIO",IFERROR(X21/($AJ19*24),"-"))</f>
        <v>0.16479166666666664</v>
      </c>
      <c r="BG19" s="68">
        <f>IF(OR(Y17="",Y17="Sem monitoramento"),"VAZIO",IFERROR(Y17/($AJ19*24),"-"))</f>
        <v>0.1046875</v>
      </c>
      <c r="BH19" s="68">
        <f>IF(OR(Z19="",Z19="Sem monitoramento"),"VAZIO",IFERROR(Z19/($AJ19*24),"-"))</f>
        <v>9.8281250000000001E-2</v>
      </c>
      <c r="BI19" s="68">
        <f t="shared" si="2"/>
        <v>0.1315625</v>
      </c>
      <c r="BJ19" s="68">
        <f t="shared" si="2"/>
        <v>0.13026041666666666</v>
      </c>
      <c r="BK19" s="68">
        <f t="shared" si="8"/>
        <v>5.1874999999999998E-2</v>
      </c>
      <c r="BL19" s="68">
        <f t="shared" si="2"/>
        <v>0.10911458333333333</v>
      </c>
      <c r="BM19" s="68">
        <f t="shared" si="2"/>
        <v>7.2343749999999998E-2</v>
      </c>
      <c r="BN19" s="68">
        <f t="shared" si="2"/>
        <v>0.10770833333333334</v>
      </c>
      <c r="BO19" s="68">
        <f t="shared" si="2"/>
        <v>0.14963541666666666</v>
      </c>
      <c r="BP19" s="70">
        <f t="shared" si="3"/>
        <v>0.1799236111111111</v>
      </c>
      <c r="BQ19" s="180">
        <f>'FCs estimados em PVsyst'!Y17</f>
        <v>0.168125</v>
      </c>
      <c r="BR19" s="72">
        <f t="shared" si="10"/>
        <v>13.45</v>
      </c>
      <c r="BS19" s="73">
        <f t="shared" si="11"/>
        <v>3.6562499999999998E-2</v>
      </c>
      <c r="BT19" s="74">
        <f t="shared" si="6"/>
        <v>1.1798611111111107E-2</v>
      </c>
      <c r="BU19" s="15" t="s">
        <v>24</v>
      </c>
      <c r="BV19" s="3"/>
      <c r="BW19" s="2"/>
      <c r="BX19" s="2"/>
      <c r="BZ19" s="102"/>
      <c r="CA19" s="102"/>
    </row>
    <row r="20" spans="2:79" x14ac:dyDescent="0.3">
      <c r="B20" s="775"/>
      <c r="C20" s="326" t="s">
        <v>25</v>
      </c>
      <c r="D20" s="62">
        <v>477.6</v>
      </c>
      <c r="E20" s="63">
        <v>391.3</v>
      </c>
      <c r="F20" s="63">
        <v>497.2</v>
      </c>
      <c r="G20" s="63">
        <v>604.20000000000005</v>
      </c>
      <c r="H20" s="282">
        <v>213.7</v>
      </c>
      <c r="I20" s="63">
        <v>407</v>
      </c>
      <c r="J20" s="283">
        <v>406.3</v>
      </c>
      <c r="K20" s="63">
        <v>497.9</v>
      </c>
      <c r="L20" s="63">
        <v>459.1</v>
      </c>
      <c r="M20" s="63">
        <v>378.3</v>
      </c>
      <c r="N20" s="316">
        <v>556.29999999999995</v>
      </c>
      <c r="O20" s="63">
        <v>541.5</v>
      </c>
      <c r="P20" s="63">
        <v>500.9</v>
      </c>
      <c r="Q20" s="283">
        <v>562.4</v>
      </c>
      <c r="R20" s="63">
        <v>512.29999999999995</v>
      </c>
      <c r="S20" s="63">
        <v>584.79999999999995</v>
      </c>
      <c r="T20" s="283">
        <v>600.70000000000005</v>
      </c>
      <c r="U20" s="63">
        <v>594</v>
      </c>
      <c r="V20" s="283">
        <v>490.9</v>
      </c>
      <c r="W20" s="283">
        <v>520.70000000000005</v>
      </c>
      <c r="X20" s="283">
        <v>378.5</v>
      </c>
      <c r="Y20" s="63">
        <v>251.3</v>
      </c>
      <c r="Z20" s="15">
        <v>259.3</v>
      </c>
      <c r="AA20" s="18">
        <v>346</v>
      </c>
      <c r="AB20" s="20">
        <v>331</v>
      </c>
      <c r="AC20" s="15">
        <v>136.19999999999999</v>
      </c>
      <c r="AD20" s="283">
        <v>282</v>
      </c>
      <c r="AE20" s="221">
        <v>190.4</v>
      </c>
      <c r="AF20" s="15">
        <v>279.3</v>
      </c>
      <c r="AG20" s="15">
        <v>362.8</v>
      </c>
      <c r="AH20" s="64">
        <v>594.1</v>
      </c>
      <c r="AI20" s="290">
        <f>SUM(D20:AH20)</f>
        <v>13207.999999999998</v>
      </c>
      <c r="AJ20" s="118">
        <v>100</v>
      </c>
      <c r="AK20" s="121">
        <f t="shared" si="9"/>
        <v>1.1509259259259259E-2</v>
      </c>
      <c r="AL20" s="67">
        <f t="shared" si="1"/>
        <v>0.19900000000000001</v>
      </c>
      <c r="AM20" s="68">
        <f t="shared" si="1"/>
        <v>0.16304166666666667</v>
      </c>
      <c r="AN20" s="68">
        <f t="shared" si="1"/>
        <v>0.20716666666666667</v>
      </c>
      <c r="AO20" s="68">
        <f t="shared" si="1"/>
        <v>0.25175000000000003</v>
      </c>
      <c r="AP20" s="68">
        <f t="shared" si="1"/>
        <v>8.9041666666666658E-2</v>
      </c>
      <c r="AQ20" s="68">
        <f>IF(OR(I20="",I20="Sem monitoramento"),"VAZIO",IFERROR(I20/($AJ20*24),"-"))</f>
        <v>0.16958333333333334</v>
      </c>
      <c r="AR20" s="68">
        <f t="shared" si="1"/>
        <v>0.16929166666666667</v>
      </c>
      <c r="AS20" s="68">
        <f t="shared" si="1"/>
        <v>0.20745833333333333</v>
      </c>
      <c r="AT20" s="68">
        <f t="shared" si="1"/>
        <v>0.19129166666666667</v>
      </c>
      <c r="AU20" s="68">
        <f t="shared" si="1"/>
        <v>0.15762500000000002</v>
      </c>
      <c r="AV20" s="68">
        <f>IF(OR(N21="",N21="Sem monitoramento"),"VAZIO",IFERROR(N21/($AJ20*24),"-"))</f>
        <v>0.21550000000000002</v>
      </c>
      <c r="AW20" s="68">
        <f t="shared" si="1"/>
        <v>0.22562499999999999</v>
      </c>
      <c r="AX20" s="68">
        <f t="shared" si="1"/>
        <v>0.20870833333333333</v>
      </c>
      <c r="AY20" s="68">
        <f t="shared" si="1"/>
        <v>0.23433333333333331</v>
      </c>
      <c r="AZ20" s="68">
        <f t="shared" si="1"/>
        <v>0.21345833333333331</v>
      </c>
      <c r="BA20" s="68">
        <f>IF(OR(S21="",S21="Sem monitoramento"),"VAZIO",IFERROR(S21/($AJ20*24),"-"))</f>
        <v>0.22074999999999997</v>
      </c>
      <c r="BB20" s="68">
        <f t="shared" si="12"/>
        <v>0.25029166666666669</v>
      </c>
      <c r="BC20" s="68">
        <f t="shared" si="2"/>
        <v>0.2475</v>
      </c>
      <c r="BD20" s="68">
        <f t="shared" si="2"/>
        <v>0.20454166666666665</v>
      </c>
      <c r="BE20" s="68">
        <f t="shared" si="2"/>
        <v>0.21695833333333336</v>
      </c>
      <c r="BF20" s="68">
        <f>IF(OR(X22="",X22="Sem monitoramento"),"VAZIO",IFERROR(X22/($AJ20*24),"-"))</f>
        <v>0.22470833333333332</v>
      </c>
      <c r="BG20" s="68">
        <f>IF(OR(Y18="",Y18="Sem monitoramento"),"VAZIO",IFERROR(Y18/($AJ20*24),"-"))</f>
        <v>8.4541666666666668E-2</v>
      </c>
      <c r="BH20" s="68">
        <f t="shared" si="2"/>
        <v>0.10804166666666667</v>
      </c>
      <c r="BI20" s="68">
        <f t="shared" si="2"/>
        <v>0.14416666666666667</v>
      </c>
      <c r="BJ20" s="68">
        <f t="shared" si="2"/>
        <v>0.13791666666666666</v>
      </c>
      <c r="BK20" s="68">
        <f t="shared" si="8"/>
        <v>5.6749999999999995E-2</v>
      </c>
      <c r="BL20" s="68">
        <f t="shared" si="2"/>
        <v>0.11749999999999999</v>
      </c>
      <c r="BM20" s="68">
        <f t="shared" si="2"/>
        <v>7.9333333333333339E-2</v>
      </c>
      <c r="BN20" s="68">
        <f t="shared" si="2"/>
        <v>0.11637500000000001</v>
      </c>
      <c r="BO20" s="68">
        <f t="shared" si="2"/>
        <v>0.15116666666666667</v>
      </c>
      <c r="BP20" s="70">
        <f t="shared" si="3"/>
        <v>0.18344444444444441</v>
      </c>
      <c r="BQ20" s="198">
        <f t="shared" ref="BQ20:BQ30" si="13">$BQ$19</f>
        <v>0.168125</v>
      </c>
      <c r="BR20" s="72">
        <f t="shared" si="10"/>
        <v>16.8125</v>
      </c>
      <c r="BS20" s="73">
        <f t="shared" si="11"/>
        <v>3.9041666666666669E-2</v>
      </c>
      <c r="BT20" s="74">
        <f t="shared" si="6"/>
        <v>1.5319444444444413E-2</v>
      </c>
      <c r="BU20" s="15" t="s">
        <v>25</v>
      </c>
      <c r="BV20" s="3"/>
      <c r="BW20" s="2"/>
      <c r="BX20" s="2"/>
      <c r="BZ20" s="102"/>
      <c r="CA20" s="102"/>
    </row>
    <row r="21" spans="2:79" x14ac:dyDescent="0.3">
      <c r="B21" s="775"/>
      <c r="C21" s="326" t="s">
        <v>26</v>
      </c>
      <c r="D21" s="305">
        <v>155</v>
      </c>
      <c r="E21" s="282">
        <v>243.7</v>
      </c>
      <c r="F21" s="282">
        <v>185.8</v>
      </c>
      <c r="G21" s="282">
        <v>231.5</v>
      </c>
      <c r="H21" s="282">
        <v>174.6</v>
      </c>
      <c r="I21" s="63">
        <v>369.9</v>
      </c>
      <c r="J21" s="283">
        <v>353.8</v>
      </c>
      <c r="K21" s="63">
        <v>442.9</v>
      </c>
      <c r="L21" s="283">
        <v>401</v>
      </c>
      <c r="M21" s="63">
        <v>334.7</v>
      </c>
      <c r="N21" s="63">
        <v>517.20000000000005</v>
      </c>
      <c r="O21" s="63">
        <v>491</v>
      </c>
      <c r="P21" s="63">
        <v>479.5</v>
      </c>
      <c r="Q21" s="283">
        <v>514.4</v>
      </c>
      <c r="R21" s="63">
        <v>462.4</v>
      </c>
      <c r="S21" s="63">
        <v>529.79999999999995</v>
      </c>
      <c r="T21" s="283">
        <v>544.20000000000005</v>
      </c>
      <c r="U21" s="283">
        <v>531.20000000000005</v>
      </c>
      <c r="V21" s="283">
        <v>441.9</v>
      </c>
      <c r="W21" s="283">
        <v>454.3</v>
      </c>
      <c r="X21" s="283">
        <v>316.39999999999998</v>
      </c>
      <c r="Y21" s="283">
        <v>209.7</v>
      </c>
      <c r="Z21" s="221">
        <v>213.5</v>
      </c>
      <c r="AA21" s="320">
        <v>283.5</v>
      </c>
      <c r="AB21" s="323">
        <v>271.3</v>
      </c>
      <c r="AC21" s="221">
        <v>111.1</v>
      </c>
      <c r="AD21" s="283">
        <v>227.4</v>
      </c>
      <c r="AE21" s="221">
        <v>154.19999999999999</v>
      </c>
      <c r="AF21" s="221">
        <v>225.8</v>
      </c>
      <c r="AG21" s="221">
        <v>309.8</v>
      </c>
      <c r="AH21" s="492">
        <v>516.70000000000005</v>
      </c>
      <c r="AI21" s="290">
        <f t="shared" si="7"/>
        <v>10698.199999999997</v>
      </c>
      <c r="AJ21" s="118">
        <v>100</v>
      </c>
      <c r="AK21" s="121">
        <f t="shared" si="9"/>
        <v>4.3009259259259259E-3</v>
      </c>
      <c r="AL21" s="67">
        <f t="shared" si="1"/>
        <v>6.458333333333334E-2</v>
      </c>
      <c r="AM21" s="68">
        <f t="shared" si="1"/>
        <v>0.10154166666666666</v>
      </c>
      <c r="AN21" s="68">
        <f t="shared" si="1"/>
        <v>7.7416666666666675E-2</v>
      </c>
      <c r="AO21" s="68">
        <f t="shared" si="1"/>
        <v>9.6458333333333326E-2</v>
      </c>
      <c r="AP21" s="68">
        <f t="shared" si="1"/>
        <v>7.2749999999999995E-2</v>
      </c>
      <c r="AQ21" s="68">
        <f t="shared" si="1"/>
        <v>0.15412499999999998</v>
      </c>
      <c r="AR21" s="68">
        <f t="shared" si="1"/>
        <v>0.14741666666666667</v>
      </c>
      <c r="AS21" s="68">
        <f t="shared" ref="AL21:AU31" si="14">IF(OR(K21="",K21="Sem monitoramento"),"VAZIO",IFERROR(K21/($AJ21*24),"-"))</f>
        <v>0.18454166666666666</v>
      </c>
      <c r="AT21" s="68">
        <f t="shared" si="14"/>
        <v>0.16708333333333333</v>
      </c>
      <c r="AU21" s="68">
        <f t="shared" si="14"/>
        <v>0.13945833333333332</v>
      </c>
      <c r="AV21" s="68">
        <f>IF(OR(N22="",N22="Sem monitoramento"),"VAZIO",IFERROR(N22/($AJ21*24),"-"))</f>
        <v>0.2465</v>
      </c>
      <c r="AW21" s="68">
        <f t="shared" ref="AU21:BA31" si="15">IF(OR(O21="",O21="Sem monitoramento"),"VAZIO",IFERROR(O21/($AJ21*24),"-"))</f>
        <v>0.20458333333333334</v>
      </c>
      <c r="AX21" s="68">
        <f t="shared" si="15"/>
        <v>0.19979166666666667</v>
      </c>
      <c r="AY21" s="68">
        <f t="shared" si="15"/>
        <v>0.21433333333333332</v>
      </c>
      <c r="AZ21" s="68">
        <f t="shared" si="15"/>
        <v>0.19266666666666665</v>
      </c>
      <c r="BA21" s="68">
        <f>IF(OR(S22="",S22="Sem monitoramento"),"VAZIO",IFERROR(S22/($AJ21*24),"-"))</f>
        <v>9.6916666666666665E-2</v>
      </c>
      <c r="BB21" s="68">
        <f t="shared" si="12"/>
        <v>0.22675000000000001</v>
      </c>
      <c r="BC21" s="68">
        <f t="shared" si="12"/>
        <v>0.22133333333333335</v>
      </c>
      <c r="BD21" s="68">
        <f t="shared" si="12"/>
        <v>0.18412499999999998</v>
      </c>
      <c r="BE21" s="68">
        <f t="shared" si="12"/>
        <v>0.18929166666666666</v>
      </c>
      <c r="BF21" s="68">
        <f>IF(OR(X23="",X23="Sem monitoramento"),"VAZIO",IFERROR(X23/($AJ21*24),"-"))</f>
        <v>0.17674999999999999</v>
      </c>
      <c r="BG21" s="68">
        <f t="shared" si="12"/>
        <v>8.7374999999999994E-2</v>
      </c>
      <c r="BH21" s="68">
        <f t="shared" si="12"/>
        <v>8.8958333333333334E-2</v>
      </c>
      <c r="BI21" s="68">
        <f t="shared" si="12"/>
        <v>0.11812499999999999</v>
      </c>
      <c r="BJ21" s="68">
        <f>IF(OR(AB20="",AB20="Sem monitoramento"),"VAZIO",IFERROR(AB20/($AJ21*24),"-"))</f>
        <v>0.13791666666666666</v>
      </c>
      <c r="BK21" s="68">
        <f t="shared" si="8"/>
        <v>4.6291666666666662E-2</v>
      </c>
      <c r="BL21" s="68">
        <f t="shared" si="8"/>
        <v>9.4750000000000001E-2</v>
      </c>
      <c r="BM21" s="68">
        <f t="shared" si="8"/>
        <v>6.4250000000000002E-2</v>
      </c>
      <c r="BN21" s="68">
        <f t="shared" si="8"/>
        <v>9.4083333333333338E-2</v>
      </c>
      <c r="BO21" s="68">
        <f t="shared" si="8"/>
        <v>0.12908333333333333</v>
      </c>
      <c r="BP21" s="70">
        <f t="shared" si="3"/>
        <v>0.14858611111111106</v>
      </c>
      <c r="BQ21" s="198">
        <f t="shared" si="13"/>
        <v>0.168125</v>
      </c>
      <c r="BR21" s="72">
        <f t="shared" si="10"/>
        <v>16.8125</v>
      </c>
      <c r="BS21" s="73">
        <f t="shared" si="11"/>
        <v>-9.0708333333333321E-2</v>
      </c>
      <c r="BT21" s="74">
        <f t="shared" si="6"/>
        <v>-1.9538888888888939E-2</v>
      </c>
      <c r="BU21" s="15" t="s">
        <v>26</v>
      </c>
      <c r="BV21" s="3"/>
      <c r="BW21" s="2"/>
      <c r="BX21" s="2"/>
      <c r="BZ21" s="102"/>
      <c r="CA21" s="102"/>
    </row>
    <row r="22" spans="2:79" x14ac:dyDescent="0.3">
      <c r="B22" s="775"/>
      <c r="C22" s="326" t="s">
        <v>28</v>
      </c>
      <c r="D22" s="62">
        <v>480</v>
      </c>
      <c r="E22" s="63">
        <v>486.8</v>
      </c>
      <c r="F22" s="63">
        <v>583.6</v>
      </c>
      <c r="G22" s="63">
        <v>619.1</v>
      </c>
      <c r="H22" s="63">
        <v>599</v>
      </c>
      <c r="I22" s="63">
        <v>413</v>
      </c>
      <c r="J22" s="63">
        <v>459.7</v>
      </c>
      <c r="K22" s="63">
        <v>508.3</v>
      </c>
      <c r="L22" s="63">
        <v>446.4</v>
      </c>
      <c r="M22" s="63">
        <v>428.2</v>
      </c>
      <c r="N22" s="63">
        <v>591.6</v>
      </c>
      <c r="O22" s="63">
        <v>545</v>
      </c>
      <c r="P22" s="63">
        <v>521.29999999999995</v>
      </c>
      <c r="Q22" s="283">
        <v>376.4</v>
      </c>
      <c r="R22" s="282">
        <v>0</v>
      </c>
      <c r="S22" s="282">
        <v>232.6</v>
      </c>
      <c r="T22" s="63">
        <v>618.4</v>
      </c>
      <c r="U22" s="63">
        <v>585.1</v>
      </c>
      <c r="V22" s="63">
        <v>473.5</v>
      </c>
      <c r="W22" s="283">
        <v>511.4</v>
      </c>
      <c r="X22" s="63">
        <v>539.29999999999995</v>
      </c>
      <c r="Y22" s="63">
        <v>405.8</v>
      </c>
      <c r="Z22" s="15">
        <v>273</v>
      </c>
      <c r="AA22" s="18">
        <v>267.8</v>
      </c>
      <c r="AB22" s="20">
        <v>400.8</v>
      </c>
      <c r="AC22" s="15">
        <v>170.1</v>
      </c>
      <c r="AD22" s="221">
        <v>278</v>
      </c>
      <c r="AE22" s="15">
        <v>169</v>
      </c>
      <c r="AF22" s="15">
        <v>247.2</v>
      </c>
      <c r="AG22" s="15">
        <v>390.3</v>
      </c>
      <c r="AH22" s="64">
        <v>624.5</v>
      </c>
      <c r="AI22" s="290">
        <f t="shared" si="7"/>
        <v>13245.199999999997</v>
      </c>
      <c r="AJ22" s="118">
        <v>100</v>
      </c>
      <c r="AK22" s="121">
        <f t="shared" si="9"/>
        <v>1.3509259259259259E-2</v>
      </c>
      <c r="AL22" s="67">
        <f t="shared" si="14"/>
        <v>0.2</v>
      </c>
      <c r="AM22" s="68">
        <f t="shared" si="14"/>
        <v>0.20283333333333334</v>
      </c>
      <c r="AN22" s="68">
        <f t="shared" si="14"/>
        <v>0.24316666666666667</v>
      </c>
      <c r="AO22" s="68">
        <f t="shared" si="14"/>
        <v>0.25795833333333335</v>
      </c>
      <c r="AP22" s="68">
        <f t="shared" si="14"/>
        <v>0.24958333333333332</v>
      </c>
      <c r="AQ22" s="68">
        <f t="shared" si="14"/>
        <v>0.17208333333333334</v>
      </c>
      <c r="AR22" s="68">
        <f t="shared" si="14"/>
        <v>0.19154166666666667</v>
      </c>
      <c r="AS22" s="68">
        <f t="shared" si="14"/>
        <v>0.21179166666666668</v>
      </c>
      <c r="AT22" s="68">
        <f t="shared" si="14"/>
        <v>0.186</v>
      </c>
      <c r="AU22" s="68">
        <f t="shared" si="15"/>
        <v>0.17841666666666667</v>
      </c>
      <c r="AV22" s="68">
        <f t="shared" si="15"/>
        <v>0.2465</v>
      </c>
      <c r="AW22" s="68">
        <f t="shared" si="15"/>
        <v>0.22708333333333333</v>
      </c>
      <c r="AX22" s="68">
        <f t="shared" si="15"/>
        <v>0.21720833333333331</v>
      </c>
      <c r="AY22" s="68">
        <f t="shared" si="15"/>
        <v>0.15683333333333332</v>
      </c>
      <c r="AZ22" s="68">
        <f t="shared" si="15"/>
        <v>0</v>
      </c>
      <c r="BA22" s="68">
        <f t="shared" si="15"/>
        <v>9.6916666666666665E-2</v>
      </c>
      <c r="BB22" s="68">
        <f t="shared" si="12"/>
        <v>0.25766666666666665</v>
      </c>
      <c r="BC22" s="68">
        <f t="shared" si="12"/>
        <v>0.24379166666666668</v>
      </c>
      <c r="BD22" s="68">
        <f t="shared" si="12"/>
        <v>0.19729166666666667</v>
      </c>
      <c r="BE22" s="68">
        <f t="shared" si="12"/>
        <v>0.21308333333333332</v>
      </c>
      <c r="BF22" s="68">
        <f t="shared" si="12"/>
        <v>0.22470833333333332</v>
      </c>
      <c r="BG22" s="68">
        <f t="shared" si="12"/>
        <v>0.16908333333333334</v>
      </c>
      <c r="BH22" s="68">
        <f t="shared" si="12"/>
        <v>0.11375</v>
      </c>
      <c r="BI22" s="68">
        <f t="shared" si="12"/>
        <v>0.11158333333333334</v>
      </c>
      <c r="BJ22" s="68">
        <f>IF(OR(AB21="",AB21="Sem monitoramento"),"VAZIO",IFERROR(AB21/($AJ22*24),"-"))</f>
        <v>0.11304166666666667</v>
      </c>
      <c r="BK22" s="68">
        <f t="shared" si="8"/>
        <v>7.0874999999999994E-2</v>
      </c>
      <c r="BL22" s="68">
        <f t="shared" si="8"/>
        <v>0.11583333333333333</v>
      </c>
      <c r="BM22" s="68">
        <f t="shared" si="8"/>
        <v>7.0416666666666669E-2</v>
      </c>
      <c r="BN22" s="68">
        <f t="shared" si="8"/>
        <v>0.10299999999999999</v>
      </c>
      <c r="BO22" s="68">
        <f t="shared" si="8"/>
        <v>0.16262499999999999</v>
      </c>
      <c r="BP22" s="70">
        <f t="shared" si="3"/>
        <v>0.18396111111111108</v>
      </c>
      <c r="BQ22" s="198">
        <f t="shared" si="13"/>
        <v>0.168125</v>
      </c>
      <c r="BR22" s="72">
        <f t="shared" si="10"/>
        <v>16.8125</v>
      </c>
      <c r="BS22" s="73">
        <f t="shared" si="11"/>
        <v>7.5041666666666673E-2</v>
      </c>
      <c r="BT22" s="74">
        <f t="shared" si="6"/>
        <v>1.5836111111111079E-2</v>
      </c>
      <c r="BU22" s="15" t="s">
        <v>27</v>
      </c>
      <c r="BV22" s="3"/>
      <c r="BW22" s="2"/>
      <c r="BX22" s="2"/>
      <c r="BZ22" s="102"/>
      <c r="CA22" s="102"/>
    </row>
    <row r="23" spans="2:79" x14ac:dyDescent="0.3">
      <c r="B23" s="775"/>
      <c r="C23" s="326" t="s">
        <v>29</v>
      </c>
      <c r="D23" s="223">
        <v>418.6</v>
      </c>
      <c r="E23" s="63">
        <v>389.4</v>
      </c>
      <c r="F23" s="283">
        <v>480.6</v>
      </c>
      <c r="G23" s="63">
        <v>543.4</v>
      </c>
      <c r="H23" s="63">
        <v>513.4</v>
      </c>
      <c r="I23" s="63">
        <v>339.8</v>
      </c>
      <c r="J23" s="63">
        <v>366.8</v>
      </c>
      <c r="K23" s="63">
        <v>435.8</v>
      </c>
      <c r="L23" s="63">
        <v>350</v>
      </c>
      <c r="M23" s="63">
        <v>345.7</v>
      </c>
      <c r="N23" s="63">
        <v>513.20000000000005</v>
      </c>
      <c r="O23" s="316">
        <v>436.3</v>
      </c>
      <c r="P23" s="63">
        <v>424.9</v>
      </c>
      <c r="Q23" s="283">
        <v>471.5</v>
      </c>
      <c r="R23" s="63">
        <v>450.6</v>
      </c>
      <c r="S23" s="63">
        <v>498.6</v>
      </c>
      <c r="T23" s="63">
        <v>511.2</v>
      </c>
      <c r="U23" s="63">
        <v>483.5</v>
      </c>
      <c r="V23" s="63">
        <v>396.4</v>
      </c>
      <c r="W23" s="283">
        <v>403</v>
      </c>
      <c r="X23" s="63">
        <v>424.2</v>
      </c>
      <c r="Y23" s="63">
        <v>326.10000000000002</v>
      </c>
      <c r="Z23" s="15">
        <v>205.1</v>
      </c>
      <c r="AA23" s="18">
        <v>199</v>
      </c>
      <c r="AB23" s="20">
        <v>304</v>
      </c>
      <c r="AC23" s="15">
        <v>115.7</v>
      </c>
      <c r="AD23" s="15">
        <v>212.6</v>
      </c>
      <c r="AE23" s="15">
        <v>121.1</v>
      </c>
      <c r="AF23" s="15">
        <v>177.3</v>
      </c>
      <c r="AG23" s="15">
        <v>310.10000000000002</v>
      </c>
      <c r="AH23" s="64">
        <v>512</v>
      </c>
      <c r="AI23" s="290">
        <f t="shared" si="7"/>
        <v>11679.900000000003</v>
      </c>
      <c r="AJ23" s="118">
        <v>100</v>
      </c>
      <c r="AK23" s="121">
        <f t="shared" si="9"/>
        <v>1.1125000000000001E-2</v>
      </c>
      <c r="AL23" s="67">
        <f t="shared" si="14"/>
        <v>0.17441666666666666</v>
      </c>
      <c r="AM23" s="68">
        <f t="shared" si="14"/>
        <v>0.16224999999999998</v>
      </c>
      <c r="AN23" s="68">
        <f t="shared" si="14"/>
        <v>0.20025000000000001</v>
      </c>
      <c r="AO23" s="68">
        <f t="shared" si="14"/>
        <v>0.22641666666666665</v>
      </c>
      <c r="AP23" s="68">
        <f t="shared" si="14"/>
        <v>0.21391666666666664</v>
      </c>
      <c r="AQ23" s="68">
        <f t="shared" si="14"/>
        <v>0.14158333333333334</v>
      </c>
      <c r="AR23" s="68">
        <f t="shared" si="14"/>
        <v>0.15283333333333335</v>
      </c>
      <c r="AS23" s="68">
        <f>IF(OR(K23="",K23="Sem monitoramento"),"VAZIO",IFERROR(K23/($AJ23*24),"-"))</f>
        <v>0.18158333333333335</v>
      </c>
      <c r="AT23" s="68">
        <f t="shared" si="14"/>
        <v>0.14583333333333334</v>
      </c>
      <c r="AU23" s="68">
        <f t="shared" si="15"/>
        <v>0.14404166666666665</v>
      </c>
      <c r="AV23" s="68">
        <f t="shared" si="15"/>
        <v>0.21383333333333335</v>
      </c>
      <c r="AW23" s="68">
        <f>IF(OR(O20="",O20="Sem monitoramento"),"VAZIO",IFERROR(O20/($AJ23*24),"-"))</f>
        <v>0.22562499999999999</v>
      </c>
      <c r="AX23" s="68">
        <f t="shared" si="15"/>
        <v>0.17704166666666665</v>
      </c>
      <c r="AY23" s="68">
        <f t="shared" si="15"/>
        <v>0.19645833333333335</v>
      </c>
      <c r="AZ23" s="68">
        <f t="shared" si="15"/>
        <v>0.18775</v>
      </c>
      <c r="BA23" s="68">
        <f t="shared" si="15"/>
        <v>0.20775000000000002</v>
      </c>
      <c r="BB23" s="68">
        <f t="shared" si="12"/>
        <v>0.21299999999999999</v>
      </c>
      <c r="BC23" s="68">
        <f t="shared" si="12"/>
        <v>0.20145833333333332</v>
      </c>
      <c r="BD23" s="68">
        <f>IF(OR(V23="",V23="Sem monitoramento"),"VAZIO",IFERROR(V23/($AJ23*24),"-"))</f>
        <v>0.16516666666666666</v>
      </c>
      <c r="BE23" s="68">
        <f t="shared" si="12"/>
        <v>0.16791666666666666</v>
      </c>
      <c r="BF23" s="68">
        <f t="shared" si="12"/>
        <v>0.17674999999999999</v>
      </c>
      <c r="BG23" s="68">
        <f t="shared" si="12"/>
        <v>0.135875</v>
      </c>
      <c r="BH23" s="68">
        <f t="shared" si="12"/>
        <v>8.5458333333333331E-2</v>
      </c>
      <c r="BI23" s="68">
        <f t="shared" si="12"/>
        <v>8.2916666666666666E-2</v>
      </c>
      <c r="BJ23" s="68">
        <f t="shared" si="12"/>
        <v>0.12666666666666668</v>
      </c>
      <c r="BK23" s="68">
        <f t="shared" si="8"/>
        <v>4.8208333333333332E-2</v>
      </c>
      <c r="BL23" s="68">
        <f t="shared" si="8"/>
        <v>8.8583333333333333E-2</v>
      </c>
      <c r="BM23" s="68">
        <f t="shared" si="8"/>
        <v>5.0458333333333334E-2</v>
      </c>
      <c r="BN23" s="68">
        <f t="shared" si="8"/>
        <v>7.387500000000001E-2</v>
      </c>
      <c r="BO23" s="68">
        <f t="shared" si="8"/>
        <v>0.12920833333333334</v>
      </c>
      <c r="BP23" s="70">
        <f t="shared" si="3"/>
        <v>0.16222083333333337</v>
      </c>
      <c r="BQ23" s="198">
        <f t="shared" si="13"/>
        <v>0.168125</v>
      </c>
      <c r="BR23" s="72">
        <f t="shared" si="10"/>
        <v>16.8125</v>
      </c>
      <c r="BS23" s="73">
        <f t="shared" si="11"/>
        <v>3.2125000000000015E-2</v>
      </c>
      <c r="BT23" s="74">
        <f t="shared" si="6"/>
        <v>-5.904166666666627E-3</v>
      </c>
      <c r="BU23" s="15" t="s">
        <v>28</v>
      </c>
      <c r="BV23" s="3"/>
      <c r="BW23" s="2"/>
      <c r="BX23" s="2"/>
      <c r="BZ23" s="102"/>
      <c r="CA23" s="102"/>
    </row>
    <row r="24" spans="2:79" x14ac:dyDescent="0.3">
      <c r="B24" s="775"/>
      <c r="C24" s="326" t="s">
        <v>30</v>
      </c>
      <c r="D24" s="223">
        <v>1517.5</v>
      </c>
      <c r="E24" s="63">
        <v>1526.1</v>
      </c>
      <c r="F24" s="63">
        <v>1847.6</v>
      </c>
      <c r="G24" s="63">
        <v>1958.3</v>
      </c>
      <c r="H24" s="63">
        <v>1865.6</v>
      </c>
      <c r="I24" s="63">
        <v>1310</v>
      </c>
      <c r="J24" s="63">
        <v>1434.9</v>
      </c>
      <c r="K24" s="63">
        <f>569.3+444+599</f>
        <v>1612.3</v>
      </c>
      <c r="L24" s="63">
        <v>1390</v>
      </c>
      <c r="M24" s="63">
        <v>1342.1</v>
      </c>
      <c r="N24" s="63">
        <v>1966.9</v>
      </c>
      <c r="O24" s="63">
        <v>1719.1</v>
      </c>
      <c r="P24" s="63">
        <v>1665.5</v>
      </c>
      <c r="Q24" s="283">
        <v>1745.6</v>
      </c>
      <c r="R24" s="63">
        <v>1743.5</v>
      </c>
      <c r="S24" s="63">
        <v>1930.5</v>
      </c>
      <c r="T24" s="63">
        <v>1868.3</v>
      </c>
      <c r="U24" s="63">
        <f>596.1+510.6+663.1</f>
        <v>1769.8000000000002</v>
      </c>
      <c r="V24" s="31">
        <f>509.5+417.6+553.7</f>
        <v>1480.8000000000002</v>
      </c>
      <c r="W24" s="283">
        <v>1593.7</v>
      </c>
      <c r="X24" s="316">
        <v>1687.4</v>
      </c>
      <c r="Y24" s="63">
        <f>481.1+440.9+486</f>
        <v>1408</v>
      </c>
      <c r="Z24" s="15">
        <v>843.5</v>
      </c>
      <c r="AA24" s="18">
        <v>801.4</v>
      </c>
      <c r="AB24" s="323">
        <v>1253.5999999999999</v>
      </c>
      <c r="AC24" s="221">
        <v>566.20000000000005</v>
      </c>
      <c r="AD24" s="15">
        <v>840.6</v>
      </c>
      <c r="AE24" s="15">
        <v>516.70000000000005</v>
      </c>
      <c r="AF24" s="15">
        <v>754.2</v>
      </c>
      <c r="AG24" s="15">
        <v>1289.3</v>
      </c>
      <c r="AH24" s="64">
        <v>2120.1</v>
      </c>
      <c r="AI24" s="290">
        <f t="shared" si="7"/>
        <v>45369.099999999984</v>
      </c>
      <c r="AJ24" s="118">
        <v>383</v>
      </c>
      <c r="AK24" s="121">
        <f t="shared" si="9"/>
        <v>1.1166715017889952E-2</v>
      </c>
      <c r="AL24" s="67">
        <f t="shared" si="14"/>
        <v>0.16508920800696258</v>
      </c>
      <c r="AM24" s="68">
        <f t="shared" si="14"/>
        <v>0.16602480417754567</v>
      </c>
      <c r="AN24" s="68">
        <f t="shared" si="14"/>
        <v>0.20100087032201913</v>
      </c>
      <c r="AO24" s="68">
        <f t="shared" si="14"/>
        <v>0.21304395126196693</v>
      </c>
      <c r="AP24" s="68">
        <f t="shared" si="14"/>
        <v>0.20295909486510008</v>
      </c>
      <c r="AQ24" s="68">
        <f t="shared" si="14"/>
        <v>0.14251523063533508</v>
      </c>
      <c r="AR24" s="68">
        <f t="shared" si="14"/>
        <v>0.15610313315926894</v>
      </c>
      <c r="AS24" s="68">
        <f>IF(OR(K24="",K24="Sem monitoramento"),"VAZIO",IFERROR(K24/($AJ24*24),"-"))</f>
        <v>0.17540252393385553</v>
      </c>
      <c r="AT24" s="68">
        <f t="shared" si="14"/>
        <v>0.15121845082680591</v>
      </c>
      <c r="AU24" s="68">
        <f t="shared" si="15"/>
        <v>0.14600739773716273</v>
      </c>
      <c r="AV24" s="68">
        <f t="shared" si="15"/>
        <v>0.21397954743255004</v>
      </c>
      <c r="AW24" s="68">
        <f t="shared" si="15"/>
        <v>0.1870213228894691</v>
      </c>
      <c r="AX24" s="68">
        <f t="shared" si="15"/>
        <v>0.18119016536118362</v>
      </c>
      <c r="AY24" s="68">
        <f t="shared" si="15"/>
        <v>0.18990426457789381</v>
      </c>
      <c r="AZ24" s="68">
        <f t="shared" si="15"/>
        <v>0.18967580504786771</v>
      </c>
      <c r="BA24" s="68">
        <f t="shared" si="15"/>
        <v>0.2100195822454308</v>
      </c>
      <c r="BB24" s="68">
        <f t="shared" si="12"/>
        <v>0.20325282854656224</v>
      </c>
      <c r="BC24" s="68">
        <f t="shared" si="12"/>
        <v>0.19253698868581376</v>
      </c>
      <c r="BD24" s="68" t="e">
        <f>IF(OR(#REF!="",#REF!="Sem monitoramento"),"VAZIO",IFERROR(#REF!/($AJ24*24),"-"))</f>
        <v>#REF!</v>
      </c>
      <c r="BE24" s="68">
        <f t="shared" si="12"/>
        <v>0.17337902523933857</v>
      </c>
      <c r="BF24" s="68" t="e">
        <f>IF(OR(#REF!="",#REF!="Sem monitoramento"),"VAZIO",IFERROR(#REF!/($AJ24*24),"-"))</f>
        <v>#REF!</v>
      </c>
      <c r="BG24" s="68">
        <f t="shared" si="12"/>
        <v>0.15317667536988686</v>
      </c>
      <c r="BH24" s="68">
        <f t="shared" si="12"/>
        <v>9.1764577893820712E-2</v>
      </c>
      <c r="BI24" s="68">
        <f t="shared" si="12"/>
        <v>8.718450826805918E-2</v>
      </c>
      <c r="BJ24" s="68">
        <f t="shared" si="12"/>
        <v>0.13637946040034812</v>
      </c>
      <c r="BK24" s="68">
        <f t="shared" si="8"/>
        <v>6.1597040905134903E-2</v>
      </c>
      <c r="BL24" s="68">
        <f t="shared" si="8"/>
        <v>9.1449086161879897E-2</v>
      </c>
      <c r="BM24" s="68">
        <f t="shared" si="8"/>
        <v>5.6211923411662319E-2</v>
      </c>
      <c r="BN24" s="68">
        <f t="shared" si="8"/>
        <v>8.2049608355091383E-2</v>
      </c>
      <c r="BO24" s="68">
        <f t="shared" si="8"/>
        <v>0.14026327241079198</v>
      </c>
      <c r="BP24" s="70">
        <f t="shared" si="3"/>
        <v>0.16452386132869157</v>
      </c>
      <c r="BQ24" s="198">
        <f t="shared" si="13"/>
        <v>0.168125</v>
      </c>
      <c r="BR24" s="72">
        <f>AJ24*BQ24</f>
        <v>64.391874999999999</v>
      </c>
      <c r="BS24" s="73">
        <f t="shared" si="11"/>
        <v>3.2875870322019135E-2</v>
      </c>
      <c r="BT24" s="74">
        <f t="shared" si="6"/>
        <v>-3.6011386713084292E-3</v>
      </c>
      <c r="BU24" s="15" t="s">
        <v>29</v>
      </c>
      <c r="BV24" s="3"/>
      <c r="BW24" s="2"/>
      <c r="BX24" s="2"/>
      <c r="BZ24" s="102"/>
      <c r="CA24" s="102"/>
    </row>
    <row r="25" spans="2:79" x14ac:dyDescent="0.3">
      <c r="B25" s="775"/>
      <c r="C25" s="326" t="s">
        <v>111</v>
      </c>
      <c r="D25" s="223">
        <v>401.8</v>
      </c>
      <c r="E25" s="63">
        <v>381.6</v>
      </c>
      <c r="F25" s="63">
        <v>619.9</v>
      </c>
      <c r="G25" s="63">
        <v>645.20000000000005</v>
      </c>
      <c r="H25" s="63">
        <v>559.20000000000005</v>
      </c>
      <c r="I25" s="63">
        <v>329.4</v>
      </c>
      <c r="J25" s="63">
        <v>309.2</v>
      </c>
      <c r="K25" s="63">
        <v>416.6</v>
      </c>
      <c r="L25" s="63">
        <v>366.8</v>
      </c>
      <c r="M25" s="63">
        <v>412.7</v>
      </c>
      <c r="N25" s="63">
        <v>478.6</v>
      </c>
      <c r="O25" s="63">
        <v>283.39999999999998</v>
      </c>
      <c r="P25" s="63">
        <v>411.7</v>
      </c>
      <c r="Q25" s="283">
        <v>457.2</v>
      </c>
      <c r="R25" s="63">
        <v>538.4</v>
      </c>
      <c r="S25" s="63">
        <v>590</v>
      </c>
      <c r="T25" s="63">
        <v>594.20000000000005</v>
      </c>
      <c r="U25" s="63">
        <v>532.4</v>
      </c>
      <c r="V25" s="283">
        <v>514.20000000000005</v>
      </c>
      <c r="W25" s="283">
        <v>452.6</v>
      </c>
      <c r="X25" s="63">
        <v>585.79999999999995</v>
      </c>
      <c r="Y25" s="63">
        <v>327.60000000000002</v>
      </c>
      <c r="Z25" s="221">
        <v>260.3</v>
      </c>
      <c r="AA25" s="18">
        <v>199.3</v>
      </c>
      <c r="AB25" s="20">
        <v>406.1</v>
      </c>
      <c r="AC25" s="15">
        <v>183.8</v>
      </c>
      <c r="AD25" s="15">
        <v>203.5</v>
      </c>
      <c r="AE25" s="15">
        <v>135</v>
      </c>
      <c r="AF25" s="15">
        <v>262.3</v>
      </c>
      <c r="AG25" s="15">
        <v>304.60000000000002</v>
      </c>
      <c r="AH25" s="64">
        <v>621</v>
      </c>
      <c r="AI25" s="290">
        <f t="shared" si="7"/>
        <v>12784.399999999998</v>
      </c>
      <c r="AJ25" s="118">
        <v>100</v>
      </c>
      <c r="AK25" s="121">
        <f t="shared" si="9"/>
        <v>1.4349537037037036E-2</v>
      </c>
      <c r="AL25" s="67">
        <f t="shared" si="14"/>
        <v>0.16741666666666666</v>
      </c>
      <c r="AM25" s="68">
        <f t="shared" si="14"/>
        <v>0.159</v>
      </c>
      <c r="AN25" s="68">
        <f t="shared" si="14"/>
        <v>0.25829166666666664</v>
      </c>
      <c r="AO25" s="68">
        <f t="shared" si="14"/>
        <v>0.26883333333333337</v>
      </c>
      <c r="AP25" s="68">
        <f t="shared" si="14"/>
        <v>0.23300000000000001</v>
      </c>
      <c r="AQ25" s="68">
        <f t="shared" si="14"/>
        <v>0.13724999999999998</v>
      </c>
      <c r="AR25" s="68">
        <f t="shared" si="14"/>
        <v>0.12883333333333333</v>
      </c>
      <c r="AS25" s="68">
        <f t="shared" si="14"/>
        <v>0.17358333333333334</v>
      </c>
      <c r="AT25" s="68">
        <f t="shared" si="14"/>
        <v>0.15283333333333335</v>
      </c>
      <c r="AU25" s="68">
        <f t="shared" si="15"/>
        <v>0.17195833333333332</v>
      </c>
      <c r="AV25" s="68">
        <f t="shared" si="15"/>
        <v>0.19941666666666669</v>
      </c>
      <c r="AW25" s="68">
        <f t="shared" si="15"/>
        <v>0.11808333333333332</v>
      </c>
      <c r="AX25" s="68">
        <f t="shared" si="15"/>
        <v>0.17154166666666668</v>
      </c>
      <c r="AY25" s="68">
        <f t="shared" si="15"/>
        <v>0.1905</v>
      </c>
      <c r="AZ25" s="68">
        <f t="shared" si="15"/>
        <v>0.22433333333333333</v>
      </c>
      <c r="BA25" s="68">
        <f t="shared" si="15"/>
        <v>0.24583333333333332</v>
      </c>
      <c r="BB25" s="68">
        <f t="shared" si="12"/>
        <v>0.24758333333333335</v>
      </c>
      <c r="BC25" s="68">
        <f t="shared" si="12"/>
        <v>0.22183333333333333</v>
      </c>
      <c r="BD25" s="68">
        <f t="shared" si="12"/>
        <v>0.21425000000000002</v>
      </c>
      <c r="BE25" s="68">
        <f t="shared" si="12"/>
        <v>0.18858333333333335</v>
      </c>
      <c r="BF25" s="68">
        <f t="shared" si="12"/>
        <v>0.24408333333333332</v>
      </c>
      <c r="BG25" s="68">
        <f t="shared" si="12"/>
        <v>0.13650000000000001</v>
      </c>
      <c r="BH25" s="68">
        <f t="shared" si="12"/>
        <v>0.10845833333333334</v>
      </c>
      <c r="BI25" s="68">
        <f t="shared" si="12"/>
        <v>8.3041666666666666E-2</v>
      </c>
      <c r="BJ25" s="68">
        <f t="shared" si="12"/>
        <v>0.16920833333333335</v>
      </c>
      <c r="BK25" s="68">
        <f t="shared" si="8"/>
        <v>7.6583333333333337E-2</v>
      </c>
      <c r="BL25" s="68">
        <f t="shared" si="8"/>
        <v>8.4791666666666668E-2</v>
      </c>
      <c r="BM25" s="68">
        <f t="shared" si="8"/>
        <v>5.6250000000000001E-2</v>
      </c>
      <c r="BN25" s="68">
        <f t="shared" si="8"/>
        <v>0.10929166666666668</v>
      </c>
      <c r="BO25" s="68">
        <f t="shared" si="8"/>
        <v>0.12691666666666668</v>
      </c>
      <c r="BP25" s="70">
        <f t="shared" si="3"/>
        <v>0.17756111111111109</v>
      </c>
      <c r="BQ25" s="198">
        <f t="shared" si="13"/>
        <v>0.168125</v>
      </c>
      <c r="BR25" s="72">
        <f t="shared" si="10"/>
        <v>16.8125</v>
      </c>
      <c r="BS25" s="73">
        <f t="shared" si="11"/>
        <v>9.0166666666666645E-2</v>
      </c>
      <c r="BT25" s="74">
        <f t="shared" si="6"/>
        <v>9.4361111111110896E-3</v>
      </c>
      <c r="BU25" s="15" t="s">
        <v>30</v>
      </c>
      <c r="BV25" s="3"/>
      <c r="BW25" s="2"/>
      <c r="BX25" s="2"/>
      <c r="BZ25" s="102"/>
      <c r="CA25" s="102"/>
    </row>
    <row r="26" spans="2:79" x14ac:dyDescent="0.3">
      <c r="B26" s="775"/>
      <c r="C26" s="326" t="s">
        <v>32</v>
      </c>
      <c r="D26" s="62">
        <v>415.2</v>
      </c>
      <c r="E26" s="282">
        <v>0</v>
      </c>
      <c r="F26" s="63">
        <v>499.3</v>
      </c>
      <c r="G26" s="63">
        <v>565.70000000000005</v>
      </c>
      <c r="H26" s="63">
        <v>494.2</v>
      </c>
      <c r="I26" s="283">
        <v>342.9</v>
      </c>
      <c r="J26" s="63">
        <v>358</v>
      </c>
      <c r="K26" s="63">
        <v>430.5</v>
      </c>
      <c r="L26" s="63">
        <v>369.8</v>
      </c>
      <c r="M26" s="63">
        <v>319.3</v>
      </c>
      <c r="N26" s="63">
        <v>385.7</v>
      </c>
      <c r="O26" s="63">
        <v>329</v>
      </c>
      <c r="P26" s="63">
        <v>538.5</v>
      </c>
      <c r="Q26" s="283">
        <v>556.1</v>
      </c>
      <c r="R26" s="63">
        <v>549.70000000000005</v>
      </c>
      <c r="S26" s="63">
        <v>480.7</v>
      </c>
      <c r="T26" s="63">
        <v>530.29999999999995</v>
      </c>
      <c r="U26" s="63">
        <v>442</v>
      </c>
      <c r="V26" s="283">
        <v>400.6</v>
      </c>
      <c r="W26" s="283">
        <v>447.1</v>
      </c>
      <c r="X26" s="63">
        <v>447.3</v>
      </c>
      <c r="Y26" s="63">
        <v>151.9</v>
      </c>
      <c r="Z26" s="63">
        <v>209.3</v>
      </c>
      <c r="AA26" s="320">
        <v>181.3</v>
      </c>
      <c r="AB26" s="20">
        <v>336.7</v>
      </c>
      <c r="AC26" s="15">
        <v>169.7</v>
      </c>
      <c r="AD26" s="221">
        <v>184.1</v>
      </c>
      <c r="AE26" s="15">
        <v>142.19999999999999</v>
      </c>
      <c r="AF26" s="283">
        <v>198.7</v>
      </c>
      <c r="AG26" s="221">
        <v>300</v>
      </c>
      <c r="AH26" s="64">
        <v>495.2</v>
      </c>
      <c r="AI26" s="290">
        <f t="shared" si="7"/>
        <v>11271.000000000002</v>
      </c>
      <c r="AJ26" s="118">
        <v>100</v>
      </c>
      <c r="AK26" s="121">
        <f>F26/(AJ26*432)</f>
        <v>1.1557870370370371E-2</v>
      </c>
      <c r="AL26" s="67">
        <f t="shared" si="14"/>
        <v>0.17299999999999999</v>
      </c>
      <c r="AM26" s="68">
        <f t="shared" si="14"/>
        <v>0</v>
      </c>
      <c r="AN26" s="68">
        <f t="shared" si="14"/>
        <v>0.20804166666666668</v>
      </c>
      <c r="AO26" s="68">
        <f t="shared" si="14"/>
        <v>0.23570833333333335</v>
      </c>
      <c r="AP26" s="68">
        <f t="shared" si="14"/>
        <v>0.20591666666666666</v>
      </c>
      <c r="AQ26" s="68">
        <f t="shared" si="14"/>
        <v>0.142875</v>
      </c>
      <c r="AR26" s="68">
        <f t="shared" si="14"/>
        <v>0.14916666666666667</v>
      </c>
      <c r="AS26" s="68">
        <f t="shared" si="14"/>
        <v>0.17937500000000001</v>
      </c>
      <c r="AT26" s="68">
        <f t="shared" si="14"/>
        <v>0.15408333333333335</v>
      </c>
      <c r="AU26" s="68">
        <f t="shared" si="15"/>
        <v>0.13304166666666667</v>
      </c>
      <c r="AV26" s="68">
        <f t="shared" si="15"/>
        <v>0.16070833333333334</v>
      </c>
      <c r="AW26" s="68">
        <f t="shared" si="15"/>
        <v>0.13708333333333333</v>
      </c>
      <c r="AX26" s="68">
        <f t="shared" si="15"/>
        <v>0.22437499999999999</v>
      </c>
      <c r="AY26" s="68">
        <f t="shared" si="15"/>
        <v>0.23170833333333335</v>
      </c>
      <c r="AZ26" s="68">
        <f t="shared" si="15"/>
        <v>0.2290416666666667</v>
      </c>
      <c r="BA26" s="68">
        <f t="shared" si="15"/>
        <v>0.20029166666666667</v>
      </c>
      <c r="BB26" s="68">
        <f t="shared" si="12"/>
        <v>0.22095833333333331</v>
      </c>
      <c r="BC26" s="68">
        <f t="shared" si="12"/>
        <v>0.18416666666666667</v>
      </c>
      <c r="BD26" s="68">
        <f t="shared" si="12"/>
        <v>0.16691666666666669</v>
      </c>
      <c r="BE26" s="68">
        <f t="shared" si="12"/>
        <v>0.18629166666666669</v>
      </c>
      <c r="BF26" s="68">
        <f t="shared" si="12"/>
        <v>0.18637500000000001</v>
      </c>
      <c r="BG26" s="68">
        <f t="shared" si="12"/>
        <v>6.3291666666666663E-2</v>
      </c>
      <c r="BH26" s="68">
        <f t="shared" si="12"/>
        <v>8.7208333333333332E-2</v>
      </c>
      <c r="BI26" s="68">
        <f t="shared" si="12"/>
        <v>7.5541666666666674E-2</v>
      </c>
      <c r="BJ26" s="68">
        <f t="shared" si="12"/>
        <v>0.14029166666666668</v>
      </c>
      <c r="BK26" s="68">
        <f t="shared" si="8"/>
        <v>7.0708333333333331E-2</v>
      </c>
      <c r="BL26" s="68">
        <f t="shared" si="8"/>
        <v>7.6708333333333337E-2</v>
      </c>
      <c r="BM26" s="68">
        <f t="shared" si="8"/>
        <v>5.9249999999999997E-2</v>
      </c>
      <c r="BN26" s="68">
        <f t="shared" si="8"/>
        <v>8.2791666666666666E-2</v>
      </c>
      <c r="BO26" s="68">
        <f t="shared" si="8"/>
        <v>0.125</v>
      </c>
      <c r="BP26" s="70">
        <f t="shared" si="3"/>
        <v>0.15654166666666669</v>
      </c>
      <c r="BQ26" s="198">
        <f t="shared" si="13"/>
        <v>0.168125</v>
      </c>
      <c r="BR26" s="72">
        <f t="shared" si="10"/>
        <v>16.8125</v>
      </c>
      <c r="BS26" s="73">
        <f t="shared" si="11"/>
        <v>3.9916666666666684E-2</v>
      </c>
      <c r="BT26" s="74">
        <f t="shared" si="6"/>
        <v>-1.1583333333333307E-2</v>
      </c>
      <c r="BU26" s="15" t="s">
        <v>111</v>
      </c>
      <c r="BV26" s="3"/>
      <c r="BW26" s="2"/>
      <c r="BX26" s="2"/>
      <c r="BZ26" s="102"/>
      <c r="CA26" s="102"/>
    </row>
    <row r="27" spans="2:79" x14ac:dyDescent="0.3">
      <c r="B27" s="775"/>
      <c r="C27" s="326" t="s">
        <v>288</v>
      </c>
      <c r="D27" s="223">
        <v>305.60000000000002</v>
      </c>
      <c r="E27" s="63">
        <v>531</v>
      </c>
      <c r="F27" s="63">
        <v>495.9</v>
      </c>
      <c r="G27" s="308">
        <v>499.9</v>
      </c>
      <c r="H27" s="63">
        <v>454.7</v>
      </c>
      <c r="I27" s="283">
        <v>276.3</v>
      </c>
      <c r="J27" s="283">
        <v>364.9</v>
      </c>
      <c r="K27" s="283">
        <v>371.3</v>
      </c>
      <c r="L27" s="63">
        <v>307.5</v>
      </c>
      <c r="M27" s="63">
        <v>255.1</v>
      </c>
      <c r="N27" s="63">
        <v>417.3</v>
      </c>
      <c r="O27" s="63">
        <v>308.2</v>
      </c>
      <c r="P27" s="63">
        <v>413.7</v>
      </c>
      <c r="Q27" s="283">
        <v>479.4</v>
      </c>
      <c r="R27" s="63">
        <v>459.2</v>
      </c>
      <c r="S27" s="63">
        <v>428.2</v>
      </c>
      <c r="T27" s="283">
        <v>446.1</v>
      </c>
      <c r="U27" s="283">
        <v>394.8</v>
      </c>
      <c r="V27" s="283">
        <v>395.6</v>
      </c>
      <c r="W27" s="283">
        <v>324.39999999999998</v>
      </c>
      <c r="X27" s="283">
        <v>408.4</v>
      </c>
      <c r="Y27" s="283">
        <v>173</v>
      </c>
      <c r="Z27" s="221">
        <v>151.5</v>
      </c>
      <c r="AA27" s="320">
        <v>133.6</v>
      </c>
      <c r="AB27" s="323">
        <v>259.10000000000002</v>
      </c>
      <c r="AC27" s="283">
        <v>140.4</v>
      </c>
      <c r="AD27" s="221">
        <v>138.69999999999999</v>
      </c>
      <c r="AE27" s="221">
        <v>114.7</v>
      </c>
      <c r="AF27" s="15">
        <v>170.7</v>
      </c>
      <c r="AG27" s="15">
        <v>245.4</v>
      </c>
      <c r="AH27" s="64">
        <v>452</v>
      </c>
      <c r="AI27" s="290">
        <f t="shared" si="7"/>
        <v>10316.600000000002</v>
      </c>
      <c r="AJ27" s="118">
        <v>100</v>
      </c>
      <c r="AK27" s="121">
        <f>F27/(AJ27*432)</f>
        <v>1.1479166666666665E-2</v>
      </c>
      <c r="AL27" s="67">
        <f t="shared" si="14"/>
        <v>0.12733333333333335</v>
      </c>
      <c r="AM27" s="68">
        <f t="shared" si="14"/>
        <v>0.22125</v>
      </c>
      <c r="AN27" s="68">
        <f t="shared" si="14"/>
        <v>0.206625</v>
      </c>
      <c r="AO27" s="68">
        <f t="shared" si="14"/>
        <v>0.20829166666666665</v>
      </c>
      <c r="AP27" s="68">
        <f t="shared" si="14"/>
        <v>0.18945833333333334</v>
      </c>
      <c r="AQ27" s="68">
        <f t="shared" si="14"/>
        <v>0.11512500000000001</v>
      </c>
      <c r="AR27" s="68">
        <f t="shared" si="14"/>
        <v>0.15204166666666666</v>
      </c>
      <c r="AS27" s="68">
        <f t="shared" si="14"/>
        <v>0.15470833333333334</v>
      </c>
      <c r="AT27" s="68">
        <f t="shared" si="14"/>
        <v>0.12812499999999999</v>
      </c>
      <c r="AU27" s="68">
        <f t="shared" si="15"/>
        <v>0.10629166666666666</v>
      </c>
      <c r="AV27" s="68">
        <f t="shared" si="15"/>
        <v>0.173875</v>
      </c>
      <c r="AW27" s="68">
        <f t="shared" si="15"/>
        <v>0.12841666666666665</v>
      </c>
      <c r="AX27" s="68">
        <f t="shared" si="15"/>
        <v>0.172375</v>
      </c>
      <c r="AY27" s="68">
        <f t="shared" si="15"/>
        <v>0.19974999999999998</v>
      </c>
      <c r="AZ27" s="68">
        <f t="shared" si="15"/>
        <v>0.19133333333333333</v>
      </c>
      <c r="BA27" s="68">
        <f t="shared" si="15"/>
        <v>0.17841666666666667</v>
      </c>
      <c r="BB27" s="68">
        <f t="shared" si="12"/>
        <v>0.18587500000000001</v>
      </c>
      <c r="BC27" s="68">
        <f t="shared" si="12"/>
        <v>0.16450000000000001</v>
      </c>
      <c r="BD27" s="68">
        <f t="shared" si="12"/>
        <v>0.16483333333333333</v>
      </c>
      <c r="BE27" s="68">
        <f t="shared" si="12"/>
        <v>0.13516666666666666</v>
      </c>
      <c r="BF27" s="68">
        <f t="shared" si="12"/>
        <v>0.17016666666666666</v>
      </c>
      <c r="BG27" s="68">
        <f t="shared" si="12"/>
        <v>7.2083333333333333E-2</v>
      </c>
      <c r="BH27" s="68">
        <f t="shared" si="12"/>
        <v>6.3125000000000001E-2</v>
      </c>
      <c r="BI27" s="68">
        <f t="shared" si="12"/>
        <v>5.5666666666666663E-2</v>
      </c>
      <c r="BJ27" s="68">
        <f t="shared" si="12"/>
        <v>0.10795833333333334</v>
      </c>
      <c r="BK27" s="68">
        <f>IF(OR(AC27="",AC27="Sem monitoramento"),"VAZIO",IFERROR(AC27/($AJ27*24),"-"))</f>
        <v>5.8500000000000003E-2</v>
      </c>
      <c r="BL27" s="68">
        <f t="shared" si="8"/>
        <v>5.7791666666666665E-2</v>
      </c>
      <c r="BM27" s="68">
        <f t="shared" si="8"/>
        <v>4.779166666666667E-2</v>
      </c>
      <c r="BN27" s="68">
        <f t="shared" si="8"/>
        <v>7.1124999999999994E-2</v>
      </c>
      <c r="BO27" s="68">
        <f t="shared" si="8"/>
        <v>0.10225000000000001</v>
      </c>
      <c r="BP27" s="70">
        <f t="shared" si="3"/>
        <v>0.14328611111111114</v>
      </c>
      <c r="BQ27" s="198">
        <f t="shared" si="13"/>
        <v>0.168125</v>
      </c>
      <c r="BR27" s="72">
        <f t="shared" si="10"/>
        <v>16.8125</v>
      </c>
      <c r="BS27" s="73">
        <f t="shared" si="11"/>
        <v>3.8500000000000006E-2</v>
      </c>
      <c r="BT27" s="74">
        <f t="shared" si="6"/>
        <v>-2.4838888888888855E-2</v>
      </c>
      <c r="BU27" s="15" t="s">
        <v>32</v>
      </c>
      <c r="BV27" s="3"/>
      <c r="BW27" s="2"/>
      <c r="BX27" s="2"/>
      <c r="BZ27" s="102"/>
      <c r="CA27" s="102"/>
    </row>
    <row r="28" spans="2:79" x14ac:dyDescent="0.3">
      <c r="B28" s="775"/>
      <c r="C28" s="326" t="s">
        <v>112</v>
      </c>
      <c r="D28" s="223">
        <v>321.60000000000002</v>
      </c>
      <c r="E28" s="63">
        <v>500.8</v>
      </c>
      <c r="F28" s="63">
        <v>489.8</v>
      </c>
      <c r="G28" s="308">
        <v>520.4</v>
      </c>
      <c r="H28" s="63">
        <v>471.7</v>
      </c>
      <c r="I28" s="283">
        <v>268.89999999999998</v>
      </c>
      <c r="J28" s="283">
        <v>336.1</v>
      </c>
      <c r="K28" s="283">
        <v>345.7</v>
      </c>
      <c r="L28" s="63">
        <v>306.10000000000002</v>
      </c>
      <c r="M28" s="319">
        <v>269.5</v>
      </c>
      <c r="N28" s="63">
        <v>464.5</v>
      </c>
      <c r="O28" s="63">
        <v>300.8</v>
      </c>
      <c r="P28" s="63">
        <v>376</v>
      </c>
      <c r="Q28" s="283">
        <v>472.4</v>
      </c>
      <c r="R28" s="63">
        <v>482</v>
      </c>
      <c r="S28" s="63">
        <v>451.6</v>
      </c>
      <c r="T28" s="283">
        <v>466.5</v>
      </c>
      <c r="U28" s="283">
        <v>402.1</v>
      </c>
      <c r="V28" s="283">
        <v>407</v>
      </c>
      <c r="W28" s="283">
        <v>341.7</v>
      </c>
      <c r="X28" s="283">
        <v>442.7</v>
      </c>
      <c r="Y28" s="283">
        <v>170.2</v>
      </c>
      <c r="Z28" s="221">
        <v>148.30000000000001</v>
      </c>
      <c r="AA28" s="320">
        <v>130.30000000000001</v>
      </c>
      <c r="AB28" s="323">
        <v>253.5</v>
      </c>
      <c r="AC28" s="283">
        <v>139.80000000000001</v>
      </c>
      <c r="AD28" s="221">
        <v>91.7</v>
      </c>
      <c r="AE28" s="221">
        <v>114.3</v>
      </c>
      <c r="AF28" s="15">
        <v>170.1</v>
      </c>
      <c r="AG28" s="15">
        <v>234.3</v>
      </c>
      <c r="AH28" s="64">
        <v>410.4</v>
      </c>
      <c r="AI28" s="290">
        <f t="shared" si="7"/>
        <v>10300.799999999997</v>
      </c>
      <c r="AJ28" s="301">
        <v>100</v>
      </c>
      <c r="AK28" s="121">
        <f>F28/(AJ28*432)</f>
        <v>1.1337962962962963E-2</v>
      </c>
      <c r="AL28" s="302">
        <f t="shared" si="14"/>
        <v>0.13400000000000001</v>
      </c>
      <c r="AM28" s="303">
        <f t="shared" si="14"/>
        <v>0.20866666666666667</v>
      </c>
      <c r="AN28" s="303">
        <f t="shared" si="14"/>
        <v>0.20408333333333334</v>
      </c>
      <c r="AO28" s="303">
        <f t="shared" si="14"/>
        <v>0.21683333333333332</v>
      </c>
      <c r="AP28" s="303">
        <f t="shared" si="14"/>
        <v>0.19654166666666667</v>
      </c>
      <c r="AQ28" s="303">
        <f t="shared" si="14"/>
        <v>0.11204166666666665</v>
      </c>
      <c r="AR28" s="303">
        <f t="shared" si="14"/>
        <v>0.14004166666666668</v>
      </c>
      <c r="AS28" s="303">
        <f t="shared" si="14"/>
        <v>0.14404166666666665</v>
      </c>
      <c r="AT28" s="303">
        <f t="shared" si="14"/>
        <v>0.12754166666666666</v>
      </c>
      <c r="AU28" s="303">
        <f t="shared" si="15"/>
        <v>0.11229166666666666</v>
      </c>
      <c r="AV28" s="303">
        <f t="shared" si="15"/>
        <v>0.19354166666666667</v>
      </c>
      <c r="AW28" s="303">
        <f t="shared" si="15"/>
        <v>0.12533333333333332</v>
      </c>
      <c r="AX28" s="303">
        <f t="shared" si="15"/>
        <v>0.15666666666666668</v>
      </c>
      <c r="AY28" s="303">
        <f t="shared" si="15"/>
        <v>0.19683333333333333</v>
      </c>
      <c r="AZ28" s="303">
        <f t="shared" si="15"/>
        <v>0.20083333333333334</v>
      </c>
      <c r="BA28" s="303">
        <f t="shared" si="15"/>
        <v>0.18816666666666668</v>
      </c>
      <c r="BB28" s="303">
        <f t="shared" si="12"/>
        <v>0.19437499999999999</v>
      </c>
      <c r="BC28" s="303">
        <f t="shared" si="12"/>
        <v>0.16754166666666667</v>
      </c>
      <c r="BD28" s="303">
        <f t="shared" si="12"/>
        <v>0.16958333333333334</v>
      </c>
      <c r="BE28" s="303">
        <f t="shared" si="12"/>
        <v>0.142375</v>
      </c>
      <c r="BF28" s="303">
        <f t="shared" si="12"/>
        <v>0.18445833333333334</v>
      </c>
      <c r="BG28" s="303">
        <f t="shared" si="12"/>
        <v>7.0916666666666656E-2</v>
      </c>
      <c r="BH28" s="303">
        <f t="shared" si="12"/>
        <v>6.1791666666666668E-2</v>
      </c>
      <c r="BI28" s="303">
        <f t="shared" si="12"/>
        <v>5.4291666666666669E-2</v>
      </c>
      <c r="BJ28" s="303">
        <f t="shared" si="12"/>
        <v>0.105625</v>
      </c>
      <c r="BK28" s="303">
        <f>IF(OR(AC28="",AC28="Sem monitoramento"),"VAZIO",IFERROR(AC28/($AJ28*24),"-"))</f>
        <v>5.8250000000000003E-2</v>
      </c>
      <c r="BL28" s="303">
        <f t="shared" si="8"/>
        <v>3.8208333333333337E-2</v>
      </c>
      <c r="BM28" s="303">
        <f t="shared" si="8"/>
        <v>4.7625000000000001E-2</v>
      </c>
      <c r="BN28" s="303">
        <f t="shared" si="8"/>
        <v>7.0874999999999994E-2</v>
      </c>
      <c r="BO28" s="303">
        <f t="shared" si="8"/>
        <v>9.7625000000000003E-2</v>
      </c>
      <c r="BP28" s="304">
        <f t="shared" si="3"/>
        <v>0.14306666666666662</v>
      </c>
      <c r="BQ28" s="198">
        <f t="shared" si="13"/>
        <v>0.168125</v>
      </c>
      <c r="BR28" s="72">
        <f t="shared" si="10"/>
        <v>16.8125</v>
      </c>
      <c r="BS28" s="73">
        <f t="shared" si="11"/>
        <v>3.5958333333333342E-2</v>
      </c>
      <c r="BT28" s="74">
        <f>BP28-BQ28</f>
        <v>-2.5058333333333377E-2</v>
      </c>
      <c r="BU28" s="15" t="s">
        <v>440</v>
      </c>
      <c r="BV28" s="3"/>
      <c r="BW28" s="2"/>
      <c r="BX28" s="2"/>
      <c r="BZ28" s="102"/>
      <c r="CA28" s="102"/>
    </row>
    <row r="29" spans="2:79" ht="15" thickBot="1" x14ac:dyDescent="0.35">
      <c r="B29" s="775"/>
      <c r="C29" s="326" t="s">
        <v>289</v>
      </c>
      <c r="D29" s="223">
        <v>317.60000000000002</v>
      </c>
      <c r="E29" s="63">
        <v>478.5</v>
      </c>
      <c r="F29" s="63">
        <v>476.4</v>
      </c>
      <c r="G29" s="308">
        <v>494.6</v>
      </c>
      <c r="H29" s="63">
        <v>451.3</v>
      </c>
      <c r="I29" s="82">
        <v>263.5</v>
      </c>
      <c r="J29" s="308">
        <v>323.7</v>
      </c>
      <c r="K29" s="283">
        <v>323.2</v>
      </c>
      <c r="L29" s="63">
        <v>289.60000000000002</v>
      </c>
      <c r="M29" s="63">
        <v>248.1</v>
      </c>
      <c r="N29" s="63">
        <v>415.4</v>
      </c>
      <c r="O29" s="63">
        <v>282</v>
      </c>
      <c r="P29" s="63">
        <v>348.4</v>
      </c>
      <c r="Q29" s="283">
        <v>436.5</v>
      </c>
      <c r="R29" s="63">
        <v>439.6</v>
      </c>
      <c r="S29" s="63">
        <v>415.8</v>
      </c>
      <c r="T29" s="283">
        <v>370</v>
      </c>
      <c r="U29" s="283">
        <v>252.3</v>
      </c>
      <c r="V29" s="282">
        <v>253.7</v>
      </c>
      <c r="W29" s="282">
        <v>224.3</v>
      </c>
      <c r="X29" s="282">
        <v>301.39999999999998</v>
      </c>
      <c r="Y29" s="282">
        <v>141.19999999999999</v>
      </c>
      <c r="Z29" s="221">
        <v>129.1</v>
      </c>
      <c r="AA29" s="320">
        <v>108.8</v>
      </c>
      <c r="AB29" s="323">
        <v>195.7</v>
      </c>
      <c r="AC29" s="283">
        <v>122.8</v>
      </c>
      <c r="AD29" s="221">
        <v>117.4</v>
      </c>
      <c r="AE29" s="221">
        <v>99.7</v>
      </c>
      <c r="AF29" s="15">
        <v>142.9</v>
      </c>
      <c r="AG29" s="15">
        <v>148</v>
      </c>
      <c r="AH29" s="390">
        <v>210.8</v>
      </c>
      <c r="AI29" s="290">
        <f t="shared" si="7"/>
        <v>8822.2999999999993</v>
      </c>
      <c r="AJ29" s="119">
        <v>100</v>
      </c>
      <c r="AK29" s="121">
        <f>F29/(AJ29*432)</f>
        <v>1.1027777777777777E-2</v>
      </c>
      <c r="AL29" s="98">
        <f t="shared" si="14"/>
        <v>0.13233333333333333</v>
      </c>
      <c r="AM29" s="99">
        <f t="shared" si="14"/>
        <v>0.199375</v>
      </c>
      <c r="AN29" s="99">
        <f t="shared" si="14"/>
        <v>0.19849999999999998</v>
      </c>
      <c r="AO29" s="99">
        <f t="shared" si="14"/>
        <v>0.20608333333333334</v>
      </c>
      <c r="AP29" s="99">
        <f t="shared" si="14"/>
        <v>0.18804166666666666</v>
      </c>
      <c r="AQ29" s="99">
        <f t="shared" si="14"/>
        <v>0.10979166666666666</v>
      </c>
      <c r="AR29" s="99">
        <f t="shared" si="14"/>
        <v>0.13487499999999999</v>
      </c>
      <c r="AS29" s="99">
        <f t="shared" si="14"/>
        <v>0.13466666666666666</v>
      </c>
      <c r="AT29" s="99">
        <f t="shared" si="14"/>
        <v>0.12066666666666667</v>
      </c>
      <c r="AU29" s="99">
        <f t="shared" si="15"/>
        <v>0.10337499999999999</v>
      </c>
      <c r="AV29" s="99">
        <f t="shared" si="15"/>
        <v>0.17308333333333331</v>
      </c>
      <c r="AW29" s="99">
        <f t="shared" si="15"/>
        <v>0.11749999999999999</v>
      </c>
      <c r="AX29" s="99">
        <f t="shared" si="15"/>
        <v>0.14516666666666667</v>
      </c>
      <c r="AY29" s="99">
        <f t="shared" si="15"/>
        <v>0.18187500000000001</v>
      </c>
      <c r="AZ29" s="99">
        <f t="shared" si="15"/>
        <v>0.18316666666666667</v>
      </c>
      <c r="BA29" s="99">
        <f t="shared" si="15"/>
        <v>0.17325000000000002</v>
      </c>
      <c r="BB29" s="99">
        <f t="shared" si="12"/>
        <v>0.15416666666666667</v>
      </c>
      <c r="BC29" s="99">
        <f t="shared" si="12"/>
        <v>0.10512500000000001</v>
      </c>
      <c r="BD29" s="99">
        <f t="shared" si="12"/>
        <v>0.10570833333333333</v>
      </c>
      <c r="BE29" s="99">
        <f t="shared" si="12"/>
        <v>9.3458333333333338E-2</v>
      </c>
      <c r="BF29" s="99">
        <f t="shared" si="12"/>
        <v>0.12558333333333332</v>
      </c>
      <c r="BG29" s="99">
        <f t="shared" si="12"/>
        <v>5.8833333333333328E-2</v>
      </c>
      <c r="BH29" s="99">
        <f t="shared" si="12"/>
        <v>5.3791666666666661E-2</v>
      </c>
      <c r="BI29" s="99">
        <f t="shared" si="12"/>
        <v>4.533333333333333E-2</v>
      </c>
      <c r="BJ29" s="99">
        <f t="shared" si="12"/>
        <v>8.1541666666666665E-2</v>
      </c>
      <c r="BK29" s="99">
        <f t="shared" si="8"/>
        <v>5.1166666666666666E-2</v>
      </c>
      <c r="BL29" s="99">
        <f t="shared" si="8"/>
        <v>4.8916666666666671E-2</v>
      </c>
      <c r="BM29" s="99">
        <f t="shared" si="8"/>
        <v>4.1541666666666671E-2</v>
      </c>
      <c r="BN29" s="99">
        <f t="shared" si="8"/>
        <v>5.9541666666666666E-2</v>
      </c>
      <c r="BO29" s="99">
        <f t="shared" si="8"/>
        <v>6.1666666666666668E-2</v>
      </c>
      <c r="BP29" s="101">
        <f t="shared" si="3"/>
        <v>0.12253194444444443</v>
      </c>
      <c r="BQ29" s="198">
        <f t="shared" si="13"/>
        <v>0.168125</v>
      </c>
      <c r="BR29" s="72">
        <f t="shared" si="10"/>
        <v>16.8125</v>
      </c>
      <c r="BS29" s="73">
        <f t="shared" si="11"/>
        <v>3.0374999999999985E-2</v>
      </c>
      <c r="BT29" s="74">
        <f t="shared" si="6"/>
        <v>-4.5593055555555567E-2</v>
      </c>
      <c r="BU29" s="15" t="s">
        <v>112</v>
      </c>
      <c r="BV29" s="3"/>
      <c r="BW29" s="2"/>
      <c r="BX29" s="2"/>
      <c r="BZ29" s="102"/>
      <c r="CA29" s="102"/>
    </row>
    <row r="30" spans="2:79" ht="15" thickBot="1" x14ac:dyDescent="0.35">
      <c r="B30" s="773" t="s">
        <v>290</v>
      </c>
      <c r="C30" s="326" t="s">
        <v>291</v>
      </c>
      <c r="D30" s="223">
        <v>368.9</v>
      </c>
      <c r="E30" s="223">
        <v>291.3</v>
      </c>
      <c r="F30" s="63">
        <v>431.1</v>
      </c>
      <c r="G30" s="63">
        <v>498.2</v>
      </c>
      <c r="H30" s="63">
        <v>494.9</v>
      </c>
      <c r="I30" s="470">
        <v>353.8</v>
      </c>
      <c r="J30" s="308">
        <v>363.4</v>
      </c>
      <c r="K30" s="283">
        <v>359.1</v>
      </c>
      <c r="L30" s="283">
        <v>367.9</v>
      </c>
      <c r="M30" s="283">
        <v>292.7</v>
      </c>
      <c r="N30" s="283">
        <v>415.5</v>
      </c>
      <c r="O30" s="283">
        <v>415.9</v>
      </c>
      <c r="P30" s="283">
        <v>405.1</v>
      </c>
      <c r="Q30" s="283">
        <v>493.9</v>
      </c>
      <c r="R30" s="283">
        <v>443.2</v>
      </c>
      <c r="S30" s="283">
        <v>487.4</v>
      </c>
      <c r="T30" s="283">
        <v>498.5</v>
      </c>
      <c r="U30" s="283">
        <v>475.8</v>
      </c>
      <c r="V30" s="283">
        <v>394.9</v>
      </c>
      <c r="W30" s="283">
        <v>409.5</v>
      </c>
      <c r="X30" s="63">
        <v>378</v>
      </c>
      <c r="Y30" s="320">
        <v>320.39999999999998</v>
      </c>
      <c r="Z30" s="320">
        <v>225.2</v>
      </c>
      <c r="AA30" s="320">
        <v>147.19999999999999</v>
      </c>
      <c r="AB30" s="323">
        <v>300.10000000000002</v>
      </c>
      <c r="AC30" s="15">
        <v>151.30000000000001</v>
      </c>
      <c r="AD30" s="221">
        <v>215.6</v>
      </c>
      <c r="AE30" s="15">
        <v>133.5</v>
      </c>
      <c r="AF30" s="15">
        <v>205.9</v>
      </c>
      <c r="AG30" s="15">
        <v>358.3</v>
      </c>
      <c r="AH30" s="64">
        <v>497.7</v>
      </c>
      <c r="AI30" s="290">
        <f t="shared" si="7"/>
        <v>11194.2</v>
      </c>
      <c r="AJ30" s="2">
        <v>100</v>
      </c>
      <c r="AK30" s="285">
        <f>F30/(AJ30*432)</f>
        <v>9.9791666666666674E-3</v>
      </c>
      <c r="AL30" s="98">
        <f t="shared" si="14"/>
        <v>0.15370833333333334</v>
      </c>
      <c r="AM30" s="99">
        <f t="shared" si="14"/>
        <v>0.12137500000000001</v>
      </c>
      <c r="AN30" s="99">
        <f t="shared" si="14"/>
        <v>0.17962500000000001</v>
      </c>
      <c r="AO30" s="99">
        <f t="shared" si="14"/>
        <v>0.20758333333333334</v>
      </c>
      <c r="AP30" s="99">
        <f t="shared" si="14"/>
        <v>0.20620833333333333</v>
      </c>
      <c r="AQ30" s="99">
        <f t="shared" si="14"/>
        <v>0.14741666666666667</v>
      </c>
      <c r="AR30" s="99">
        <f t="shared" si="14"/>
        <v>0.15141666666666664</v>
      </c>
      <c r="AS30" s="99">
        <f t="shared" si="14"/>
        <v>0.14962500000000001</v>
      </c>
      <c r="AT30" s="99">
        <f t="shared" si="14"/>
        <v>0.15329166666666666</v>
      </c>
      <c r="AU30" s="99">
        <f t="shared" si="15"/>
        <v>0.12195833333333334</v>
      </c>
      <c r="AV30" s="99">
        <f t="shared" si="15"/>
        <v>0.173125</v>
      </c>
      <c r="AW30" s="99">
        <f t="shared" si="15"/>
        <v>0.17329166666666665</v>
      </c>
      <c r="AX30" s="99">
        <f t="shared" si="15"/>
        <v>0.16879166666666667</v>
      </c>
      <c r="AY30" s="99">
        <f t="shared" si="15"/>
        <v>0.20579166666666665</v>
      </c>
      <c r="AZ30" s="99">
        <f t="shared" si="15"/>
        <v>0.18466666666666667</v>
      </c>
      <c r="BA30" s="99">
        <f t="shared" si="15"/>
        <v>0.20308333333333331</v>
      </c>
      <c r="BB30" s="99">
        <f t="shared" si="12"/>
        <v>0.20770833333333333</v>
      </c>
      <c r="BC30" s="99">
        <f t="shared" si="12"/>
        <v>0.19825000000000001</v>
      </c>
      <c r="BD30" s="99">
        <f t="shared" si="12"/>
        <v>0.16454166666666667</v>
      </c>
      <c r="BE30" s="99">
        <f t="shared" si="12"/>
        <v>0.170625</v>
      </c>
      <c r="BF30" s="99">
        <f t="shared" si="12"/>
        <v>0.1575</v>
      </c>
      <c r="BG30" s="99">
        <f t="shared" si="12"/>
        <v>0.13349999999999998</v>
      </c>
      <c r="BH30" s="99">
        <f t="shared" si="12"/>
        <v>9.3833333333333324E-2</v>
      </c>
      <c r="BI30" s="99">
        <f t="shared" si="12"/>
        <v>6.133333333333333E-2</v>
      </c>
      <c r="BJ30" s="99">
        <f t="shared" si="12"/>
        <v>0.12504166666666669</v>
      </c>
      <c r="BK30" s="99">
        <f t="shared" si="8"/>
        <v>6.3041666666666676E-2</v>
      </c>
      <c r="BL30" s="99">
        <f t="shared" si="8"/>
        <v>8.9833333333333334E-2</v>
      </c>
      <c r="BM30" s="99">
        <f t="shared" si="8"/>
        <v>5.5625000000000001E-2</v>
      </c>
      <c r="BN30" s="286">
        <f t="shared" si="8"/>
        <v>8.5791666666666669E-2</v>
      </c>
      <c r="BO30" s="286">
        <f t="shared" si="8"/>
        <v>0.14929166666666668</v>
      </c>
      <c r="BP30" s="286">
        <f t="shared" si="3"/>
        <v>0.155475</v>
      </c>
      <c r="BQ30" s="198">
        <f t="shared" si="13"/>
        <v>0.168125</v>
      </c>
      <c r="BR30" s="72">
        <f t="shared" si="10"/>
        <v>16.8125</v>
      </c>
      <c r="BS30" s="73">
        <f t="shared" si="11"/>
        <v>1.150000000000001E-2</v>
      </c>
      <c r="BT30" s="74">
        <f t="shared" si="6"/>
        <v>-1.2649999999999995E-2</v>
      </c>
      <c r="BU30" s="2"/>
      <c r="BV30" s="3"/>
      <c r="BW30" s="2"/>
      <c r="BX30" s="2"/>
      <c r="BZ30" s="102"/>
      <c r="CA30" s="102"/>
    </row>
    <row r="31" spans="2:79" ht="15" thickBot="1" x14ac:dyDescent="0.35">
      <c r="B31" s="777"/>
      <c r="C31" s="329"/>
      <c r="D31" s="224"/>
      <c r="E31" s="93"/>
      <c r="F31" s="93"/>
      <c r="G31" s="115"/>
      <c r="H31" s="284"/>
      <c r="I31" s="115"/>
      <c r="J31" s="115"/>
      <c r="K31" s="93"/>
      <c r="L31" s="93"/>
      <c r="M31" s="93"/>
      <c r="N31" s="93"/>
      <c r="O31" s="93"/>
      <c r="P31" s="93"/>
      <c r="Q31" s="318"/>
      <c r="R31" s="93"/>
      <c r="S31" s="93"/>
      <c r="T31" s="93"/>
      <c r="U31" s="22"/>
      <c r="V31" s="22"/>
      <c r="W31" s="292"/>
      <c r="X31" s="22"/>
      <c r="Y31" s="93"/>
      <c r="Z31" s="22"/>
      <c r="AA31" s="322"/>
      <c r="AB31" s="21"/>
      <c r="AC31" s="22"/>
      <c r="AD31" s="277"/>
      <c r="AE31" s="22"/>
      <c r="AF31" s="22"/>
      <c r="AG31" s="22"/>
      <c r="AH31" s="96"/>
      <c r="AI31" s="290">
        <f t="shared" si="7"/>
        <v>0</v>
      </c>
      <c r="AJ31" s="2"/>
      <c r="AK31" s="285"/>
      <c r="AL31" s="286" t="str">
        <f t="shared" si="14"/>
        <v>VAZIO</v>
      </c>
      <c r="AM31" s="286" t="str">
        <f t="shared" si="14"/>
        <v>VAZIO</v>
      </c>
      <c r="AN31" s="286" t="str">
        <f t="shared" si="14"/>
        <v>VAZIO</v>
      </c>
      <c r="AO31" s="286" t="str">
        <f t="shared" si="14"/>
        <v>VAZIO</v>
      </c>
      <c r="AP31" s="286" t="str">
        <f t="shared" si="14"/>
        <v>VAZIO</v>
      </c>
      <c r="AQ31" s="286" t="str">
        <f t="shared" si="14"/>
        <v>VAZIO</v>
      </c>
      <c r="AR31" s="286" t="str">
        <f t="shared" si="14"/>
        <v>VAZIO</v>
      </c>
      <c r="AS31" s="286" t="str">
        <f t="shared" si="14"/>
        <v>VAZIO</v>
      </c>
      <c r="AT31" s="286" t="str">
        <f t="shared" si="14"/>
        <v>VAZIO</v>
      </c>
      <c r="AU31" s="286" t="str">
        <f t="shared" si="15"/>
        <v>VAZIO</v>
      </c>
      <c r="AV31" s="286" t="str">
        <f t="shared" si="15"/>
        <v>VAZIO</v>
      </c>
      <c r="AW31" s="286" t="str">
        <f t="shared" si="15"/>
        <v>VAZIO</v>
      </c>
      <c r="AX31" s="286" t="str">
        <f t="shared" si="15"/>
        <v>VAZIO</v>
      </c>
      <c r="AY31" s="286" t="str">
        <f t="shared" si="15"/>
        <v>VAZIO</v>
      </c>
      <c r="AZ31" s="286" t="str">
        <f t="shared" si="15"/>
        <v>VAZIO</v>
      </c>
      <c r="BA31" s="286" t="str">
        <f t="shared" si="15"/>
        <v>VAZIO</v>
      </c>
      <c r="BB31" s="286" t="str">
        <f t="shared" si="12"/>
        <v>VAZIO</v>
      </c>
      <c r="BC31" s="286" t="str">
        <f t="shared" si="12"/>
        <v>VAZIO</v>
      </c>
      <c r="BD31" s="286" t="str">
        <f t="shared" si="12"/>
        <v>VAZIO</v>
      </c>
      <c r="BE31" s="286" t="str">
        <f t="shared" si="12"/>
        <v>VAZIO</v>
      </c>
      <c r="BF31" s="286" t="str">
        <f t="shared" si="12"/>
        <v>VAZIO</v>
      </c>
      <c r="BG31" s="286" t="str">
        <f t="shared" si="12"/>
        <v>VAZIO</v>
      </c>
      <c r="BH31" s="286" t="str">
        <f t="shared" si="12"/>
        <v>VAZIO</v>
      </c>
      <c r="BI31" s="286" t="str">
        <f t="shared" si="12"/>
        <v>VAZIO</v>
      </c>
      <c r="BJ31" s="286" t="str">
        <f t="shared" si="12"/>
        <v>VAZIO</v>
      </c>
      <c r="BK31" s="286" t="str">
        <f t="shared" si="8"/>
        <v>VAZIO</v>
      </c>
      <c r="BL31" s="286" t="str">
        <f t="shared" si="8"/>
        <v>VAZIO</v>
      </c>
      <c r="BM31" s="286" t="str">
        <f t="shared" si="8"/>
        <v>VAZIO</v>
      </c>
      <c r="BN31" s="286" t="str">
        <f t="shared" si="8"/>
        <v>VAZIO</v>
      </c>
      <c r="BO31" s="286" t="str">
        <f t="shared" si="8"/>
        <v>VAZIO</v>
      </c>
      <c r="BP31" s="286" t="e">
        <f t="shared" si="3"/>
        <v>#DIV/0!</v>
      </c>
      <c r="BQ31" s="198"/>
      <c r="BR31" s="287"/>
      <c r="BS31" s="288"/>
      <c r="BT31" s="289"/>
      <c r="BU31" s="2"/>
      <c r="BV31" s="3"/>
      <c r="BW31" s="2"/>
      <c r="BX31" s="2"/>
      <c r="BZ31" s="102"/>
    </row>
    <row r="32" spans="2:79" ht="18" x14ac:dyDescent="0.3">
      <c r="B32" s="776" t="s">
        <v>113</v>
      </c>
      <c r="C32" s="776"/>
      <c r="D32" s="103">
        <f>SUM(D5:D31)</f>
        <v>8331.5000000000018</v>
      </c>
      <c r="E32" s="103">
        <f>SUM(E5:E30)</f>
        <v>8010.1</v>
      </c>
      <c r="F32" s="103">
        <f>SUM(F5:F30)</f>
        <v>10436.099999999999</v>
      </c>
      <c r="G32" s="103">
        <f t="shared" ref="G32:AH32" si="16">SUM(G5:G30)</f>
        <v>11978.7</v>
      </c>
      <c r="H32" s="103">
        <f t="shared" si="16"/>
        <v>10210.299999999999</v>
      </c>
      <c r="I32" s="103">
        <f t="shared" si="16"/>
        <v>7903.5999999999995</v>
      </c>
      <c r="J32" s="103">
        <f t="shared" si="16"/>
        <v>8152.2999999999993</v>
      </c>
      <c r="K32" s="103">
        <f t="shared" si="16"/>
        <v>9613.7000000000025</v>
      </c>
      <c r="L32" s="103">
        <f t="shared" si="16"/>
        <v>8265.9000000000015</v>
      </c>
      <c r="M32" s="103">
        <f t="shared" si="16"/>
        <v>7538.3</v>
      </c>
      <c r="N32" s="103">
        <f t="shared" si="16"/>
        <v>11145.900000000001</v>
      </c>
      <c r="O32" s="103">
        <f t="shared" si="16"/>
        <v>9525.4</v>
      </c>
      <c r="P32" s="103">
        <f t="shared" si="16"/>
        <v>10263.27</v>
      </c>
      <c r="Q32" s="103">
        <f t="shared" si="16"/>
        <v>11011.599999999999</v>
      </c>
      <c r="R32" s="103">
        <f t="shared" si="16"/>
        <v>10465.400000000001</v>
      </c>
      <c r="S32" s="103">
        <f t="shared" si="16"/>
        <v>11201.200000000003</v>
      </c>
      <c r="T32" s="103">
        <f t="shared" si="16"/>
        <v>12085.63</v>
      </c>
      <c r="U32" s="103">
        <f t="shared" si="16"/>
        <v>11186.8</v>
      </c>
      <c r="V32" s="103">
        <f t="shared" si="16"/>
        <v>9337.9</v>
      </c>
      <c r="W32" s="103">
        <f t="shared" si="16"/>
        <v>9331.4000000000015</v>
      </c>
      <c r="X32" s="103">
        <f t="shared" si="16"/>
        <v>9594.9000000000015</v>
      </c>
      <c r="Y32" s="103">
        <f t="shared" si="16"/>
        <v>6408.1999999999989</v>
      </c>
      <c r="Z32" s="103">
        <f t="shared" si="16"/>
        <v>5246.3000000000011</v>
      </c>
      <c r="AA32" s="103">
        <f t="shared" si="16"/>
        <v>5246.9000000000005</v>
      </c>
      <c r="AB32" s="103">
        <f t="shared" si="16"/>
        <v>7086.2000000000007</v>
      </c>
      <c r="AC32" s="103">
        <f>SUM(AC5:AC30)</f>
        <v>3516.2000000000003</v>
      </c>
      <c r="AD32" s="103">
        <f t="shared" si="16"/>
        <v>4788.5999999999995</v>
      </c>
      <c r="AE32" s="103">
        <f t="shared" si="16"/>
        <v>3264.7999999999997</v>
      </c>
      <c r="AF32" s="103">
        <f t="shared" si="16"/>
        <v>4750</v>
      </c>
      <c r="AG32" s="103">
        <f t="shared" si="16"/>
        <v>7145.1000000000013</v>
      </c>
      <c r="AH32" s="103">
        <f t="shared" si="16"/>
        <v>12014.630000000001</v>
      </c>
      <c r="AI32" s="189">
        <f>SUM(AI5:AI31)</f>
        <v>265056.82999999996</v>
      </c>
      <c r="AJ32" s="104">
        <f>SUM(AJ5:AJ31)</f>
        <v>2329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265,057 MWh</v>
      </c>
      <c r="AJ33" s="2"/>
      <c r="AW33">
        <v>1000</v>
      </c>
      <c r="AX33">
        <v>1000</v>
      </c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8835,228 kWh</v>
      </c>
      <c r="AJ34" s="2"/>
      <c r="AK34" s="2"/>
      <c r="AL34" s="2"/>
      <c r="AM34" s="2"/>
      <c r="AV34">
        <v>900</v>
      </c>
      <c r="AW34">
        <v>100</v>
      </c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265056,84 kWh</v>
      </c>
      <c r="AJ35" s="2"/>
      <c r="AK35" s="2"/>
      <c r="AL35" s="2"/>
      <c r="AM35" s="2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265,057 MWh</v>
      </c>
    </row>
    <row r="37" spans="2:76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</row>
    <row r="38" spans="2:76" x14ac:dyDescent="0.3">
      <c r="AC38">
        <v>60.6</v>
      </c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6" x14ac:dyDescent="0.3">
      <c r="N40">
        <v>91151.5</v>
      </c>
      <c r="O40">
        <f>N41-N40</f>
        <v>734</v>
      </c>
      <c r="X40" s="102"/>
      <c r="AF40">
        <f>AF39-20.4</f>
        <v>53905.2</v>
      </c>
    </row>
    <row r="41" spans="2:76" x14ac:dyDescent="0.3">
      <c r="N41">
        <v>91885.5</v>
      </c>
      <c r="X41" s="102"/>
      <c r="AF41">
        <f>AF40-AD39</f>
        <v>263.19999999999709</v>
      </c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</row>
    <row r="44" spans="2:76" x14ac:dyDescent="0.3">
      <c r="B44" s="751" t="s">
        <v>6</v>
      </c>
      <c r="C44" s="18" t="s">
        <v>7</v>
      </c>
      <c r="D44" s="163">
        <f>D5+Agosto23!AF41</f>
        <v>48894.9</v>
      </c>
      <c r="E44" s="164">
        <f t="shared" ref="E44:F59" si="17">D44+E5</f>
        <v>48949.3</v>
      </c>
      <c r="F44" s="164">
        <f t="shared" si="17"/>
        <v>48998.400000000001</v>
      </c>
      <c r="G44" s="165">
        <v>49036.4</v>
      </c>
      <c r="H44" s="166">
        <v>49076</v>
      </c>
      <c r="I44" s="163">
        <f t="shared" ref="I44:V59" si="18">H44+I5</f>
        <v>49115.9</v>
      </c>
      <c r="J44" s="163">
        <f t="shared" si="18"/>
        <v>49149.599999999999</v>
      </c>
      <c r="K44" s="163">
        <f t="shared" si="18"/>
        <v>49195.9</v>
      </c>
      <c r="L44" s="163">
        <f t="shared" si="18"/>
        <v>49232.700000000004</v>
      </c>
      <c r="M44" s="163">
        <f t="shared" si="18"/>
        <v>49263.100000000006</v>
      </c>
      <c r="N44" s="163">
        <f t="shared" si="18"/>
        <v>49322.900000000009</v>
      </c>
      <c r="O44" s="163">
        <f t="shared" si="18"/>
        <v>49365.200000000012</v>
      </c>
      <c r="P44" s="163">
        <f t="shared" si="18"/>
        <v>49416.30000000001</v>
      </c>
      <c r="Q44" s="163">
        <f t="shared" si="18"/>
        <v>49468.80000000001</v>
      </c>
      <c r="R44" s="163">
        <f t="shared" si="18"/>
        <v>49520.100000000013</v>
      </c>
      <c r="S44" s="163">
        <f t="shared" si="18"/>
        <v>49565.600000000013</v>
      </c>
      <c r="T44" s="163">
        <f t="shared" si="18"/>
        <v>49626.000000000015</v>
      </c>
      <c r="U44" s="163">
        <f t="shared" si="18"/>
        <v>49686.400000000016</v>
      </c>
      <c r="V44" s="163">
        <f t="shared" si="18"/>
        <v>49728.700000000019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</row>
    <row r="45" spans="2:76" x14ac:dyDescent="0.3">
      <c r="B45" s="752"/>
      <c r="C45" s="18" t="s">
        <v>8</v>
      </c>
      <c r="D45" s="163">
        <f>D6+Agosto23!AF42</f>
        <v>99014.200000000012</v>
      </c>
      <c r="E45" s="164">
        <f t="shared" si="17"/>
        <v>99268.900000000009</v>
      </c>
      <c r="F45" s="164">
        <f t="shared" si="17"/>
        <v>99545.3</v>
      </c>
      <c r="G45" s="165">
        <f>21775+78123.8</f>
        <v>99898.8</v>
      </c>
      <c r="H45" s="166">
        <f>21823+78322.8</f>
        <v>100145.8</v>
      </c>
      <c r="I45" s="163">
        <f t="shared" si="18"/>
        <v>100386.3</v>
      </c>
      <c r="J45" s="163">
        <f t="shared" si="18"/>
        <v>100587</v>
      </c>
      <c r="K45" s="163">
        <f t="shared" si="18"/>
        <v>100853.7</v>
      </c>
      <c r="L45" s="163">
        <f t="shared" si="18"/>
        <v>101067.7</v>
      </c>
      <c r="M45" s="163">
        <f t="shared" si="18"/>
        <v>101250.59999999999</v>
      </c>
      <c r="N45" s="163">
        <f t="shared" si="18"/>
        <v>101513.4</v>
      </c>
      <c r="O45" s="163">
        <f t="shared" si="18"/>
        <v>101747.5</v>
      </c>
      <c r="P45" s="163">
        <f t="shared" si="18"/>
        <v>102052.17</v>
      </c>
      <c r="Q45" s="163">
        <f t="shared" si="18"/>
        <v>102373.56999999999</v>
      </c>
      <c r="R45" s="163">
        <f t="shared" si="18"/>
        <v>102664.87</v>
      </c>
      <c r="S45" s="163">
        <f t="shared" si="18"/>
        <v>102982.47</v>
      </c>
      <c r="T45" s="163">
        <f t="shared" si="18"/>
        <v>103336.1</v>
      </c>
      <c r="U45" s="163">
        <f t="shared" si="18"/>
        <v>103673.20000000001</v>
      </c>
      <c r="V45" s="163">
        <f t="shared" si="18"/>
        <v>103956.1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</row>
    <row r="46" spans="2:76" x14ac:dyDescent="0.3">
      <c r="B46" s="752"/>
      <c r="C46" s="18" t="s">
        <v>9</v>
      </c>
      <c r="D46" s="163">
        <f>D7+Agosto23!AF43</f>
        <v>69848.7</v>
      </c>
      <c r="E46" s="164">
        <f t="shared" si="17"/>
        <v>70083.199999999997</v>
      </c>
      <c r="F46" s="164">
        <f t="shared" si="17"/>
        <v>70308.3</v>
      </c>
      <c r="G46" s="165">
        <v>70458.2</v>
      </c>
      <c r="H46" s="166">
        <v>70615.5</v>
      </c>
      <c r="I46" s="163">
        <f t="shared" si="18"/>
        <v>70787.199999999997</v>
      </c>
      <c r="J46" s="163">
        <f t="shared" si="18"/>
        <v>70939.399999999994</v>
      </c>
      <c r="K46" s="163">
        <f t="shared" si="18"/>
        <v>71142.2</v>
      </c>
      <c r="L46" s="163">
        <f t="shared" si="18"/>
        <v>71300.2</v>
      </c>
      <c r="M46" s="163">
        <f t="shared" si="18"/>
        <v>71434.8</v>
      </c>
      <c r="N46" s="163">
        <f t="shared" si="18"/>
        <v>71676.100000000006</v>
      </c>
      <c r="O46" s="163">
        <f t="shared" si="18"/>
        <v>71865.700000000012</v>
      </c>
      <c r="P46" s="163">
        <f t="shared" si="18"/>
        <v>72085.700000000012</v>
      </c>
      <c r="Q46" s="163">
        <f t="shared" si="18"/>
        <v>72315.400000000009</v>
      </c>
      <c r="R46" s="163">
        <f t="shared" si="18"/>
        <v>72543.000000000015</v>
      </c>
      <c r="S46" s="163">
        <f t="shared" si="18"/>
        <v>72729.400000000009</v>
      </c>
      <c r="T46" s="163">
        <f t="shared" si="18"/>
        <v>72985.600000000006</v>
      </c>
      <c r="U46" s="163" t="e">
        <f>T46+#REF!</f>
        <v>#REF!</v>
      </c>
      <c r="V46" s="163" t="e">
        <f t="shared" si="18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</row>
    <row r="47" spans="2:76" x14ac:dyDescent="0.3">
      <c r="B47" s="752"/>
      <c r="C47" s="18" t="s">
        <v>10</v>
      </c>
      <c r="D47" s="163">
        <f>D8+Agosto23!AF44</f>
        <v>95722.2</v>
      </c>
      <c r="E47" s="164">
        <f t="shared" si="17"/>
        <v>95856.099999999991</v>
      </c>
      <c r="F47" s="164">
        <f t="shared" si="17"/>
        <v>95982.499999999985</v>
      </c>
      <c r="G47" s="165">
        <v>96154</v>
      </c>
      <c r="H47" s="166">
        <v>96261.9</v>
      </c>
      <c r="I47" s="163">
        <f t="shared" si="18"/>
        <v>96355.799999999988</v>
      </c>
      <c r="J47" s="163">
        <f t="shared" si="18"/>
        <v>96440.999999999985</v>
      </c>
      <c r="K47" s="163">
        <f t="shared" si="18"/>
        <v>96557.199999999983</v>
      </c>
      <c r="L47" s="163">
        <f t="shared" si="18"/>
        <v>96644.299999999988</v>
      </c>
      <c r="M47" s="163">
        <f t="shared" si="18"/>
        <v>96720.199999999983</v>
      </c>
      <c r="N47" s="163">
        <f t="shared" si="18"/>
        <v>96858.799999999988</v>
      </c>
      <c r="O47" s="163">
        <f t="shared" si="18"/>
        <v>96966.399999999994</v>
      </c>
      <c r="P47" s="163">
        <f t="shared" si="18"/>
        <v>97093.099999999991</v>
      </c>
      <c r="Q47" s="163">
        <f t="shared" si="18"/>
        <v>97224.9</v>
      </c>
      <c r="R47" s="163">
        <f t="shared" si="18"/>
        <v>97353.599999999991</v>
      </c>
      <c r="S47" s="163">
        <f t="shared" si="18"/>
        <v>97458.099999999991</v>
      </c>
      <c r="T47" s="163">
        <f t="shared" si="18"/>
        <v>97602.2</v>
      </c>
      <c r="U47" s="163" t="e">
        <f>T47+#REF!</f>
        <v>#REF!</v>
      </c>
      <c r="V47" s="163" t="e">
        <f t="shared" si="18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</row>
    <row r="48" spans="2:76" x14ac:dyDescent="0.3">
      <c r="B48" s="752"/>
      <c r="C48" s="18" t="s">
        <v>11</v>
      </c>
      <c r="D48" s="163">
        <f>D9+Agosto23!AF45</f>
        <v>18755.5</v>
      </c>
      <c r="E48" s="164">
        <f t="shared" si="17"/>
        <v>18803.599999999999</v>
      </c>
      <c r="F48" s="164">
        <f t="shared" si="17"/>
        <v>18846.5</v>
      </c>
      <c r="G48" s="165">
        <v>18957</v>
      </c>
      <c r="H48" s="166">
        <v>18998</v>
      </c>
      <c r="I48" s="163">
        <f t="shared" si="18"/>
        <v>19034.599999999999</v>
      </c>
      <c r="J48" s="163">
        <f t="shared" si="18"/>
        <v>19068</v>
      </c>
      <c r="K48" s="163">
        <f t="shared" si="18"/>
        <v>19107.599999999999</v>
      </c>
      <c r="L48" s="163">
        <f t="shared" si="18"/>
        <v>19146.199999999997</v>
      </c>
      <c r="M48" s="163">
        <f t="shared" si="18"/>
        <v>19177.599999999999</v>
      </c>
      <c r="N48" s="163">
        <f t="shared" si="18"/>
        <v>19237.599999999999</v>
      </c>
      <c r="O48" s="163">
        <f t="shared" si="18"/>
        <v>19277.899999999998</v>
      </c>
      <c r="P48" s="163">
        <f t="shared" si="18"/>
        <v>19328.999999999996</v>
      </c>
      <c r="Q48" s="163">
        <f t="shared" si="18"/>
        <v>19381.399999999998</v>
      </c>
      <c r="R48" s="163">
        <f t="shared" si="18"/>
        <v>19433.699999999997</v>
      </c>
      <c r="S48" s="163">
        <f t="shared" si="18"/>
        <v>19488.399999999998</v>
      </c>
      <c r="T48" s="163">
        <f t="shared" si="18"/>
        <v>19549.699999999997</v>
      </c>
      <c r="U48" s="163">
        <f>T48+U7</f>
        <v>19792.699999999997</v>
      </c>
      <c r="V48" s="163">
        <f t="shared" si="18"/>
        <v>19839.399999999998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</row>
    <row r="49" spans="2:39" x14ac:dyDescent="0.3">
      <c r="B49" s="752"/>
      <c r="C49" s="18" t="s">
        <v>12</v>
      </c>
      <c r="D49" s="163">
        <f>D10+Agosto23!AF46</f>
        <v>58141.2</v>
      </c>
      <c r="E49" s="164">
        <f t="shared" si="17"/>
        <v>58208.799999999996</v>
      </c>
      <c r="F49" s="164">
        <f t="shared" si="17"/>
        <v>58298.899999999994</v>
      </c>
      <c r="G49" s="165">
        <v>58550</v>
      </c>
      <c r="H49" s="166">
        <v>58640</v>
      </c>
      <c r="I49" s="163">
        <f t="shared" si="18"/>
        <v>58716.7</v>
      </c>
      <c r="J49" s="163">
        <f t="shared" si="18"/>
        <v>58784.6</v>
      </c>
      <c r="K49" s="163">
        <f t="shared" si="18"/>
        <v>58862.1</v>
      </c>
      <c r="L49" s="163">
        <f t="shared" si="18"/>
        <v>58935.9</v>
      </c>
      <c r="M49" s="163">
        <f t="shared" si="18"/>
        <v>58997</v>
      </c>
      <c r="N49" s="163">
        <f t="shared" si="18"/>
        <v>59108.5</v>
      </c>
      <c r="O49" s="163">
        <f t="shared" si="18"/>
        <v>59185.599999999999</v>
      </c>
      <c r="P49" s="163">
        <f t="shared" si="18"/>
        <v>59276.299999999996</v>
      </c>
      <c r="Q49" s="163">
        <f t="shared" si="18"/>
        <v>59366.399999999994</v>
      </c>
      <c r="R49" s="163">
        <f t="shared" si="18"/>
        <v>59454.499999999993</v>
      </c>
      <c r="S49" s="163">
        <f t="shared" si="18"/>
        <v>59545.799999999996</v>
      </c>
      <c r="T49" s="163">
        <f t="shared" si="18"/>
        <v>59609.1</v>
      </c>
      <c r="U49" s="163">
        <f>T49+U8</f>
        <v>59747.299999999996</v>
      </c>
      <c r="V49" s="163">
        <f t="shared" si="18"/>
        <v>59820.999999999993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</row>
    <row r="50" spans="2:39" x14ac:dyDescent="0.3">
      <c r="B50" s="752"/>
      <c r="C50" s="18" t="s">
        <v>13</v>
      </c>
      <c r="D50" s="163">
        <f>D11+Agosto23!AF47</f>
        <v>230280.90000000002</v>
      </c>
      <c r="E50" s="164">
        <f t="shared" si="17"/>
        <v>230611.90000000002</v>
      </c>
      <c r="F50" s="164">
        <f t="shared" si="17"/>
        <v>230960.2</v>
      </c>
      <c r="G50" s="165">
        <v>231148.9</v>
      </c>
      <c r="H50" s="166">
        <v>231319.5</v>
      </c>
      <c r="I50" s="163">
        <f t="shared" si="18"/>
        <v>231600.6</v>
      </c>
      <c r="J50" s="163">
        <f t="shared" si="18"/>
        <v>231837.5</v>
      </c>
      <c r="K50" s="163">
        <f t="shared" si="18"/>
        <v>232143</v>
      </c>
      <c r="L50" s="163">
        <f t="shared" si="18"/>
        <v>232389.8</v>
      </c>
      <c r="M50" s="163">
        <f t="shared" si="18"/>
        <v>232647.59999999998</v>
      </c>
      <c r="N50" s="163">
        <f t="shared" si="18"/>
        <v>233008.8</v>
      </c>
      <c r="O50" s="163">
        <f t="shared" si="18"/>
        <v>233334.59999999998</v>
      </c>
      <c r="P50" s="163">
        <f t="shared" si="18"/>
        <v>233697.89999999997</v>
      </c>
      <c r="Q50" s="163">
        <f t="shared" si="18"/>
        <v>234073.19999999995</v>
      </c>
      <c r="R50" s="163">
        <f t="shared" si="18"/>
        <v>234439.49999999994</v>
      </c>
      <c r="S50" s="163">
        <f t="shared" si="18"/>
        <v>234835.69999999995</v>
      </c>
      <c r="T50" s="163">
        <f t="shared" si="18"/>
        <v>235255.09999999995</v>
      </c>
      <c r="U50" s="163">
        <f t="shared" si="18"/>
        <v>235636.39999999994</v>
      </c>
      <c r="V50" s="163">
        <f t="shared" si="18"/>
        <v>235957.69999999992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</row>
    <row r="51" spans="2:39" x14ac:dyDescent="0.3">
      <c r="B51" s="753"/>
      <c r="C51" s="18" t="s">
        <v>14</v>
      </c>
      <c r="D51" s="163">
        <f>D12+Agosto23!AF48</f>
        <v>616.70000000000005</v>
      </c>
      <c r="E51" s="164">
        <f t="shared" si="17"/>
        <v>858.80000000000007</v>
      </c>
      <c r="F51" s="164">
        <f t="shared" si="17"/>
        <v>1089.9000000000001</v>
      </c>
      <c r="G51" s="165">
        <v>1440</v>
      </c>
      <c r="H51" s="166">
        <v>1620</v>
      </c>
      <c r="I51" s="163">
        <f t="shared" si="18"/>
        <v>1800.9</v>
      </c>
      <c r="J51" s="163">
        <f t="shared" si="18"/>
        <v>1979.8000000000002</v>
      </c>
      <c r="K51" s="163">
        <f t="shared" si="18"/>
        <v>2193.4</v>
      </c>
      <c r="L51" s="163">
        <f t="shared" si="18"/>
        <v>2381.5</v>
      </c>
      <c r="M51" s="163">
        <f t="shared" si="18"/>
        <v>2543</v>
      </c>
      <c r="N51" s="163">
        <f t="shared" si="18"/>
        <v>2850</v>
      </c>
      <c r="O51" s="163">
        <f t="shared" si="18"/>
        <v>3066.3</v>
      </c>
      <c r="P51" s="163">
        <f t="shared" si="18"/>
        <v>3325.1000000000004</v>
      </c>
      <c r="Q51" s="163">
        <f t="shared" si="18"/>
        <v>3578.8</v>
      </c>
      <c r="R51" s="163">
        <f t="shared" si="18"/>
        <v>3855.3</v>
      </c>
      <c r="S51" s="163">
        <f t="shared" si="18"/>
        <v>4143</v>
      </c>
      <c r="T51" s="163">
        <f t="shared" si="18"/>
        <v>4455.8999999999996</v>
      </c>
      <c r="U51" s="163">
        <f t="shared" si="18"/>
        <v>4749.0999999999995</v>
      </c>
      <c r="V51" s="163">
        <f t="shared" si="18"/>
        <v>4998.7999999999993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</row>
    <row r="52" spans="2:39" x14ac:dyDescent="0.3">
      <c r="B52" s="751" t="s">
        <v>16</v>
      </c>
      <c r="C52" s="18" t="s">
        <v>17</v>
      </c>
      <c r="D52" s="163">
        <f>D13+Agosto23!AF49</f>
        <v>136949.80000000002</v>
      </c>
      <c r="E52" s="164">
        <f t="shared" si="17"/>
        <v>137353.20000000001</v>
      </c>
      <c r="F52" s="164">
        <f t="shared" si="17"/>
        <v>137742.70000000001</v>
      </c>
      <c r="G52" s="165">
        <v>138545</v>
      </c>
      <c r="H52" s="166">
        <v>138937</v>
      </c>
      <c r="I52" s="163">
        <f t="shared" si="18"/>
        <v>139239.4</v>
      </c>
      <c r="J52" s="163">
        <f t="shared" si="18"/>
        <v>139517.19999999998</v>
      </c>
      <c r="K52" s="163">
        <f t="shared" si="18"/>
        <v>139855.29999999999</v>
      </c>
      <c r="L52" s="163">
        <f t="shared" si="18"/>
        <v>140161.4</v>
      </c>
      <c r="M52" s="163">
        <f t="shared" si="18"/>
        <v>140442.5</v>
      </c>
      <c r="N52" s="163">
        <f t="shared" si="18"/>
        <v>140917.79999999999</v>
      </c>
      <c r="O52" s="163">
        <f t="shared" si="18"/>
        <v>141280.29999999999</v>
      </c>
      <c r="P52" s="163">
        <f t="shared" si="18"/>
        <v>141675.79999999999</v>
      </c>
      <c r="Q52" s="163">
        <f t="shared" si="18"/>
        <v>142053</v>
      </c>
      <c r="R52" s="163">
        <f t="shared" si="18"/>
        <v>142456.9</v>
      </c>
      <c r="S52" s="163">
        <f t="shared" si="18"/>
        <v>142895.19999999998</v>
      </c>
      <c r="T52" s="163">
        <f t="shared" si="18"/>
        <v>143431.29999999999</v>
      </c>
      <c r="U52" s="163">
        <f t="shared" si="18"/>
        <v>143932.29999999999</v>
      </c>
      <c r="V52" s="163">
        <f t="shared" si="18"/>
        <v>144325.09999999998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</row>
    <row r="53" spans="2:39" x14ac:dyDescent="0.3">
      <c r="B53" s="752"/>
      <c r="C53" s="18" t="s">
        <v>18</v>
      </c>
      <c r="D53" s="163">
        <f>D14+Agosto23!AF50</f>
        <v>127690.6</v>
      </c>
      <c r="E53" s="164">
        <f t="shared" si="17"/>
        <v>128126</v>
      </c>
      <c r="F53" s="164">
        <f t="shared" si="17"/>
        <v>128591.5</v>
      </c>
      <c r="G53" s="165">
        <v>128878</v>
      </c>
      <c r="H53" s="166">
        <v>129112</v>
      </c>
      <c r="I53" s="163">
        <f t="shared" si="18"/>
        <v>129475.9</v>
      </c>
      <c r="J53" s="163">
        <f t="shared" si="18"/>
        <v>129785</v>
      </c>
      <c r="K53" s="163">
        <f t="shared" si="18"/>
        <v>130185.9</v>
      </c>
      <c r="L53" s="163">
        <f t="shared" si="18"/>
        <v>130519.09999999999</v>
      </c>
      <c r="M53" s="163">
        <f t="shared" si="18"/>
        <v>130871.29999999999</v>
      </c>
      <c r="N53" s="163">
        <f t="shared" si="18"/>
        <v>131369.19999999998</v>
      </c>
      <c r="O53" s="163">
        <f>N53+O14</f>
        <v>131792.09999999998</v>
      </c>
      <c r="P53" s="163">
        <f t="shared" si="18"/>
        <v>132265.49999999997</v>
      </c>
      <c r="Q53" s="163">
        <f t="shared" si="18"/>
        <v>132742.29999999996</v>
      </c>
      <c r="R53" s="163">
        <f t="shared" si="18"/>
        <v>133222.09999999995</v>
      </c>
      <c r="S53" s="163">
        <f t="shared" si="18"/>
        <v>133743.99999999994</v>
      </c>
      <c r="T53" s="163" t="e">
        <f>S53+#REF!</f>
        <v>#REF!</v>
      </c>
      <c r="U53" s="163" t="e">
        <f>T53+U14</f>
        <v>#REF!</v>
      </c>
      <c r="V53" s="163" t="e">
        <f t="shared" si="18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</row>
    <row r="54" spans="2:39" x14ac:dyDescent="0.3">
      <c r="B54" s="752"/>
      <c r="C54" s="18" t="s">
        <v>19</v>
      </c>
      <c r="D54" s="163">
        <f>D15+Agosto23!AF51</f>
        <v>37822.800000000003</v>
      </c>
      <c r="E54" s="164">
        <f t="shared" si="17"/>
        <v>37946</v>
      </c>
      <c r="F54" s="164">
        <f t="shared" si="17"/>
        <v>38077.5</v>
      </c>
      <c r="G54" s="165">
        <v>38160</v>
      </c>
      <c r="H54" s="166">
        <v>38222</v>
      </c>
      <c r="I54" s="163">
        <f t="shared" si="18"/>
        <v>38327.199999999997</v>
      </c>
      <c r="J54" s="163">
        <f t="shared" si="18"/>
        <v>38414.299999999996</v>
      </c>
      <c r="K54" s="163">
        <f t="shared" si="18"/>
        <v>38529.199999999997</v>
      </c>
      <c r="L54" s="163">
        <f t="shared" si="18"/>
        <v>38623.599999999999</v>
      </c>
      <c r="M54" s="163">
        <f t="shared" si="18"/>
        <v>38720.699999999997</v>
      </c>
      <c r="N54" s="163">
        <f t="shared" si="18"/>
        <v>38868</v>
      </c>
      <c r="O54" s="163">
        <f>N54+O15</f>
        <v>38989</v>
      </c>
      <c r="P54" s="163">
        <f t="shared" si="18"/>
        <v>39125.800000000003</v>
      </c>
      <c r="Q54" s="163">
        <f t="shared" si="18"/>
        <v>39269</v>
      </c>
      <c r="R54" s="163">
        <f t="shared" si="18"/>
        <v>39411.699999999997</v>
      </c>
      <c r="S54" s="163">
        <f t="shared" si="18"/>
        <v>39558.1</v>
      </c>
      <c r="T54" s="163">
        <f>S54+T15</f>
        <v>39713.699999999997</v>
      </c>
      <c r="U54" s="163">
        <f>T54+U15</f>
        <v>39853.799999999996</v>
      </c>
      <c r="V54" s="163">
        <f t="shared" si="18"/>
        <v>39976.1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</row>
    <row r="55" spans="2:39" x14ac:dyDescent="0.3">
      <c r="B55" s="753"/>
      <c r="C55" s="18" t="s">
        <v>20</v>
      </c>
      <c r="D55" s="163">
        <f>D16+Agosto23!AF52</f>
        <v>97338.299999999988</v>
      </c>
      <c r="E55" s="164">
        <f t="shared" si="17"/>
        <v>97389.4</v>
      </c>
      <c r="F55" s="164">
        <f t="shared" si="17"/>
        <v>97832.599999999991</v>
      </c>
      <c r="G55" s="165">
        <v>98510</v>
      </c>
      <c r="H55" s="166">
        <v>98809</v>
      </c>
      <c r="I55" s="163">
        <f t="shared" si="18"/>
        <v>99135</v>
      </c>
      <c r="J55" s="163">
        <f t="shared" si="18"/>
        <v>99471.5</v>
      </c>
      <c r="K55" s="163">
        <f t="shared" si="18"/>
        <v>99880.2</v>
      </c>
      <c r="L55" s="163">
        <f t="shared" si="18"/>
        <v>100197.3</v>
      </c>
      <c r="M55" s="163">
        <f t="shared" si="18"/>
        <v>100515.90000000001</v>
      </c>
      <c r="N55" s="163">
        <f t="shared" si="18"/>
        <v>100909.3</v>
      </c>
      <c r="O55" s="163">
        <f t="shared" si="18"/>
        <v>101239.1</v>
      </c>
      <c r="P55" s="163">
        <f t="shared" si="18"/>
        <v>101678.40000000001</v>
      </c>
      <c r="Q55" s="163">
        <f t="shared" si="18"/>
        <v>102136.50000000001</v>
      </c>
      <c r="R55" s="163">
        <f t="shared" si="18"/>
        <v>102591.40000000001</v>
      </c>
      <c r="S55" s="163">
        <f t="shared" si="18"/>
        <v>103015.90000000001</v>
      </c>
      <c r="T55" s="163">
        <f>S55+T14</f>
        <v>103581.6</v>
      </c>
      <c r="U55" s="163">
        <f t="shared" si="18"/>
        <v>104027</v>
      </c>
      <c r="V55" s="163">
        <f t="shared" si="18"/>
        <v>104145.5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</row>
    <row r="56" spans="2:39" x14ac:dyDescent="0.3">
      <c r="B56" s="754" t="s">
        <v>21</v>
      </c>
      <c r="C56" s="18" t="s">
        <v>22</v>
      </c>
      <c r="D56" s="163">
        <f>D17+Agosto23!AF53</f>
        <v>66099.200000000012</v>
      </c>
      <c r="E56" s="164">
        <f t="shared" si="17"/>
        <v>66142.700000000012</v>
      </c>
      <c r="F56" s="164">
        <f t="shared" si="17"/>
        <v>66436.800000000017</v>
      </c>
      <c r="G56" s="165">
        <v>67299</v>
      </c>
      <c r="H56" s="166">
        <v>67726</v>
      </c>
      <c r="I56" s="163">
        <f t="shared" si="18"/>
        <v>68047.100000000006</v>
      </c>
      <c r="J56" s="163">
        <f t="shared" si="18"/>
        <v>68390.900000000009</v>
      </c>
      <c r="K56" s="163">
        <f t="shared" si="18"/>
        <v>68821.400000000009</v>
      </c>
      <c r="L56" s="163">
        <f t="shared" si="18"/>
        <v>69175.500000000015</v>
      </c>
      <c r="M56" s="163">
        <f t="shared" si="18"/>
        <v>69473.400000000009</v>
      </c>
      <c r="N56" s="163">
        <f t="shared" si="18"/>
        <v>69917.3</v>
      </c>
      <c r="O56" s="163">
        <f t="shared" si="18"/>
        <v>70375.900000000009</v>
      </c>
      <c r="P56" s="163">
        <f t="shared" si="18"/>
        <v>70802.3</v>
      </c>
      <c r="Q56" s="163">
        <f t="shared" si="18"/>
        <v>71292.3</v>
      </c>
      <c r="R56" s="163">
        <f t="shared" si="18"/>
        <v>71775.8</v>
      </c>
      <c r="S56" s="163">
        <f t="shared" si="18"/>
        <v>72320.3</v>
      </c>
      <c r="T56" s="163">
        <f t="shared" si="18"/>
        <v>72863.100000000006</v>
      </c>
      <c r="U56" s="163">
        <f t="shared" si="18"/>
        <v>73382.3</v>
      </c>
      <c r="V56" s="163">
        <f t="shared" si="18"/>
        <v>73849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</row>
    <row r="57" spans="2:39" x14ac:dyDescent="0.3">
      <c r="B57" s="754"/>
      <c r="C57" s="18" t="s">
        <v>23</v>
      </c>
      <c r="D57" s="163">
        <f>D18+Agosto23!AF54</f>
        <v>74706.400000000009</v>
      </c>
      <c r="E57" s="164">
        <f t="shared" si="17"/>
        <v>74763.100000000006</v>
      </c>
      <c r="F57" s="164">
        <f t="shared" si="17"/>
        <v>75085.8</v>
      </c>
      <c r="G57" s="165">
        <v>75901</v>
      </c>
      <c r="H57" s="166">
        <v>76333</v>
      </c>
      <c r="I57" s="163">
        <f t="shared" si="18"/>
        <v>76693.8</v>
      </c>
      <c r="J57" s="163">
        <f t="shared" si="18"/>
        <v>77089.3</v>
      </c>
      <c r="K57" s="163">
        <f t="shared" si="18"/>
        <v>77586.100000000006</v>
      </c>
      <c r="L57" s="163">
        <f t="shared" si="18"/>
        <v>77995.900000000009</v>
      </c>
      <c r="M57" s="163">
        <f>L57+M21</f>
        <v>78330.600000000006</v>
      </c>
      <c r="N57" s="163">
        <f t="shared" si="18"/>
        <v>78824.5</v>
      </c>
      <c r="O57" s="163">
        <f t="shared" si="18"/>
        <v>79336.7</v>
      </c>
      <c r="P57" s="163">
        <f t="shared" si="18"/>
        <v>79774.2</v>
      </c>
      <c r="Q57" s="163">
        <f t="shared" si="18"/>
        <v>80295.099999999991</v>
      </c>
      <c r="R57" s="163">
        <f t="shared" si="18"/>
        <v>80798.7</v>
      </c>
      <c r="S57" s="163">
        <f t="shared" si="18"/>
        <v>81355.3</v>
      </c>
      <c r="T57" s="163">
        <f t="shared" si="18"/>
        <v>81912.600000000006</v>
      </c>
      <c r="U57" s="163">
        <f t="shared" si="18"/>
        <v>82445.400000000009</v>
      </c>
      <c r="V57" s="163">
        <f t="shared" si="18"/>
        <v>82918.8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</row>
    <row r="58" spans="2:39" x14ac:dyDescent="0.3">
      <c r="B58" s="754"/>
      <c r="C58" s="18" t="s">
        <v>24</v>
      </c>
      <c r="D58" s="163">
        <f>D19+Agosto23!AF55</f>
        <v>136364.70000000001</v>
      </c>
      <c r="E58" s="164">
        <f t="shared" si="17"/>
        <v>136674.70000000001</v>
      </c>
      <c r="F58" s="164">
        <f t="shared" si="17"/>
        <v>137067.70000000001</v>
      </c>
      <c r="G58" s="165">
        <v>137294</v>
      </c>
      <c r="H58" s="166">
        <v>137664</v>
      </c>
      <c r="I58" s="163">
        <f>H58+I19</f>
        <v>137992.4</v>
      </c>
      <c r="J58" s="163">
        <f t="shared" si="18"/>
        <v>138329.19999999998</v>
      </c>
      <c r="K58" s="163">
        <f t="shared" si="18"/>
        <v>138741.19999999998</v>
      </c>
      <c r="L58" s="163">
        <f>K58+L21</f>
        <v>139142.19999999998</v>
      </c>
      <c r="M58" s="163">
        <f t="shared" si="18"/>
        <v>139433.79999999999</v>
      </c>
      <c r="N58" s="163">
        <f t="shared" si="18"/>
        <v>139863.59999999998</v>
      </c>
      <c r="O58" s="163">
        <f t="shared" si="18"/>
        <v>140296.69999999998</v>
      </c>
      <c r="P58" s="163">
        <f t="shared" si="18"/>
        <v>140699.19999999998</v>
      </c>
      <c r="Q58" s="163">
        <f t="shared" si="18"/>
        <v>141171.9</v>
      </c>
      <c r="R58" s="163">
        <f t="shared" si="18"/>
        <v>141605.9</v>
      </c>
      <c r="S58" s="163">
        <f t="shared" si="18"/>
        <v>142061</v>
      </c>
      <c r="T58" s="163">
        <f t="shared" si="18"/>
        <v>142523.4</v>
      </c>
      <c r="U58" s="163">
        <f t="shared" si="18"/>
        <v>142990.19999999998</v>
      </c>
      <c r="V58" s="163">
        <f t="shared" si="18"/>
        <v>143383.9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</row>
    <row r="59" spans="2:39" x14ac:dyDescent="0.3">
      <c r="B59" s="754"/>
      <c r="C59" s="18" t="s">
        <v>25</v>
      </c>
      <c r="D59" s="163">
        <f>D20+Agosto23!AF56</f>
        <v>174808.6</v>
      </c>
      <c r="E59" s="164">
        <f t="shared" si="17"/>
        <v>175199.9</v>
      </c>
      <c r="F59" s="164">
        <f t="shared" si="17"/>
        <v>175697.1</v>
      </c>
      <c r="G59" s="165">
        <v>176032</v>
      </c>
      <c r="H59" s="166">
        <v>176536</v>
      </c>
      <c r="I59" s="163">
        <f>H59+I20</f>
        <v>176943</v>
      </c>
      <c r="J59" s="163">
        <f t="shared" si="18"/>
        <v>177349.3</v>
      </c>
      <c r="K59" s="163">
        <f t="shared" si="18"/>
        <v>177847.19999999998</v>
      </c>
      <c r="L59" s="163">
        <f t="shared" si="18"/>
        <v>178306.3</v>
      </c>
      <c r="M59" s="163">
        <f t="shared" si="18"/>
        <v>178684.59999999998</v>
      </c>
      <c r="N59" s="163">
        <f>M59+N21</f>
        <v>179201.8</v>
      </c>
      <c r="O59" s="163" t="e">
        <f>N59+#REF!</f>
        <v>#REF!</v>
      </c>
      <c r="P59" s="163" t="e">
        <f t="shared" si="18"/>
        <v>#REF!</v>
      </c>
      <c r="Q59" s="163" t="e">
        <f t="shared" si="18"/>
        <v>#REF!</v>
      </c>
      <c r="R59" s="163" t="e">
        <f t="shared" si="18"/>
        <v>#REF!</v>
      </c>
      <c r="S59" s="163" t="e">
        <f>R59+S21</f>
        <v>#REF!</v>
      </c>
      <c r="T59" s="163" t="e">
        <f t="shared" si="18"/>
        <v>#REF!</v>
      </c>
      <c r="U59" s="163" t="e">
        <f t="shared" si="18"/>
        <v>#REF!</v>
      </c>
      <c r="V59" s="163" t="e">
        <f t="shared" si="18"/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</row>
    <row r="60" spans="2:39" x14ac:dyDescent="0.3">
      <c r="B60" s="754"/>
      <c r="C60" s="18" t="s">
        <v>26</v>
      </c>
      <c r="D60" s="163">
        <f>D21+Agosto23!AF57</f>
        <v>82309.600000000006</v>
      </c>
      <c r="E60" s="164">
        <f t="shared" ref="E60:F66" si="19">D60+E21</f>
        <v>82553.3</v>
      </c>
      <c r="F60" s="164">
        <f t="shared" si="19"/>
        <v>82739.100000000006</v>
      </c>
      <c r="G60" s="165">
        <v>83628</v>
      </c>
      <c r="H60" s="166">
        <v>84081</v>
      </c>
      <c r="I60" s="163">
        <f t="shared" ref="I60:L66" si="20">H60+I21</f>
        <v>84450.9</v>
      </c>
      <c r="J60" s="163">
        <f t="shared" si="20"/>
        <v>84804.7</v>
      </c>
      <c r="K60" s="163">
        <f t="shared" si="20"/>
        <v>85247.599999999991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21">N60+O21</f>
        <v>#REF!</v>
      </c>
      <c r="P60" s="163" t="e">
        <f t="shared" si="21"/>
        <v>#REF!</v>
      </c>
      <c r="Q60" s="163" t="e">
        <f t="shared" si="21"/>
        <v>#REF!</v>
      </c>
      <c r="R60" s="163" t="e">
        <f t="shared" si="21"/>
        <v>#REF!</v>
      </c>
      <c r="S60" s="163" t="e">
        <f>R60+#REF!</f>
        <v>#REF!</v>
      </c>
      <c r="T60" s="163" t="e">
        <f t="shared" ref="T60:V66" si="22">S60+T21</f>
        <v>#REF!</v>
      </c>
      <c r="U60" s="163" t="e">
        <f t="shared" si="22"/>
        <v>#REF!</v>
      </c>
      <c r="V60" s="163" t="e">
        <f t="shared" si="22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</row>
    <row r="61" spans="2:39" x14ac:dyDescent="0.3">
      <c r="B61" s="754"/>
      <c r="C61" s="18" t="s">
        <v>27</v>
      </c>
      <c r="D61" s="163">
        <f>D22+Agosto23!AF58</f>
        <v>61589.599999999999</v>
      </c>
      <c r="E61" s="164">
        <f t="shared" si="19"/>
        <v>62076.4</v>
      </c>
      <c r="F61" s="164">
        <f t="shared" si="19"/>
        <v>62660</v>
      </c>
      <c r="G61" s="165">
        <v>63058</v>
      </c>
      <c r="H61" s="166">
        <v>63281</v>
      </c>
      <c r="I61" s="163">
        <f t="shared" si="20"/>
        <v>63694</v>
      </c>
      <c r="J61" s="163">
        <f t="shared" si="20"/>
        <v>64153.7</v>
      </c>
      <c r="K61" s="163">
        <f t="shared" si="20"/>
        <v>64662</v>
      </c>
      <c r="L61" s="163">
        <f t="shared" si="20"/>
        <v>65108.4</v>
      </c>
      <c r="M61" s="163">
        <f t="shared" si="21"/>
        <v>65536.600000000006</v>
      </c>
      <c r="N61" s="163">
        <f t="shared" si="21"/>
        <v>66128.200000000012</v>
      </c>
      <c r="O61" s="163">
        <f t="shared" si="21"/>
        <v>66673.200000000012</v>
      </c>
      <c r="P61" s="163">
        <f t="shared" si="21"/>
        <v>67194.500000000015</v>
      </c>
      <c r="Q61" s="163">
        <f t="shared" si="21"/>
        <v>67570.900000000009</v>
      </c>
      <c r="R61" s="163">
        <f t="shared" si="21"/>
        <v>67570.900000000009</v>
      </c>
      <c r="S61" s="163">
        <f t="shared" si="21"/>
        <v>67803.500000000015</v>
      </c>
      <c r="T61" s="163">
        <f t="shared" si="22"/>
        <v>68421.900000000009</v>
      </c>
      <c r="U61" s="163">
        <f t="shared" si="22"/>
        <v>69007.000000000015</v>
      </c>
      <c r="V61" s="163">
        <f t="shared" si="22"/>
        <v>69480.500000000015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</row>
    <row r="62" spans="2:39" x14ac:dyDescent="0.3">
      <c r="B62" s="754"/>
      <c r="C62" s="18" t="s">
        <v>28</v>
      </c>
      <c r="D62" s="163">
        <f>D23+Agosto23!AF59</f>
        <v>87694.07</v>
      </c>
      <c r="E62" s="164">
        <f t="shared" si="19"/>
        <v>88083.47</v>
      </c>
      <c r="F62" s="164">
        <f t="shared" si="19"/>
        <v>88564.07</v>
      </c>
      <c r="G62" s="165">
        <v>87693.64</v>
      </c>
      <c r="H62" s="166">
        <v>87903.16</v>
      </c>
      <c r="I62" s="163">
        <f t="shared" si="20"/>
        <v>88242.96</v>
      </c>
      <c r="J62" s="163">
        <f t="shared" si="20"/>
        <v>88609.760000000009</v>
      </c>
      <c r="K62" s="163">
        <f>J62+K23</f>
        <v>89045.560000000012</v>
      </c>
      <c r="L62" s="163">
        <f t="shared" si="20"/>
        <v>89395.560000000012</v>
      </c>
      <c r="M62" s="163">
        <f t="shared" si="21"/>
        <v>89741.260000000009</v>
      </c>
      <c r="N62" s="163">
        <f t="shared" si="21"/>
        <v>90254.46</v>
      </c>
      <c r="O62" s="163">
        <f>N62+O20</f>
        <v>90795.96</v>
      </c>
      <c r="P62" s="163">
        <f t="shared" si="21"/>
        <v>91220.86</v>
      </c>
      <c r="Q62" s="163">
        <f t="shared" si="21"/>
        <v>91692.36</v>
      </c>
      <c r="R62" s="163">
        <f t="shared" si="21"/>
        <v>92142.96</v>
      </c>
      <c r="S62" s="163">
        <f t="shared" si="21"/>
        <v>92641.560000000012</v>
      </c>
      <c r="T62" s="163">
        <f t="shared" si="22"/>
        <v>93152.760000000009</v>
      </c>
      <c r="U62" s="163">
        <f t="shared" si="22"/>
        <v>93636.260000000009</v>
      </c>
      <c r="V62" s="163">
        <f>U62+V23</f>
        <v>94032.66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</row>
    <row r="63" spans="2:39" x14ac:dyDescent="0.3">
      <c r="B63" s="754"/>
      <c r="C63" s="18" t="s">
        <v>29</v>
      </c>
      <c r="D63" s="163">
        <f>D24+Agosto23!AF60</f>
        <v>130046.39999999999</v>
      </c>
      <c r="E63" s="164">
        <f t="shared" si="19"/>
        <v>131572.5</v>
      </c>
      <c r="F63" s="164">
        <f t="shared" si="19"/>
        <v>133420.1</v>
      </c>
      <c r="G63" s="165">
        <v>130195</v>
      </c>
      <c r="H63" s="166">
        <v>130451</v>
      </c>
      <c r="I63" s="163">
        <f t="shared" si="20"/>
        <v>131761</v>
      </c>
      <c r="J63" s="163">
        <f t="shared" si="20"/>
        <v>133195.9</v>
      </c>
      <c r="K63" s="163">
        <f>J63+K24</f>
        <v>134808.19999999998</v>
      </c>
      <c r="L63" s="163">
        <f t="shared" si="20"/>
        <v>136198.19999999998</v>
      </c>
      <c r="M63" s="163">
        <f t="shared" si="21"/>
        <v>137540.29999999999</v>
      </c>
      <c r="N63" s="163">
        <f t="shared" si="21"/>
        <v>139507.19999999998</v>
      </c>
      <c r="O63" s="163">
        <f t="shared" si="21"/>
        <v>141226.29999999999</v>
      </c>
      <c r="P63" s="163">
        <f t="shared" si="21"/>
        <v>142891.79999999999</v>
      </c>
      <c r="Q63" s="163">
        <f t="shared" si="21"/>
        <v>144637.4</v>
      </c>
      <c r="R63" s="163">
        <f t="shared" si="21"/>
        <v>146380.9</v>
      </c>
      <c r="S63" s="163">
        <f t="shared" si="21"/>
        <v>148311.4</v>
      </c>
      <c r="T63" s="163">
        <f t="shared" si="22"/>
        <v>150179.69999999998</v>
      </c>
      <c r="U63" s="163">
        <f t="shared" si="22"/>
        <v>151949.49999999997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</row>
    <row r="64" spans="2:39" x14ac:dyDescent="0.3">
      <c r="B64" s="754"/>
      <c r="C64" s="18" t="s">
        <v>30</v>
      </c>
      <c r="D64" s="163">
        <f>D25+Agosto23!AF61</f>
        <v>14479.8</v>
      </c>
      <c r="E64" s="164">
        <f t="shared" si="19"/>
        <v>14861.4</v>
      </c>
      <c r="F64" s="164">
        <f t="shared" si="19"/>
        <v>15481.3</v>
      </c>
      <c r="G64" s="165">
        <v>18667</v>
      </c>
      <c r="H64" s="166">
        <v>19364</v>
      </c>
      <c r="I64" s="163">
        <f t="shared" si="20"/>
        <v>19693.400000000001</v>
      </c>
      <c r="J64" s="163">
        <f t="shared" si="20"/>
        <v>20002.600000000002</v>
      </c>
      <c r="K64" s="163">
        <f t="shared" si="20"/>
        <v>20419.2</v>
      </c>
      <c r="L64" s="163">
        <f t="shared" si="20"/>
        <v>20786</v>
      </c>
      <c r="M64" s="163">
        <f t="shared" si="21"/>
        <v>21198.7</v>
      </c>
      <c r="N64" s="163">
        <f t="shared" si="21"/>
        <v>21677.3</v>
      </c>
      <c r="O64" s="163">
        <f t="shared" si="21"/>
        <v>21960.7</v>
      </c>
      <c r="P64" s="163">
        <f t="shared" si="21"/>
        <v>22372.400000000001</v>
      </c>
      <c r="Q64" s="163">
        <f t="shared" si="21"/>
        <v>22829.600000000002</v>
      </c>
      <c r="R64" s="163">
        <f t="shared" si="21"/>
        <v>23368.000000000004</v>
      </c>
      <c r="S64" s="163">
        <f t="shared" si="21"/>
        <v>23958.000000000004</v>
      </c>
      <c r="T64" s="163">
        <f t="shared" si="22"/>
        <v>24552.200000000004</v>
      </c>
      <c r="U64" s="163">
        <f t="shared" si="22"/>
        <v>25084.600000000006</v>
      </c>
      <c r="V64" s="163">
        <f t="shared" si="22"/>
        <v>25598.800000000007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</row>
    <row r="65" spans="2:39" x14ac:dyDescent="0.3">
      <c r="B65" s="754"/>
      <c r="C65" s="18" t="s">
        <v>111</v>
      </c>
      <c r="D65" s="163">
        <f>D26+Agosto23!AF62</f>
        <v>45241.1</v>
      </c>
      <c r="E65" s="164">
        <f t="shared" si="19"/>
        <v>45241.1</v>
      </c>
      <c r="F65" s="164">
        <f t="shared" si="19"/>
        <v>45740.4</v>
      </c>
      <c r="G65" s="165">
        <v>46772</v>
      </c>
      <c r="H65" s="166">
        <v>47086</v>
      </c>
      <c r="I65" s="163">
        <f t="shared" si="20"/>
        <v>47428.9</v>
      </c>
      <c r="J65" s="163">
        <f t="shared" si="20"/>
        <v>47786.9</v>
      </c>
      <c r="K65" s="163">
        <f t="shared" si="20"/>
        <v>48217.4</v>
      </c>
      <c r="L65" s="163">
        <f t="shared" si="20"/>
        <v>48587.200000000004</v>
      </c>
      <c r="M65" s="163">
        <f t="shared" si="21"/>
        <v>48906.500000000007</v>
      </c>
      <c r="N65" s="163">
        <f t="shared" si="21"/>
        <v>49292.200000000004</v>
      </c>
      <c r="O65" s="163">
        <f t="shared" si="21"/>
        <v>49621.200000000004</v>
      </c>
      <c r="P65" s="163">
        <f t="shared" si="21"/>
        <v>50159.700000000004</v>
      </c>
      <c r="Q65" s="163">
        <f t="shared" si="21"/>
        <v>50715.8</v>
      </c>
      <c r="R65" s="163">
        <f t="shared" si="21"/>
        <v>51265.5</v>
      </c>
      <c r="S65" s="163">
        <f t="shared" si="21"/>
        <v>51746.2</v>
      </c>
      <c r="T65" s="163">
        <f t="shared" si="22"/>
        <v>52276.5</v>
      </c>
      <c r="U65" s="163">
        <f t="shared" si="22"/>
        <v>52718.5</v>
      </c>
      <c r="V65" s="163">
        <f t="shared" si="22"/>
        <v>53119.1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</row>
    <row r="66" spans="2:39" ht="15" thickBot="1" x14ac:dyDescent="0.35">
      <c r="B66" s="754"/>
      <c r="C66" s="18" t="s">
        <v>32</v>
      </c>
      <c r="D66" s="163">
        <f>D27+Agosto23!AF63</f>
        <v>9457.3000000000011</v>
      </c>
      <c r="E66" s="164">
        <f t="shared" si="19"/>
        <v>9988.3000000000011</v>
      </c>
      <c r="F66" s="164">
        <f t="shared" si="19"/>
        <v>10484.200000000001</v>
      </c>
      <c r="G66" s="165">
        <v>10779</v>
      </c>
      <c r="H66" s="166">
        <v>10940</v>
      </c>
      <c r="I66" s="163">
        <f t="shared" si="20"/>
        <v>11216.3</v>
      </c>
      <c r="J66" s="163">
        <f t="shared" si="20"/>
        <v>11581.199999999999</v>
      </c>
      <c r="K66" s="163">
        <f t="shared" si="20"/>
        <v>11952.499999999998</v>
      </c>
      <c r="L66" s="163">
        <f t="shared" si="20"/>
        <v>12259.999999999998</v>
      </c>
      <c r="M66" s="163">
        <f t="shared" si="21"/>
        <v>12515.099999999999</v>
      </c>
      <c r="N66" s="163">
        <f t="shared" si="21"/>
        <v>12932.399999999998</v>
      </c>
      <c r="O66" s="163">
        <f t="shared" si="21"/>
        <v>13240.599999999999</v>
      </c>
      <c r="P66" s="163">
        <f t="shared" si="21"/>
        <v>13654.3</v>
      </c>
      <c r="Q66" s="163">
        <f t="shared" si="21"/>
        <v>14133.699999999999</v>
      </c>
      <c r="R66" s="163">
        <f t="shared" si="21"/>
        <v>14592.9</v>
      </c>
      <c r="S66" s="163">
        <f t="shared" si="21"/>
        <v>15021.1</v>
      </c>
      <c r="T66" s="163">
        <f t="shared" si="22"/>
        <v>15467.2</v>
      </c>
      <c r="U66" s="163">
        <f t="shared" si="22"/>
        <v>15862</v>
      </c>
      <c r="V66" s="163">
        <f t="shared" si="22"/>
        <v>16257.6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</row>
    <row r="67" spans="2:39" x14ac:dyDescent="0.3">
      <c r="B67" s="754"/>
      <c r="C67" s="18" t="s">
        <v>112</v>
      </c>
      <c r="D67" s="163">
        <f>D29+Agosto23!AF64</f>
        <v>18923.399999999998</v>
      </c>
      <c r="E67" s="164">
        <f>D67+E29</f>
        <v>19401.899999999998</v>
      </c>
      <c r="F67" s="164">
        <f>E67+F29</f>
        <v>19878.3</v>
      </c>
      <c r="G67" s="165">
        <v>20520.400000000001</v>
      </c>
      <c r="H67" s="166">
        <v>20739</v>
      </c>
      <c r="I67" s="163">
        <f t="shared" ref="I67:V67" si="23">H67+I29</f>
        <v>21002.5</v>
      </c>
      <c r="J67" s="163">
        <f t="shared" si="23"/>
        <v>21326.2</v>
      </c>
      <c r="K67" s="163">
        <f t="shared" si="23"/>
        <v>21649.4</v>
      </c>
      <c r="L67" s="163">
        <f t="shared" si="23"/>
        <v>21939</v>
      </c>
      <c r="M67" s="163">
        <f t="shared" si="23"/>
        <v>22187.1</v>
      </c>
      <c r="N67" s="163">
        <f t="shared" si="23"/>
        <v>22602.5</v>
      </c>
      <c r="O67" s="163">
        <f t="shared" si="23"/>
        <v>22884.5</v>
      </c>
      <c r="P67" s="163">
        <f t="shared" si="23"/>
        <v>23232.9</v>
      </c>
      <c r="Q67" s="163">
        <f t="shared" si="23"/>
        <v>23669.4</v>
      </c>
      <c r="R67" s="163">
        <f t="shared" si="23"/>
        <v>24109</v>
      </c>
      <c r="S67" s="163">
        <f t="shared" si="23"/>
        <v>24524.799999999999</v>
      </c>
      <c r="T67" s="163">
        <f t="shared" si="23"/>
        <v>24894.799999999999</v>
      </c>
      <c r="U67" s="163">
        <f t="shared" si="23"/>
        <v>25147.1</v>
      </c>
      <c r="V67" s="163">
        <f t="shared" si="23"/>
        <v>25400.799999999999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9" x14ac:dyDescent="0.3">
      <c r="B68" s="756" t="s">
        <v>196</v>
      </c>
      <c r="C68" s="756"/>
      <c r="D68" s="756"/>
      <c r="E68" s="756"/>
    </row>
    <row r="69" spans="2:39" x14ac:dyDescent="0.3">
      <c r="B69" s="757" t="s">
        <v>132</v>
      </c>
      <c r="C69" s="757"/>
      <c r="D69" s="757"/>
      <c r="E69" s="757"/>
    </row>
  </sheetData>
  <mergeCells count="14">
    <mergeCell ref="B32:C32"/>
    <mergeCell ref="B4:C4"/>
    <mergeCell ref="B5:B12"/>
    <mergeCell ref="B13:B16"/>
    <mergeCell ref="B17:B29"/>
    <mergeCell ref="B30:B31"/>
    <mergeCell ref="B68:E68"/>
    <mergeCell ref="B69:E69"/>
    <mergeCell ref="AE34:AG34"/>
    <mergeCell ref="AE35:AG35"/>
    <mergeCell ref="AE36:AG36"/>
    <mergeCell ref="B44:B51"/>
    <mergeCell ref="B52:B55"/>
    <mergeCell ref="B56:B67"/>
  </mergeCells>
  <conditionalFormatting sqref="AL5:BO31">
    <cfRule type="cellIs" dxfId="129" priority="2" operator="equal">
      <formula>"VAZIO"</formula>
    </cfRule>
  </conditionalFormatting>
  <conditionalFormatting sqref="AL5:BP31">
    <cfRule type="expression" dxfId="128" priority="6">
      <formula>AL5&gt;$BQ5</formula>
    </cfRule>
    <cfRule type="expression" dxfId="127" priority="7">
      <formula>AL5&lt;($BQ5-0.01)</formula>
    </cfRule>
  </conditionalFormatting>
  <conditionalFormatting sqref="AM8:BO8 BJ9 AM16:BO16 BG17 AM24:BO25">
    <cfRule type="cellIs" dxfId="126" priority="3" operator="equal">
      <formula>"""VAZIO"""</formula>
    </cfRule>
  </conditionalFormatting>
  <conditionalFormatting sqref="AP5:BO31">
    <cfRule type="expression" dxfId="125" priority="1">
      <formula>AP5=0</formula>
    </cfRule>
  </conditionalFormatting>
  <conditionalFormatting sqref="BT5:BT31">
    <cfRule type="cellIs" dxfId="124" priority="4" operator="greaterThan">
      <formula>0</formula>
    </cfRule>
    <cfRule type="cellIs" dxfId="123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6564F-D033-400D-B083-97F3329D5A7A}">
  <dimension ref="B3:BW69"/>
  <sheetViews>
    <sheetView zoomScaleNormal="100" workbookViewId="0">
      <pane xSplit="3" ySplit="4" topLeftCell="AE15" activePane="bottomRight" state="frozen"/>
      <selection pane="topRight" activeCell="D1" sqref="D1"/>
      <selection pane="bottomLeft" activeCell="A5" sqref="A5"/>
      <selection pane="bottomRight" activeCell="AL32" sqref="AL32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23" width="16.44140625" customWidth="1"/>
    <col min="24" max="24" width="17.109375" customWidth="1"/>
    <col min="25" max="25" width="17.5546875" customWidth="1"/>
    <col min="26" max="26" width="16.44140625" customWidth="1"/>
    <col min="27" max="27" width="18.109375" customWidth="1"/>
    <col min="28" max="28" width="17.33203125" customWidth="1"/>
    <col min="29" max="29" width="18.88671875" customWidth="1"/>
    <col min="30" max="31" width="18.33203125" customWidth="1"/>
    <col min="32" max="32" width="17.6640625" customWidth="1"/>
    <col min="33" max="33" width="17.88671875" customWidth="1"/>
    <col min="34" max="34" width="19.6640625" customWidth="1"/>
    <col min="35" max="35" width="15.6640625" customWidth="1"/>
    <col min="36" max="36" width="15.88671875" hidden="1" customWidth="1"/>
    <col min="37" max="66" width="11.88671875" customWidth="1"/>
    <col min="67" max="67" width="17.6640625" customWidth="1"/>
    <col min="68" max="68" width="14.33203125" customWidth="1"/>
    <col min="69" max="69" width="20.5546875" customWidth="1"/>
    <col min="70" max="70" width="17.5546875" customWidth="1"/>
    <col min="71" max="71" width="19" customWidth="1"/>
    <col min="72" max="72" width="18.88671875" customWidth="1"/>
    <col min="73" max="73" width="15.109375" customWidth="1"/>
  </cols>
  <sheetData>
    <row r="3" spans="2:75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</row>
    <row r="4" spans="2:75" ht="44.25" customHeight="1" thickBot="1" x14ac:dyDescent="0.35">
      <c r="B4" s="768" t="s">
        <v>133</v>
      </c>
      <c r="C4" s="769"/>
      <c r="D4" s="343" t="s">
        <v>472</v>
      </c>
      <c r="E4" s="344" t="s">
        <v>473</v>
      </c>
      <c r="F4" s="344" t="s">
        <v>474</v>
      </c>
      <c r="G4" s="344" t="s">
        <v>475</v>
      </c>
      <c r="H4" s="344" t="s">
        <v>476</v>
      </c>
      <c r="I4" s="344" t="s">
        <v>477</v>
      </c>
      <c r="J4" s="344" t="s">
        <v>478</v>
      </c>
      <c r="K4" s="344" t="s">
        <v>479</v>
      </c>
      <c r="L4" s="344" t="s">
        <v>480</v>
      </c>
      <c r="M4" s="344" t="s">
        <v>481</v>
      </c>
      <c r="N4" s="344" t="s">
        <v>482</v>
      </c>
      <c r="O4" s="344" t="s">
        <v>483</v>
      </c>
      <c r="P4" s="344" t="s">
        <v>484</v>
      </c>
      <c r="Q4" s="344" t="s">
        <v>485</v>
      </c>
      <c r="R4" s="344" t="s">
        <v>486</v>
      </c>
      <c r="S4" s="344" t="s">
        <v>487</v>
      </c>
      <c r="T4" s="344" t="s">
        <v>488</v>
      </c>
      <c r="U4" s="344" t="s">
        <v>489</v>
      </c>
      <c r="V4" s="344" t="s">
        <v>490</v>
      </c>
      <c r="W4" s="344" t="s">
        <v>491</v>
      </c>
      <c r="X4" s="344" t="s">
        <v>492</v>
      </c>
      <c r="Y4" s="344" t="s">
        <v>493</v>
      </c>
      <c r="Z4" s="344" t="s">
        <v>494</v>
      </c>
      <c r="AA4" s="344" t="s">
        <v>495</v>
      </c>
      <c r="AB4" s="344" t="s">
        <v>496</v>
      </c>
      <c r="AC4" s="344" t="s">
        <v>497</v>
      </c>
      <c r="AD4" s="344" t="s">
        <v>498</v>
      </c>
      <c r="AE4" s="344" t="s">
        <v>499</v>
      </c>
      <c r="AF4" s="344" t="s">
        <v>500</v>
      </c>
      <c r="AG4" s="345" t="s">
        <v>501</v>
      </c>
      <c r="AH4" s="346" t="s">
        <v>69</v>
      </c>
      <c r="AI4" s="346" t="s">
        <v>2</v>
      </c>
      <c r="AJ4" s="347" t="s">
        <v>70</v>
      </c>
      <c r="AK4" s="348" t="s">
        <v>228</v>
      </c>
      <c r="AL4" s="349" t="s">
        <v>229</v>
      </c>
      <c r="AM4" s="349" t="s">
        <v>230</v>
      </c>
      <c r="AN4" s="349" t="s">
        <v>231</v>
      </c>
      <c r="AO4" s="349" t="s">
        <v>232</v>
      </c>
      <c r="AP4" s="349" t="s">
        <v>233</v>
      </c>
      <c r="AQ4" s="349" t="s">
        <v>234</v>
      </c>
      <c r="AR4" s="349" t="s">
        <v>235</v>
      </c>
      <c r="AS4" s="349" t="s">
        <v>236</v>
      </c>
      <c r="AT4" s="349" t="s">
        <v>236</v>
      </c>
      <c r="AU4" s="349" t="s">
        <v>237</v>
      </c>
      <c r="AV4" s="349" t="s">
        <v>238</v>
      </c>
      <c r="AW4" s="349" t="s">
        <v>239</v>
      </c>
      <c r="AX4" s="349" t="s">
        <v>240</v>
      </c>
      <c r="AY4" s="349" t="s">
        <v>241</v>
      </c>
      <c r="AZ4" s="349" t="s">
        <v>242</v>
      </c>
      <c r="BA4" s="349" t="s">
        <v>243</v>
      </c>
      <c r="BB4" s="349" t="s">
        <v>244</v>
      </c>
      <c r="BC4" s="349" t="s">
        <v>245</v>
      </c>
      <c r="BD4" s="349" t="s">
        <v>246</v>
      </c>
      <c r="BE4" s="349" t="s">
        <v>247</v>
      </c>
      <c r="BF4" s="349" t="s">
        <v>248</v>
      </c>
      <c r="BG4" s="349" t="s">
        <v>249</v>
      </c>
      <c r="BH4" s="349" t="s">
        <v>250</v>
      </c>
      <c r="BI4" s="349" t="s">
        <v>251</v>
      </c>
      <c r="BJ4" s="349" t="s">
        <v>252</v>
      </c>
      <c r="BK4" s="349" t="s">
        <v>253</v>
      </c>
      <c r="BL4" s="349" t="s">
        <v>254</v>
      </c>
      <c r="BM4" s="349" t="s">
        <v>255</v>
      </c>
      <c r="BN4" s="349" t="s">
        <v>256</v>
      </c>
      <c r="BO4" s="350" t="s">
        <v>102</v>
      </c>
      <c r="BP4" s="343" t="s">
        <v>103</v>
      </c>
      <c r="BQ4" s="351" t="s">
        <v>104</v>
      </c>
      <c r="BR4" s="352" t="s">
        <v>105</v>
      </c>
      <c r="BS4" s="353" t="s">
        <v>106</v>
      </c>
      <c r="BU4" s="3"/>
      <c r="BV4" s="2"/>
      <c r="BW4" s="2"/>
    </row>
    <row r="5" spans="2:75" x14ac:dyDescent="0.3">
      <c r="B5" s="770" t="s">
        <v>6</v>
      </c>
      <c r="C5" s="328" t="s">
        <v>7</v>
      </c>
      <c r="D5" s="330">
        <v>57.4</v>
      </c>
      <c r="E5" s="103">
        <v>37.6</v>
      </c>
      <c r="F5" s="103">
        <v>56</v>
      </c>
      <c r="G5" s="103">
        <v>44</v>
      </c>
      <c r="H5" s="103">
        <v>39.299999999999997</v>
      </c>
      <c r="I5" s="331">
        <v>54.7</v>
      </c>
      <c r="J5" s="103">
        <v>49.2</v>
      </c>
      <c r="K5" s="103">
        <v>47.6</v>
      </c>
      <c r="L5" s="103">
        <v>35.700000000000003</v>
      </c>
      <c r="M5" s="103">
        <v>54.8</v>
      </c>
      <c r="N5" s="283">
        <v>53.6</v>
      </c>
      <c r="O5" s="103">
        <v>41.2</v>
      </c>
      <c r="P5" s="103">
        <v>39.299999999999997</v>
      </c>
      <c r="Q5" s="331">
        <v>42</v>
      </c>
      <c r="R5" s="103">
        <v>42.9</v>
      </c>
      <c r="S5" s="103">
        <v>45.3</v>
      </c>
      <c r="T5" s="103">
        <v>44.3</v>
      </c>
      <c r="U5" s="103">
        <v>14.9</v>
      </c>
      <c r="V5" s="103">
        <v>22.3</v>
      </c>
      <c r="W5" s="331">
        <v>39.6</v>
      </c>
      <c r="X5" s="103">
        <v>43.6</v>
      </c>
      <c r="Y5" s="103">
        <v>55.4</v>
      </c>
      <c r="Z5" s="104">
        <v>48.3</v>
      </c>
      <c r="AA5" s="332">
        <v>52.8</v>
      </c>
      <c r="AB5" s="333">
        <v>46.1</v>
      </c>
      <c r="AC5" s="104">
        <v>32.4</v>
      </c>
      <c r="AD5" s="104">
        <v>44.1</v>
      </c>
      <c r="AE5" s="104">
        <v>44.4</v>
      </c>
      <c r="AF5" s="104">
        <v>48.8</v>
      </c>
      <c r="AG5" s="104">
        <v>54</v>
      </c>
      <c r="AH5" s="335">
        <f t="shared" ref="AH5:AH31" si="0">SUM(D5:AG5)</f>
        <v>1331.5999999999997</v>
      </c>
      <c r="AI5" s="160">
        <v>12</v>
      </c>
      <c r="AJ5" s="336">
        <f t="shared" ref="AJ5:AJ11" si="1">F5/(AI5*432)</f>
        <v>1.0802469135802469E-2</v>
      </c>
      <c r="AK5" s="337">
        <f t="shared" ref="AK5:AT8" si="2">IF(OR(D5="",D5="Sem monitoramento"),"VAZIO",IFERROR(D5/($AI5*24),"-"))</f>
        <v>0.19930555555555554</v>
      </c>
      <c r="AL5" s="338">
        <f t="shared" si="2"/>
        <v>0.13055555555555556</v>
      </c>
      <c r="AM5" s="338">
        <f t="shared" si="2"/>
        <v>0.19444444444444445</v>
      </c>
      <c r="AN5" s="338">
        <f t="shared" si="2"/>
        <v>0.15277777777777779</v>
      </c>
      <c r="AO5" s="338">
        <f t="shared" si="2"/>
        <v>0.13645833333333332</v>
      </c>
      <c r="AP5" s="338">
        <f t="shared" si="2"/>
        <v>0.18993055555555557</v>
      </c>
      <c r="AQ5" s="338">
        <f t="shared" si="2"/>
        <v>0.17083333333333334</v>
      </c>
      <c r="AR5" s="338">
        <f t="shared" si="2"/>
        <v>0.16527777777777777</v>
      </c>
      <c r="AS5" s="338">
        <f t="shared" si="2"/>
        <v>0.12395833333333334</v>
      </c>
      <c r="AT5" s="338">
        <f t="shared" si="2"/>
        <v>0.19027777777777777</v>
      </c>
      <c r="AU5" s="338">
        <f t="shared" ref="AU5:BD8" si="3">IF(OR(N5="",N5="Sem monitoramento"),"VAZIO",IFERROR(N5/($AI5*24),"-"))</f>
        <v>0.18611111111111112</v>
      </c>
      <c r="AV5" s="338">
        <f t="shared" si="3"/>
        <v>0.14305555555555557</v>
      </c>
      <c r="AW5" s="338">
        <f t="shared" si="3"/>
        <v>0.13645833333333332</v>
      </c>
      <c r="AX5" s="338">
        <f t="shared" si="3"/>
        <v>0.14583333333333334</v>
      </c>
      <c r="AY5" s="338">
        <f t="shared" si="3"/>
        <v>0.14895833333333333</v>
      </c>
      <c r="AZ5" s="338">
        <f t="shared" si="3"/>
        <v>0.15729166666666666</v>
      </c>
      <c r="BA5" s="338">
        <f t="shared" si="3"/>
        <v>0.15381944444444443</v>
      </c>
      <c r="BB5" s="338">
        <f t="shared" si="3"/>
        <v>5.1736111111111115E-2</v>
      </c>
      <c r="BC5" s="338">
        <f t="shared" si="3"/>
        <v>7.7430555555555558E-2</v>
      </c>
      <c r="BD5" s="338">
        <f t="shared" si="3"/>
        <v>0.13750000000000001</v>
      </c>
      <c r="BE5" s="338">
        <f t="shared" ref="BE5:BI8" si="4">IF(OR(X5="",X5="Sem monitoramento"),"VAZIO",IFERROR(X5/($AI5*24),"-"))</f>
        <v>0.15138888888888891</v>
      </c>
      <c r="BF5" s="338">
        <f t="shared" si="4"/>
        <v>0.19236111111111109</v>
      </c>
      <c r="BG5" s="338">
        <f t="shared" si="4"/>
        <v>0.16770833333333332</v>
      </c>
      <c r="BH5" s="338">
        <f t="shared" si="4"/>
        <v>0.18333333333333332</v>
      </c>
      <c r="BI5" s="338">
        <f t="shared" si="4"/>
        <v>0.16006944444444446</v>
      </c>
      <c r="BJ5" s="338" t="e">
        <f>IF(OR(#REF!="",#REF!="Sem monitoramento"),"VAZIO",IFERROR(#REF!/($AI5*24),"-"))</f>
        <v>#REF!</v>
      </c>
      <c r="BK5" s="338">
        <f t="shared" ref="BK5:BN6" si="5">IF(OR(AD5="",AD5="Sem monitoramento"),"VAZIO",IFERROR(AD5/($AI5*24),"-"))</f>
        <v>0.15312500000000001</v>
      </c>
      <c r="BL5" s="338">
        <f t="shared" si="5"/>
        <v>0.15416666666666667</v>
      </c>
      <c r="BM5" s="338">
        <f t="shared" si="5"/>
        <v>0.16944444444444443</v>
      </c>
      <c r="BN5" s="338">
        <f t="shared" si="5"/>
        <v>0.1875</v>
      </c>
      <c r="BO5" s="339">
        <f t="shared" ref="BO5:BO31" si="6">AH5/(AI5*(COUNTA(D5:AG5)*24))</f>
        <v>0.15412037037037032</v>
      </c>
      <c r="BP5" s="180">
        <f>'FCs estimados em PVsyst'!Y3</f>
        <v>0.1804398148148148</v>
      </c>
      <c r="BQ5" s="340">
        <f t="shared" ref="BQ5:BQ11" si="7">AI5*BP5</f>
        <v>2.1652777777777779</v>
      </c>
      <c r="BR5" s="341">
        <f t="shared" ref="BR5:BR11" si="8">AM5-BP5</f>
        <v>1.4004629629629645E-2</v>
      </c>
      <c r="BS5" s="342">
        <f t="shared" ref="BS5:BS30" si="9">BO5-BP5</f>
        <v>-2.6319444444444479E-2</v>
      </c>
      <c r="BT5" s="15" t="s">
        <v>7</v>
      </c>
      <c r="BU5" s="75" t="s">
        <v>107</v>
      </c>
      <c r="BV5" s="7">
        <f>COUNTIF(BS5:BS29,"&gt;0")</f>
        <v>11</v>
      </c>
      <c r="BW5" s="2"/>
    </row>
    <row r="6" spans="2:75" x14ac:dyDescent="0.3">
      <c r="B6" s="771"/>
      <c r="C6" s="325" t="s">
        <v>8</v>
      </c>
      <c r="D6" s="62">
        <f>248.9+61.1</f>
        <v>310</v>
      </c>
      <c r="E6" s="63">
        <f>166.66+41.1</f>
        <v>207.76</v>
      </c>
      <c r="F6" s="63">
        <f>261+63.6</f>
        <v>324.60000000000002</v>
      </c>
      <c r="G6" s="63">
        <v>46.8</v>
      </c>
      <c r="H6" s="63">
        <f>57.7+236.1</f>
        <v>293.8</v>
      </c>
      <c r="I6" s="283">
        <f>244.3+59.5</f>
        <v>303.8</v>
      </c>
      <c r="J6" s="63">
        <f>45.9+188.8</f>
        <v>234.70000000000002</v>
      </c>
      <c r="K6" s="63">
        <f>60.6+248</f>
        <v>308.60000000000002</v>
      </c>
      <c r="L6" s="63">
        <f>182.9+44.2</f>
        <v>227.10000000000002</v>
      </c>
      <c r="M6" s="63">
        <f>65.7+273.5</f>
        <v>339.2</v>
      </c>
      <c r="N6" s="283">
        <f>60.6+252.7</f>
        <v>313.3</v>
      </c>
      <c r="O6" s="63">
        <f>197.7+47.7</f>
        <v>245.39999999999998</v>
      </c>
      <c r="P6" s="63">
        <f>167.9+40.1</f>
        <v>208</v>
      </c>
      <c r="Q6" s="283">
        <f>201.7+40</f>
        <v>241.7</v>
      </c>
      <c r="R6" s="63">
        <v>250</v>
      </c>
      <c r="S6" s="63">
        <f>43.7+182.7</f>
        <v>226.39999999999998</v>
      </c>
      <c r="T6" s="63">
        <f>53.1+223.8</f>
        <v>276.90000000000003</v>
      </c>
      <c r="U6" s="63">
        <f>14.8+59.14</f>
        <v>73.94</v>
      </c>
      <c r="V6" s="63">
        <f>107.1+25.9</f>
        <v>133</v>
      </c>
      <c r="W6" s="283">
        <f>174.3+42.1</f>
        <v>216.4</v>
      </c>
      <c r="X6" s="63">
        <f>188.44+45.2</f>
        <v>233.64</v>
      </c>
      <c r="Y6" s="63">
        <f>68.2+282.4</f>
        <v>350.59999999999997</v>
      </c>
      <c r="Z6" s="15">
        <f>218.2+52.2</f>
        <v>270.39999999999998</v>
      </c>
      <c r="AA6" s="18">
        <f>64.7+268</f>
        <v>332.7</v>
      </c>
      <c r="AB6" s="20">
        <f>246.2+58.5</f>
        <v>304.7</v>
      </c>
      <c r="AC6" s="31">
        <f>33.9+140</f>
        <v>173.9</v>
      </c>
      <c r="AD6" s="15">
        <f>220.8+36</f>
        <v>256.8</v>
      </c>
      <c r="AE6" s="15">
        <f>221.2+53.4</f>
        <v>274.59999999999997</v>
      </c>
      <c r="AF6" s="15">
        <f>57+235.8</f>
        <v>292.8</v>
      </c>
      <c r="AG6" s="15">
        <v>280</v>
      </c>
      <c r="AH6" s="290">
        <f t="shared" si="0"/>
        <v>7551.5399999999991</v>
      </c>
      <c r="AI6" s="118">
        <v>67</v>
      </c>
      <c r="AJ6" s="121">
        <f t="shared" si="1"/>
        <v>1.1214759535655058E-2</v>
      </c>
      <c r="AK6" s="67">
        <f t="shared" si="2"/>
        <v>0.1927860696517413</v>
      </c>
      <c r="AL6" s="68">
        <f t="shared" si="2"/>
        <v>0.12920398009950249</v>
      </c>
      <c r="AM6" s="68">
        <f t="shared" si="2"/>
        <v>0.20186567164179106</v>
      </c>
      <c r="AN6" s="68">
        <f t="shared" si="2"/>
        <v>2.9104477611940297E-2</v>
      </c>
      <c r="AO6" s="68">
        <f t="shared" si="2"/>
        <v>0.18271144278606966</v>
      </c>
      <c r="AP6" s="68">
        <f t="shared" si="2"/>
        <v>0.18893034825870647</v>
      </c>
      <c r="AQ6" s="68">
        <f t="shared" si="2"/>
        <v>0.14595771144278608</v>
      </c>
      <c r="AR6" s="68">
        <f t="shared" si="2"/>
        <v>0.19191542288557215</v>
      </c>
      <c r="AS6" s="68">
        <f t="shared" si="2"/>
        <v>0.14123134328358211</v>
      </c>
      <c r="AT6" s="68">
        <f t="shared" si="2"/>
        <v>0.21094527363184079</v>
      </c>
      <c r="AU6" s="68">
        <f t="shared" si="3"/>
        <v>0.19483830845771144</v>
      </c>
      <c r="AV6" s="68">
        <f t="shared" si="3"/>
        <v>0.15261194029850744</v>
      </c>
      <c r="AW6" s="68">
        <f t="shared" si="3"/>
        <v>0.12935323383084577</v>
      </c>
      <c r="AX6" s="68">
        <f t="shared" si="3"/>
        <v>0.15031094527363184</v>
      </c>
      <c r="AY6" s="68">
        <f t="shared" si="3"/>
        <v>0.15547263681592038</v>
      </c>
      <c r="AZ6" s="68">
        <f t="shared" si="3"/>
        <v>0.1407960199004975</v>
      </c>
      <c r="BA6" s="68">
        <f t="shared" si="3"/>
        <v>0.17220149253731346</v>
      </c>
      <c r="BB6" s="68">
        <f t="shared" si="3"/>
        <v>4.5982587064676617E-2</v>
      </c>
      <c r="BC6" s="68">
        <f t="shared" si="3"/>
        <v>8.271144278606965E-2</v>
      </c>
      <c r="BD6" s="68">
        <f t="shared" si="3"/>
        <v>0.13457711442786069</v>
      </c>
      <c r="BE6" s="68">
        <f t="shared" si="4"/>
        <v>0.14529850746268655</v>
      </c>
      <c r="BF6" s="68">
        <f t="shared" si="4"/>
        <v>0.21803482587064674</v>
      </c>
      <c r="BG6" s="68">
        <f t="shared" si="4"/>
        <v>0.16815920398009948</v>
      </c>
      <c r="BH6" s="68">
        <f t="shared" si="4"/>
        <v>0.20690298507462687</v>
      </c>
      <c r="BI6" s="68">
        <f t="shared" si="4"/>
        <v>0.18949004975124378</v>
      </c>
      <c r="BJ6" s="68">
        <f>IF(OR(AC5="",AC5="Sem monitoramento"),"VAZIO",IFERROR(AC5/($AI6*24),"-"))</f>
        <v>2.0149253731343283E-2</v>
      </c>
      <c r="BK6" s="68">
        <f t="shared" si="5"/>
        <v>0.15970149253731344</v>
      </c>
      <c r="BL6" s="68">
        <f t="shared" si="5"/>
        <v>0.17077114427860696</v>
      </c>
      <c r="BM6" s="68">
        <f t="shared" si="5"/>
        <v>0.18208955223880599</v>
      </c>
      <c r="BN6" s="68">
        <f t="shared" si="5"/>
        <v>0.17412935323383086</v>
      </c>
      <c r="BO6" s="70">
        <f t="shared" si="6"/>
        <v>0.15654104477611938</v>
      </c>
      <c r="BP6" s="180">
        <f>'FCs estimados em PVsyst'!Y4</f>
        <v>0.1868988391376451</v>
      </c>
      <c r="BQ6" s="72">
        <f t="shared" si="7"/>
        <v>12.522222222222222</v>
      </c>
      <c r="BR6" s="73">
        <f t="shared" si="8"/>
        <v>1.496683250414596E-2</v>
      </c>
      <c r="BS6" s="74">
        <f t="shared" si="9"/>
        <v>-3.035779436152572E-2</v>
      </c>
      <c r="BT6" s="15" t="s">
        <v>8</v>
      </c>
      <c r="BU6" s="77" t="s">
        <v>108</v>
      </c>
      <c r="BV6" s="78">
        <f>(COUNTA(BT5:BT29)-BV5-BV7)</f>
        <v>4</v>
      </c>
      <c r="BW6" s="2"/>
    </row>
    <row r="7" spans="2:75" x14ac:dyDescent="0.3">
      <c r="B7" s="771"/>
      <c r="C7" s="326" t="s">
        <v>9</v>
      </c>
      <c r="D7" s="62">
        <v>247.6</v>
      </c>
      <c r="E7" s="63">
        <v>168.2</v>
      </c>
      <c r="F7" s="63">
        <v>245.8</v>
      </c>
      <c r="G7" s="63">
        <v>200.9</v>
      </c>
      <c r="H7" s="63">
        <v>252</v>
      </c>
      <c r="I7" s="283">
        <v>231.6</v>
      </c>
      <c r="J7" s="63">
        <v>210.4</v>
      </c>
      <c r="K7" s="63">
        <v>207.6</v>
      </c>
      <c r="L7" s="283">
        <v>159</v>
      </c>
      <c r="M7" s="283">
        <v>237.8</v>
      </c>
      <c r="N7" s="283">
        <v>233.6</v>
      </c>
      <c r="O7" s="360">
        <v>172.8</v>
      </c>
      <c r="P7" s="283">
        <v>175.1</v>
      </c>
      <c r="Q7" s="283">
        <v>183.7</v>
      </c>
      <c r="R7" s="283">
        <v>197.6</v>
      </c>
      <c r="S7" s="283">
        <v>195.8</v>
      </c>
      <c r="T7" s="283">
        <v>182.3</v>
      </c>
      <c r="U7" s="63">
        <v>63.3</v>
      </c>
      <c r="V7" s="283">
        <v>97</v>
      </c>
      <c r="W7" s="283">
        <v>179.7</v>
      </c>
      <c r="X7" s="283">
        <v>182.8</v>
      </c>
      <c r="Y7" s="283">
        <v>248.9</v>
      </c>
      <c r="Z7" s="15">
        <v>196.3</v>
      </c>
      <c r="AA7" s="18">
        <v>243.6</v>
      </c>
      <c r="AB7" s="366">
        <v>36.6</v>
      </c>
      <c r="AC7" s="354">
        <v>72.900000000000006</v>
      </c>
      <c r="AD7" s="354">
        <v>0</v>
      </c>
      <c r="AE7" s="354">
        <v>0</v>
      </c>
      <c r="AF7" s="354">
        <v>50.9</v>
      </c>
      <c r="AG7" s="15">
        <v>249</v>
      </c>
      <c r="AH7" s="290">
        <f t="shared" si="0"/>
        <v>5122.8</v>
      </c>
      <c r="AI7" s="118">
        <v>49</v>
      </c>
      <c r="AJ7" s="121">
        <f t="shared" si="1"/>
        <v>1.1611866969009827E-2</v>
      </c>
      <c r="AK7" s="67">
        <f t="shared" si="2"/>
        <v>0.21054421768707482</v>
      </c>
      <c r="AL7" s="68">
        <f t="shared" si="2"/>
        <v>0.14302721088435374</v>
      </c>
      <c r="AM7" s="68">
        <f t="shared" si="2"/>
        <v>0.20901360544217687</v>
      </c>
      <c r="AN7" s="68">
        <f t="shared" si="2"/>
        <v>0.17083333333333334</v>
      </c>
      <c r="AO7" s="68">
        <f t="shared" si="2"/>
        <v>0.21428571428571427</v>
      </c>
      <c r="AP7" s="68">
        <f t="shared" si="2"/>
        <v>0.19693877551020408</v>
      </c>
      <c r="AQ7" s="68">
        <f t="shared" si="2"/>
        <v>0.17891156462585034</v>
      </c>
      <c r="AR7" s="68">
        <f t="shared" si="2"/>
        <v>0.17653061224489797</v>
      </c>
      <c r="AS7" s="68">
        <f t="shared" si="2"/>
        <v>0.13520408163265307</v>
      </c>
      <c r="AT7" s="68">
        <f t="shared" si="2"/>
        <v>0.20221088435374152</v>
      </c>
      <c r="AU7" s="68">
        <f t="shared" si="3"/>
        <v>0.19863945578231293</v>
      </c>
      <c r="AV7" s="68">
        <f t="shared" si="3"/>
        <v>0.14693877551020409</v>
      </c>
      <c r="AW7" s="68">
        <f t="shared" si="3"/>
        <v>0.14889455782312924</v>
      </c>
      <c r="AX7" s="68">
        <f t="shared" si="3"/>
        <v>0.15620748299319728</v>
      </c>
      <c r="AY7" s="68">
        <f t="shared" si="3"/>
        <v>0.16802721088435374</v>
      </c>
      <c r="AZ7" s="68">
        <f t="shared" si="3"/>
        <v>0.16649659863945579</v>
      </c>
      <c r="BA7" s="68">
        <f t="shared" si="3"/>
        <v>0.1550170068027211</v>
      </c>
      <c r="BB7" s="68">
        <f t="shared" si="3"/>
        <v>5.3826530612244898E-2</v>
      </c>
      <c r="BC7" s="68">
        <f t="shared" si="3"/>
        <v>8.2482993197278906E-2</v>
      </c>
      <c r="BD7" s="68">
        <f t="shared" si="3"/>
        <v>0.15280612244897959</v>
      </c>
      <c r="BE7" s="68">
        <f t="shared" si="4"/>
        <v>0.15544217687074832</v>
      </c>
      <c r="BF7" s="68">
        <f t="shared" si="4"/>
        <v>0.21164965986394557</v>
      </c>
      <c r="BG7" s="68">
        <f t="shared" si="4"/>
        <v>0.16692176870748301</v>
      </c>
      <c r="BH7" s="68">
        <f t="shared" si="4"/>
        <v>0.20714285714285713</v>
      </c>
      <c r="BI7" s="68">
        <f t="shared" si="4"/>
        <v>3.1122448979591839E-2</v>
      </c>
      <c r="BJ7" s="68" t="e">
        <f>IF(OR(#REF!="",#REF!="Sem monitoramento"),"VAZIO",IFERROR(#REF!/($AI7*24),"-"))</f>
        <v>#REF!</v>
      </c>
      <c r="BK7" s="68">
        <f t="shared" ref="BK7:BK31" si="10">IF(OR(AD7="",AD7="Sem monitoramento"),"VAZIO",IFERROR(AD7/($AI7*24),"-"))</f>
        <v>0</v>
      </c>
      <c r="BL7" s="68">
        <f t="shared" ref="BL7:BL31" si="11">IF(OR(AE7="",AE7="Sem monitoramento"),"VAZIO",IFERROR(AE7/($AI7*24),"-"))</f>
        <v>0</v>
      </c>
      <c r="BM7" s="68">
        <f t="shared" ref="BM7:BM31" si="12">IF(OR(AF7="",AF7="Sem monitoramento"),"VAZIO",IFERROR(AF7/($AI7*24),"-"))</f>
        <v>4.3282312925170069E-2</v>
      </c>
      <c r="BN7" s="68" t="e">
        <f>IF(OR(#REF!="",#REF!="Sem monitoramento"),"VAZIO",IFERROR(#REF!/($AI7*24),"-"))</f>
        <v>#REF!</v>
      </c>
      <c r="BO7" s="70">
        <f t="shared" si="6"/>
        <v>0.14520408163265305</v>
      </c>
      <c r="BP7" s="180">
        <f>'FCs estimados em PVsyst'!Y5</f>
        <v>0.17987528344671203</v>
      </c>
      <c r="BQ7" s="72">
        <f t="shared" si="7"/>
        <v>8.81388888888889</v>
      </c>
      <c r="BR7" s="73">
        <f t="shared" si="8"/>
        <v>2.9138321995464844E-2</v>
      </c>
      <c r="BS7" s="74">
        <f t="shared" si="9"/>
        <v>-3.4671201814058972E-2</v>
      </c>
      <c r="BT7" s="15" t="s">
        <v>9</v>
      </c>
      <c r="BU7" s="79" t="s">
        <v>109</v>
      </c>
      <c r="BV7" s="80">
        <f>COUNTIF(BS5:BS29,"&lt;-0,01")</f>
        <v>10</v>
      </c>
      <c r="BW7" s="2"/>
    </row>
    <row r="8" spans="2:75" x14ac:dyDescent="0.3">
      <c r="B8" s="771"/>
      <c r="C8" s="326" t="s">
        <v>10</v>
      </c>
      <c r="D8" s="62">
        <v>137.69999999999999</v>
      </c>
      <c r="E8" s="63">
        <v>94.8</v>
      </c>
      <c r="F8" s="63">
        <v>137.9</v>
      </c>
      <c r="G8" s="63">
        <v>113.8</v>
      </c>
      <c r="H8" s="63">
        <v>144.1</v>
      </c>
      <c r="I8" s="283">
        <v>130.80000000000001</v>
      </c>
      <c r="J8" s="63">
        <v>119.8</v>
      </c>
      <c r="K8" s="63">
        <v>117.7</v>
      </c>
      <c r="L8" s="283">
        <v>89.2</v>
      </c>
      <c r="M8" s="283">
        <v>132.69999999999999</v>
      </c>
      <c r="N8" s="283">
        <v>132.30000000000001</v>
      </c>
      <c r="O8" s="63">
        <v>97.1</v>
      </c>
      <c r="P8" s="63">
        <v>99.8</v>
      </c>
      <c r="Q8" s="283">
        <v>104.1</v>
      </c>
      <c r="R8" s="63">
        <v>112.3</v>
      </c>
      <c r="S8" s="63">
        <v>110.5</v>
      </c>
      <c r="T8" s="63">
        <v>102.4</v>
      </c>
      <c r="U8" s="63">
        <v>36.200000000000003</v>
      </c>
      <c r="V8" s="63">
        <v>55.2</v>
      </c>
      <c r="W8" s="283">
        <v>98.4</v>
      </c>
      <c r="X8" s="63">
        <v>104.8</v>
      </c>
      <c r="Y8" s="283">
        <v>140.80000000000001</v>
      </c>
      <c r="Z8" s="15">
        <v>109.2</v>
      </c>
      <c r="AA8" s="18">
        <v>136.4</v>
      </c>
      <c r="AB8" s="366">
        <v>20.8</v>
      </c>
      <c r="AC8" s="354">
        <v>40.9</v>
      </c>
      <c r="AD8" s="354">
        <v>0</v>
      </c>
      <c r="AE8" s="354">
        <v>0</v>
      </c>
      <c r="AF8" s="354">
        <v>28.7</v>
      </c>
      <c r="AG8" s="15">
        <v>139.80000000000001</v>
      </c>
      <c r="AH8" s="290">
        <f t="shared" si="0"/>
        <v>2888.2000000000003</v>
      </c>
      <c r="AI8" s="118">
        <v>33</v>
      </c>
      <c r="AJ8" s="121">
        <f t="shared" si="1"/>
        <v>9.6731200897867565E-3</v>
      </c>
      <c r="AK8" s="67">
        <f t="shared" si="2"/>
        <v>0.17386363636363636</v>
      </c>
      <c r="AL8" s="68">
        <f t="shared" si="2"/>
        <v>0.11969696969696969</v>
      </c>
      <c r="AM8" s="68">
        <f t="shared" si="2"/>
        <v>0.17411616161616161</v>
      </c>
      <c r="AN8" s="68">
        <f t="shared" si="2"/>
        <v>0.1436868686868687</v>
      </c>
      <c r="AO8" s="68">
        <f t="shared" si="2"/>
        <v>0.18194444444444444</v>
      </c>
      <c r="AP8" s="68">
        <f t="shared" si="2"/>
        <v>0.16515151515151516</v>
      </c>
      <c r="AQ8" s="68">
        <f t="shared" si="2"/>
        <v>0.15126262626262627</v>
      </c>
      <c r="AR8" s="68">
        <f t="shared" si="2"/>
        <v>0.14861111111111111</v>
      </c>
      <c r="AS8" s="68">
        <f t="shared" si="2"/>
        <v>0.11262626262626263</v>
      </c>
      <c r="AT8" s="68">
        <f t="shared" si="2"/>
        <v>0.16755050505050503</v>
      </c>
      <c r="AU8" s="68">
        <f t="shared" si="3"/>
        <v>0.16704545454545455</v>
      </c>
      <c r="AV8" s="68">
        <f t="shared" si="3"/>
        <v>0.1226010101010101</v>
      </c>
      <c r="AW8" s="68">
        <f t="shared" si="3"/>
        <v>0.12601010101010102</v>
      </c>
      <c r="AX8" s="68">
        <f t="shared" si="3"/>
        <v>0.13143939393939394</v>
      </c>
      <c r="AY8" s="68">
        <f t="shared" si="3"/>
        <v>0.14179292929292928</v>
      </c>
      <c r="AZ8" s="68">
        <f t="shared" si="3"/>
        <v>0.13952020202020202</v>
      </c>
      <c r="BA8" s="68">
        <f t="shared" si="3"/>
        <v>0.12929292929292929</v>
      </c>
      <c r="BB8" s="68">
        <f t="shared" si="3"/>
        <v>4.570707070707071E-2</v>
      </c>
      <c r="BC8" s="68">
        <f t="shared" si="3"/>
        <v>6.9696969696969702E-2</v>
      </c>
      <c r="BD8" s="68">
        <f t="shared" si="3"/>
        <v>0.12424242424242425</v>
      </c>
      <c r="BE8" s="68">
        <f t="shared" si="4"/>
        <v>0.13232323232323231</v>
      </c>
      <c r="BF8" s="68">
        <f t="shared" si="4"/>
        <v>0.17777777777777778</v>
      </c>
      <c r="BG8" s="68">
        <f t="shared" si="4"/>
        <v>0.13787878787878788</v>
      </c>
      <c r="BH8" s="68">
        <f t="shared" si="4"/>
        <v>0.17222222222222222</v>
      </c>
      <c r="BI8" s="68">
        <f t="shared" si="4"/>
        <v>2.6262626262626265E-2</v>
      </c>
      <c r="BJ8" s="68" t="e">
        <f>IF(OR(#REF!="",#REF!="Sem monitoramento"),"VAZIO",IFERROR(#REF!/($AI8*24),"-"))</f>
        <v>#REF!</v>
      </c>
      <c r="BK8" s="68">
        <f t="shared" si="10"/>
        <v>0</v>
      </c>
      <c r="BL8" s="68">
        <f t="shared" si="11"/>
        <v>0</v>
      </c>
      <c r="BM8" s="68">
        <f t="shared" si="12"/>
        <v>3.6237373737373735E-2</v>
      </c>
      <c r="BN8" s="68" t="e">
        <f>IF(OR(#REF!="",#REF!="Sem monitoramento"),"VAZIO",IFERROR(#REF!/($AI8*24),"-"))</f>
        <v>#REF!</v>
      </c>
      <c r="BO8" s="70">
        <f t="shared" si="6"/>
        <v>0.12155723905723907</v>
      </c>
      <c r="BP8" s="180">
        <f>'FCs estimados em PVsyst'!Y6</f>
        <v>0.18501683501683502</v>
      </c>
      <c r="BQ8" s="72">
        <f t="shared" si="7"/>
        <v>6.1055555555555561</v>
      </c>
      <c r="BR8" s="73">
        <f t="shared" si="8"/>
        <v>-1.0900673400673411E-2</v>
      </c>
      <c r="BS8" s="74">
        <f t="shared" si="9"/>
        <v>-6.3459595959595952E-2</v>
      </c>
      <c r="BT8" s="15" t="s">
        <v>10</v>
      </c>
      <c r="BU8" s="3"/>
      <c r="BV8" s="2"/>
      <c r="BW8" s="2"/>
    </row>
    <row r="9" spans="2:75" x14ac:dyDescent="0.3">
      <c r="B9" s="771"/>
      <c r="C9" s="326" t="s">
        <v>11</v>
      </c>
      <c r="D9" s="223">
        <v>55.2</v>
      </c>
      <c r="E9" s="319">
        <v>0</v>
      </c>
      <c r="F9" s="319">
        <v>20</v>
      </c>
      <c r="G9" s="356">
        <v>15</v>
      </c>
      <c r="H9" s="356">
        <v>19</v>
      </c>
      <c r="I9" s="308">
        <v>21.6</v>
      </c>
      <c r="J9" s="501">
        <v>41.4</v>
      </c>
      <c r="K9" s="283">
        <v>46.7</v>
      </c>
      <c r="L9" s="63">
        <v>42.7</v>
      </c>
      <c r="M9" s="63">
        <v>60</v>
      </c>
      <c r="N9" s="63">
        <v>52.7</v>
      </c>
      <c r="O9" s="63">
        <v>48.1</v>
      </c>
      <c r="P9" s="63">
        <v>41.1</v>
      </c>
      <c r="Q9" s="283">
        <v>45.1</v>
      </c>
      <c r="R9" s="308">
        <v>41</v>
      </c>
      <c r="S9" s="63">
        <v>39.299999999999997</v>
      </c>
      <c r="T9" s="63">
        <v>47.8</v>
      </c>
      <c r="U9" s="63">
        <v>12.4</v>
      </c>
      <c r="V9" s="63">
        <v>23.2</v>
      </c>
      <c r="W9" s="283">
        <v>37.200000000000003</v>
      </c>
      <c r="X9" s="63">
        <v>41.4</v>
      </c>
      <c r="Y9" s="63">
        <v>59.2</v>
      </c>
      <c r="Z9" s="148">
        <v>46</v>
      </c>
      <c r="AA9" s="18">
        <v>56.2</v>
      </c>
      <c r="AB9" s="323">
        <v>56.3</v>
      </c>
      <c r="AC9" s="489">
        <v>27.9</v>
      </c>
      <c r="AD9" s="15">
        <v>33.299999999999997</v>
      </c>
      <c r="AE9" s="15">
        <v>53.8</v>
      </c>
      <c r="AF9" s="15">
        <v>49.7</v>
      </c>
      <c r="AG9" s="15">
        <v>57.2</v>
      </c>
      <c r="AH9" s="290">
        <f t="shared" si="0"/>
        <v>1190.5000000000002</v>
      </c>
      <c r="AI9" s="118">
        <v>12</v>
      </c>
      <c r="AJ9" s="121">
        <f t="shared" si="1"/>
        <v>3.8580246913580245E-3</v>
      </c>
      <c r="AK9" s="67">
        <f t="shared" ref="AK9:AT15" si="13">IF(OR(D9="",D9="Sem monitoramento"),"VAZIO",IFERROR(D9/($AI9*24),"-"))</f>
        <v>0.19166666666666668</v>
      </c>
      <c r="AL9" s="68">
        <f t="shared" si="13"/>
        <v>0</v>
      </c>
      <c r="AM9" s="68">
        <f t="shared" si="13"/>
        <v>6.9444444444444448E-2</v>
      </c>
      <c r="AN9" s="68">
        <f t="shared" si="13"/>
        <v>5.2083333333333336E-2</v>
      </c>
      <c r="AO9" s="68">
        <f t="shared" si="13"/>
        <v>6.5972222222222224E-2</v>
      </c>
      <c r="AP9" s="68">
        <f t="shared" si="13"/>
        <v>7.5000000000000011E-2</v>
      </c>
      <c r="AQ9" s="68">
        <f t="shared" si="13"/>
        <v>0.14374999999999999</v>
      </c>
      <c r="AR9" s="68">
        <f t="shared" si="13"/>
        <v>0.16215277777777778</v>
      </c>
      <c r="AS9" s="68">
        <f t="shared" si="13"/>
        <v>0.14826388888888889</v>
      </c>
      <c r="AT9" s="68">
        <f t="shared" si="13"/>
        <v>0.20833333333333334</v>
      </c>
      <c r="AU9" s="68">
        <f t="shared" ref="AU9:BA15" si="14">IF(OR(N9="",N9="Sem monitoramento"),"VAZIO",IFERROR(N9/($AI9*24),"-"))</f>
        <v>0.18298611111111113</v>
      </c>
      <c r="AV9" s="68">
        <f t="shared" si="14"/>
        <v>0.16701388888888891</v>
      </c>
      <c r="AW9" s="68">
        <f t="shared" si="14"/>
        <v>0.14270833333333333</v>
      </c>
      <c r="AX9" s="68">
        <f t="shared" si="14"/>
        <v>0.15659722222222222</v>
      </c>
      <c r="AY9" s="68">
        <f t="shared" si="14"/>
        <v>0.1423611111111111</v>
      </c>
      <c r="AZ9" s="68">
        <f t="shared" si="14"/>
        <v>0.13645833333333332</v>
      </c>
      <c r="BA9" s="68">
        <f t="shared" si="14"/>
        <v>0.16597222222222222</v>
      </c>
      <c r="BB9" s="68">
        <f>IF(OR(U7="",U7="Sem monitoramento"),"VAZIO",IFERROR(U7/($AI9*24),"-"))</f>
        <v>0.21979166666666666</v>
      </c>
      <c r="BC9" s="68">
        <f t="shared" ref="BC9:BC18" si="15">IF(OR(V9="",V9="Sem monitoramento"),"VAZIO",IFERROR(V9/($AI9*24),"-"))</f>
        <v>8.0555555555555547E-2</v>
      </c>
      <c r="BD9" s="68">
        <f t="shared" ref="BD9:BD18" si="16">IF(OR(W9="",W9="Sem monitoramento"),"VAZIO",IFERROR(W9/($AI9*24),"-"))</f>
        <v>0.12916666666666668</v>
      </c>
      <c r="BE9" s="68">
        <f t="shared" ref="BE9:BE18" si="17">IF(OR(X9="",X9="Sem monitoramento"),"VAZIO",IFERROR(X9/($AI9*24),"-"))</f>
        <v>0.14374999999999999</v>
      </c>
      <c r="BF9" s="68">
        <f t="shared" ref="BF9:BF18" si="18">IF(OR(Y9="",Y9="Sem monitoramento"),"VAZIO",IFERROR(Y9/($AI9*24),"-"))</f>
        <v>0.20555555555555557</v>
      </c>
      <c r="BG9" s="68">
        <f>IF(OR(Z10="",Z10="Sem monitoramento"),"VAZIO",IFERROR(Z10/($AI9*24),"-"))</f>
        <v>0.17395833333333333</v>
      </c>
      <c r="BH9" s="68">
        <f>IF(OR(AA9="",AA9="Sem monitoramento"),"VAZIO",IFERROR(AA9/($AI9*24),"-"))</f>
        <v>0.19513888888888889</v>
      </c>
      <c r="BI9" s="68">
        <f>IF(OR(AB9="",AB9="Sem monitoramento"),"VAZIO",IFERROR(AB9/($AI9*24),"-"))</f>
        <v>0.19548611111111111</v>
      </c>
      <c r="BJ9" s="68">
        <f>IF(OR(AC7="",AC7="Sem monitoramento"),"VAZIO",IFERROR(AC7/($AI9*24),"-"))</f>
        <v>0.25312500000000004</v>
      </c>
      <c r="BK9" s="68">
        <f t="shared" si="10"/>
        <v>0.11562499999999999</v>
      </c>
      <c r="BL9" s="68">
        <f t="shared" si="11"/>
        <v>0.18680555555555556</v>
      </c>
      <c r="BM9" s="68">
        <f t="shared" si="12"/>
        <v>0.17256944444444444</v>
      </c>
      <c r="BN9" s="68">
        <f>IF(OR(AG7="",AG7="Sem monitoramento"),"VAZIO",IFERROR(AG7/($AI9*24),"-"))</f>
        <v>0.86458333333333337</v>
      </c>
      <c r="BO9" s="70">
        <f t="shared" si="6"/>
        <v>0.13778935185185187</v>
      </c>
      <c r="BP9" s="180">
        <f>'FCs estimados em PVsyst'!Y7</f>
        <v>0.18333333333333332</v>
      </c>
      <c r="BQ9" s="72">
        <f t="shared" si="7"/>
        <v>2.1999999999999997</v>
      </c>
      <c r="BR9" s="73">
        <f t="shared" si="8"/>
        <v>-0.11388888888888887</v>
      </c>
      <c r="BS9" s="74">
        <f t="shared" si="9"/>
        <v>-4.5543981481481449E-2</v>
      </c>
      <c r="BT9" s="15" t="s">
        <v>11</v>
      </c>
      <c r="BU9" s="3"/>
      <c r="BV9" s="2"/>
      <c r="BW9" s="2"/>
    </row>
    <row r="10" spans="2:75" x14ac:dyDescent="0.3">
      <c r="B10" s="771"/>
      <c r="C10" s="326" t="s">
        <v>12</v>
      </c>
      <c r="D10" s="223">
        <v>71.7</v>
      </c>
      <c r="E10" s="319">
        <v>0</v>
      </c>
      <c r="F10" s="319">
        <v>31</v>
      </c>
      <c r="G10" s="356">
        <v>21</v>
      </c>
      <c r="H10" s="356">
        <v>25</v>
      </c>
      <c r="I10" s="63">
        <v>26</v>
      </c>
      <c r="J10" s="501">
        <f>50.3</f>
        <v>50.3</v>
      </c>
      <c r="K10" s="283">
        <v>57.7</v>
      </c>
      <c r="L10" s="63">
        <v>51.7</v>
      </c>
      <c r="M10" s="63">
        <v>69.8</v>
      </c>
      <c r="N10" s="63">
        <v>60</v>
      </c>
      <c r="O10" s="63">
        <v>49.6</v>
      </c>
      <c r="P10" s="63">
        <v>47.8</v>
      </c>
      <c r="Q10" s="283">
        <v>52.3</v>
      </c>
      <c r="R10" s="308">
        <v>45.7</v>
      </c>
      <c r="S10" s="63">
        <v>44.5</v>
      </c>
      <c r="T10" s="63">
        <v>54</v>
      </c>
      <c r="U10" s="63">
        <v>15.2</v>
      </c>
      <c r="V10" s="63">
        <v>27.5</v>
      </c>
      <c r="W10" s="283">
        <v>40.9</v>
      </c>
      <c r="X10" s="63">
        <v>44.5</v>
      </c>
      <c r="Y10" s="63">
        <v>62.6</v>
      </c>
      <c r="Z10" s="15">
        <v>50.1</v>
      </c>
      <c r="AA10" s="18">
        <v>59.4</v>
      </c>
      <c r="AB10" s="323">
        <v>58.6</v>
      </c>
      <c r="AC10" s="489">
        <v>28.5</v>
      </c>
      <c r="AD10" s="15">
        <v>34.5</v>
      </c>
      <c r="AE10" s="15">
        <v>55.5</v>
      </c>
      <c r="AF10" s="15">
        <v>50.8</v>
      </c>
      <c r="AG10" s="15">
        <v>58.7</v>
      </c>
      <c r="AH10" s="290">
        <f t="shared" si="0"/>
        <v>1344.8999999999999</v>
      </c>
      <c r="AI10" s="118">
        <v>25</v>
      </c>
      <c r="AJ10" s="121">
        <f t="shared" si="1"/>
        <v>2.8703703703703703E-3</v>
      </c>
      <c r="AK10" s="67">
        <f t="shared" si="13"/>
        <v>0.11950000000000001</v>
      </c>
      <c r="AL10" s="68">
        <f t="shared" si="13"/>
        <v>0</v>
      </c>
      <c r="AM10" s="68">
        <f t="shared" si="13"/>
        <v>5.1666666666666666E-2</v>
      </c>
      <c r="AN10" s="68">
        <f t="shared" si="13"/>
        <v>3.5000000000000003E-2</v>
      </c>
      <c r="AO10" s="68">
        <f t="shared" si="13"/>
        <v>4.1666666666666664E-2</v>
      </c>
      <c r="AP10" s="68">
        <f t="shared" si="13"/>
        <v>4.3333333333333335E-2</v>
      </c>
      <c r="AQ10" s="68">
        <f t="shared" si="13"/>
        <v>8.3833333333333329E-2</v>
      </c>
      <c r="AR10" s="68">
        <f t="shared" si="13"/>
        <v>9.6166666666666678E-2</v>
      </c>
      <c r="AS10" s="68">
        <f t="shared" si="13"/>
        <v>8.6166666666666669E-2</v>
      </c>
      <c r="AT10" s="68">
        <f t="shared" si="13"/>
        <v>0.11633333333333333</v>
      </c>
      <c r="AU10" s="68">
        <f t="shared" si="14"/>
        <v>0.1</v>
      </c>
      <c r="AV10" s="68">
        <f t="shared" si="14"/>
        <v>8.2666666666666666E-2</v>
      </c>
      <c r="AW10" s="68">
        <f t="shared" si="14"/>
        <v>7.9666666666666663E-2</v>
      </c>
      <c r="AX10" s="68">
        <f t="shared" si="14"/>
        <v>8.7166666666666656E-2</v>
      </c>
      <c r="AY10" s="68">
        <f t="shared" si="14"/>
        <v>7.6166666666666674E-2</v>
      </c>
      <c r="AZ10" s="68">
        <f t="shared" si="14"/>
        <v>7.4166666666666672E-2</v>
      </c>
      <c r="BA10" s="68">
        <f t="shared" si="14"/>
        <v>0.09</v>
      </c>
      <c r="BB10" s="68">
        <f>IF(OR(U8="",U8="Sem monitoramento"),"VAZIO",IFERROR(U8/($AI10*24),"-"))</f>
        <v>6.0333333333333336E-2</v>
      </c>
      <c r="BC10" s="68">
        <f t="shared" si="15"/>
        <v>4.583333333333333E-2</v>
      </c>
      <c r="BD10" s="68">
        <f t="shared" si="16"/>
        <v>6.8166666666666667E-2</v>
      </c>
      <c r="BE10" s="68">
        <f t="shared" si="17"/>
        <v>7.4166666666666672E-2</v>
      </c>
      <c r="BF10" s="68">
        <f t="shared" si="18"/>
        <v>0.10433333333333333</v>
      </c>
      <c r="BG10" s="68" t="e">
        <f>IF(OR(#REF!="",#REF!="Sem monitoramento"),"VAZIO",IFERROR(#REF!/($AI10*24),"-"))</f>
        <v>#REF!</v>
      </c>
      <c r="BH10" s="68">
        <f>IF(OR(AA10="",AA10="Sem monitoramento"),"VAZIO",IFERROR(AA10/($AI10*24),"-"))</f>
        <v>9.8999999999999991E-2</v>
      </c>
      <c r="BI10" s="68">
        <f>IF(OR(AB10="",AB10="Sem monitoramento"),"VAZIO",IFERROR(AB10/($AI10*24),"-"))</f>
        <v>9.7666666666666666E-2</v>
      </c>
      <c r="BJ10" s="68">
        <f>IF(OR(AC8="",AC8="Sem monitoramento"),"VAZIO",IFERROR(AC8/($AI10*24),"-"))</f>
        <v>6.8166666666666667E-2</v>
      </c>
      <c r="BK10" s="68">
        <f t="shared" si="10"/>
        <v>5.7500000000000002E-2</v>
      </c>
      <c r="BL10" s="68">
        <f t="shared" si="11"/>
        <v>9.2499999999999999E-2</v>
      </c>
      <c r="BM10" s="68">
        <f t="shared" si="12"/>
        <v>8.4666666666666668E-2</v>
      </c>
      <c r="BN10" s="68">
        <f>IF(OR(AG8="",AG8="Sem monitoramento"),"VAZIO",IFERROR(AG8/($AI10*24),"-"))</f>
        <v>0.23300000000000001</v>
      </c>
      <c r="BO10" s="70">
        <f t="shared" si="6"/>
        <v>7.4716666666666653E-2</v>
      </c>
      <c r="BP10" s="180">
        <f>'FCs estimados em PVsyst'!Y8</f>
        <v>0.185</v>
      </c>
      <c r="BQ10" s="72">
        <f t="shared" si="7"/>
        <v>4.625</v>
      </c>
      <c r="BR10" s="73">
        <f t="shared" si="8"/>
        <v>-0.13333333333333333</v>
      </c>
      <c r="BS10" s="74">
        <f t="shared" si="9"/>
        <v>-0.11028333333333334</v>
      </c>
      <c r="BT10" s="15" t="s">
        <v>12</v>
      </c>
      <c r="BU10" s="3"/>
      <c r="BV10" s="2"/>
      <c r="BW10" s="2"/>
    </row>
    <row r="11" spans="2:75" x14ac:dyDescent="0.3">
      <c r="B11" s="771"/>
      <c r="C11" s="327" t="s">
        <v>13</v>
      </c>
      <c r="D11" s="62">
        <v>385.1</v>
      </c>
      <c r="E11" s="63">
        <v>251.3</v>
      </c>
      <c r="F11" s="63">
        <v>364.8</v>
      </c>
      <c r="G11" s="63">
        <v>287.3</v>
      </c>
      <c r="H11" s="63">
        <v>365.2</v>
      </c>
      <c r="I11" s="283">
        <v>393.3</v>
      </c>
      <c r="J11" s="283">
        <v>344.2</v>
      </c>
      <c r="K11" s="283">
        <v>343.3</v>
      </c>
      <c r="L11" s="63">
        <v>249.9</v>
      </c>
      <c r="M11" s="504">
        <v>118.4</v>
      </c>
      <c r="N11" s="63">
        <v>386.4</v>
      </c>
      <c r="O11" s="63">
        <v>334.3</v>
      </c>
      <c r="P11" s="63">
        <v>262.10000000000002</v>
      </c>
      <c r="Q11" s="283">
        <v>267.60000000000002</v>
      </c>
      <c r="R11" s="63">
        <v>281.8</v>
      </c>
      <c r="S11" s="63">
        <v>237.4</v>
      </c>
      <c r="T11" s="63">
        <v>315.3</v>
      </c>
      <c r="U11" s="63">
        <v>117.1</v>
      </c>
      <c r="V11" s="283">
        <v>164.6</v>
      </c>
      <c r="W11" s="283">
        <v>286.10000000000002</v>
      </c>
      <c r="X11" s="63">
        <v>299.89999999999998</v>
      </c>
      <c r="Y11" s="63">
        <v>392</v>
      </c>
      <c r="Z11" s="15">
        <v>365.5</v>
      </c>
      <c r="AA11" s="18">
        <v>378.5</v>
      </c>
      <c r="AB11" s="323">
        <v>374.6</v>
      </c>
      <c r="AC11" s="221">
        <v>226.9</v>
      </c>
      <c r="AD11" s="15">
        <v>376.2</v>
      </c>
      <c r="AE11" s="221">
        <v>377.6</v>
      </c>
      <c r="AF11" s="15">
        <v>366.4</v>
      </c>
      <c r="AG11" s="15">
        <v>366.1</v>
      </c>
      <c r="AH11" s="290">
        <f t="shared" si="0"/>
        <v>9279.2000000000007</v>
      </c>
      <c r="AI11" s="118">
        <v>78</v>
      </c>
      <c r="AJ11" s="121">
        <f t="shared" si="1"/>
        <v>1.0826210826210826E-2</v>
      </c>
      <c r="AK11" s="67">
        <f t="shared" si="13"/>
        <v>0.20571581196581198</v>
      </c>
      <c r="AL11" s="68">
        <f t="shared" si="13"/>
        <v>0.13424145299145299</v>
      </c>
      <c r="AM11" s="68">
        <f t="shared" si="13"/>
        <v>0.19487179487179487</v>
      </c>
      <c r="AN11" s="68">
        <f t="shared" si="13"/>
        <v>0.15347222222222223</v>
      </c>
      <c r="AO11" s="68">
        <f t="shared" si="13"/>
        <v>0.19508547008547009</v>
      </c>
      <c r="AP11" s="68">
        <f t="shared" si="13"/>
        <v>0.21009615384615385</v>
      </c>
      <c r="AQ11" s="68">
        <f t="shared" si="13"/>
        <v>0.18386752136752135</v>
      </c>
      <c r="AR11" s="68">
        <f t="shared" si="13"/>
        <v>0.18338675213675215</v>
      </c>
      <c r="AS11" s="68">
        <f t="shared" si="13"/>
        <v>0.13349358974358974</v>
      </c>
      <c r="AT11" s="68">
        <f t="shared" si="13"/>
        <v>6.3247863247863245E-2</v>
      </c>
      <c r="AU11" s="68">
        <f t="shared" si="14"/>
        <v>0.2064102564102564</v>
      </c>
      <c r="AV11" s="68">
        <f t="shared" si="14"/>
        <v>0.17857905982905983</v>
      </c>
      <c r="AW11" s="68">
        <f t="shared" si="14"/>
        <v>0.14001068376068376</v>
      </c>
      <c r="AX11" s="68">
        <f t="shared" si="14"/>
        <v>0.14294871794871797</v>
      </c>
      <c r="AY11" s="68">
        <f t="shared" si="14"/>
        <v>0.15053418803418803</v>
      </c>
      <c r="AZ11" s="68">
        <f t="shared" si="14"/>
        <v>0.12681623931623931</v>
      </c>
      <c r="BA11" s="68">
        <f t="shared" si="14"/>
        <v>0.16842948717948719</v>
      </c>
      <c r="BB11" s="68">
        <f t="shared" ref="BB11:BB31" si="19">IF(OR(U11="",U11="Sem monitoramento"),"VAZIO",IFERROR(U11/($AI11*24),"-"))</f>
        <v>6.2553418803418803E-2</v>
      </c>
      <c r="BC11" s="68">
        <f t="shared" si="15"/>
        <v>8.792735042735042E-2</v>
      </c>
      <c r="BD11" s="68">
        <f t="shared" si="16"/>
        <v>0.15283119658119659</v>
      </c>
      <c r="BE11" s="68">
        <f t="shared" si="17"/>
        <v>0.16020299145299144</v>
      </c>
      <c r="BF11" s="68">
        <f t="shared" si="18"/>
        <v>0.20940170940170941</v>
      </c>
      <c r="BG11" s="68">
        <f t="shared" ref="BG11:BG31" si="20">IF(OR(Z11="",Z11="Sem monitoramento"),"VAZIO",IFERROR(Z11/($AI11*24),"-"))</f>
        <v>0.1952457264957265</v>
      </c>
      <c r="BH11" s="68">
        <f t="shared" ref="BH11:BH31" si="21">IF(OR(AA11="",AA11="Sem monitoramento"),"VAZIO",IFERROR(AA11/($AI11*24),"-"))</f>
        <v>0.20219017094017094</v>
      </c>
      <c r="BI11" s="68">
        <f>IF(OR(AB9="",AB9="Sem monitoramento"),"VAZIO",IFERROR(AB9/($AI11*24),"-"))</f>
        <v>3.0074786324786322E-2</v>
      </c>
      <c r="BJ11" s="68">
        <f t="shared" ref="BJ11:BJ31" si="22">IF(OR(AC11="",AC11="Sem monitoramento"),"VAZIO",IFERROR(AC11/($AI11*24),"-"))</f>
        <v>0.12120726495726496</v>
      </c>
      <c r="BK11" s="68">
        <f t="shared" si="10"/>
        <v>0.20096153846153847</v>
      </c>
      <c r="BL11" s="68">
        <f t="shared" si="11"/>
        <v>0.20170940170940171</v>
      </c>
      <c r="BM11" s="68">
        <f t="shared" si="12"/>
        <v>0.19572649572649573</v>
      </c>
      <c r="BN11" s="68">
        <f t="shared" ref="BN11:BN31" si="23">IF(OR(AG11="",AG11="Sem monitoramento"),"VAZIO",IFERROR(AG11/($AI11*24),"-"))</f>
        <v>0.19556623931623932</v>
      </c>
      <c r="BO11" s="70">
        <f t="shared" si="6"/>
        <v>0.16522792022792024</v>
      </c>
      <c r="BP11" s="198">
        <f>BP19</f>
        <v>0.168125</v>
      </c>
      <c r="BQ11" s="72">
        <f t="shared" si="7"/>
        <v>13.11375</v>
      </c>
      <c r="BR11" s="73">
        <f t="shared" si="8"/>
        <v>2.6746794871794877E-2</v>
      </c>
      <c r="BS11" s="74">
        <f t="shared" si="9"/>
        <v>-2.8970797720797581E-3</v>
      </c>
      <c r="BT11" s="15" t="s">
        <v>13</v>
      </c>
      <c r="BU11" s="3"/>
      <c r="BV11" s="2"/>
      <c r="BW11" s="2"/>
    </row>
    <row r="12" spans="2:75" x14ac:dyDescent="0.3">
      <c r="B12" s="772"/>
      <c r="C12" s="326" t="s">
        <v>14</v>
      </c>
      <c r="D12" s="493">
        <v>251.3</v>
      </c>
      <c r="E12" s="308">
        <v>179.4</v>
      </c>
      <c r="F12" s="82">
        <v>314.5</v>
      </c>
      <c r="G12" s="82">
        <v>196</v>
      </c>
      <c r="H12" s="82">
        <v>272.5</v>
      </c>
      <c r="I12" s="308">
        <v>267.5</v>
      </c>
      <c r="J12" s="82">
        <v>196.6</v>
      </c>
      <c r="K12" s="308">
        <v>244.6</v>
      </c>
      <c r="L12" s="82">
        <v>228.4</v>
      </c>
      <c r="M12" s="82">
        <v>284.5</v>
      </c>
      <c r="N12" s="82">
        <v>265.5</v>
      </c>
      <c r="O12" s="82">
        <v>224.5</v>
      </c>
      <c r="P12" s="82">
        <v>197.1</v>
      </c>
      <c r="Q12" s="308">
        <v>215.1</v>
      </c>
      <c r="R12" s="308">
        <v>210.6</v>
      </c>
      <c r="S12" s="82">
        <v>195.2</v>
      </c>
      <c r="T12" s="82">
        <v>246.6</v>
      </c>
      <c r="U12" s="82">
        <v>72.2</v>
      </c>
      <c r="V12" s="82">
        <v>131.5</v>
      </c>
      <c r="W12" s="308">
        <v>176.1</v>
      </c>
      <c r="X12" s="82">
        <v>210.4</v>
      </c>
      <c r="Y12" s="82">
        <v>284.60000000000002</v>
      </c>
      <c r="Z12" s="16">
        <v>254.5</v>
      </c>
      <c r="AA12" s="17">
        <v>273.7</v>
      </c>
      <c r="AB12" s="324">
        <v>266.8</v>
      </c>
      <c r="AC12" s="489">
        <v>143.19999999999999</v>
      </c>
      <c r="AD12" s="16">
        <v>266.8</v>
      </c>
      <c r="AE12" s="16">
        <v>267.10000000000002</v>
      </c>
      <c r="AF12" s="16">
        <v>229.9</v>
      </c>
      <c r="AG12" s="16">
        <v>250</v>
      </c>
      <c r="AH12" s="290">
        <f t="shared" si="0"/>
        <v>6816.6999999999989</v>
      </c>
      <c r="AI12" s="123">
        <v>61</v>
      </c>
      <c r="AJ12" s="121" t="s">
        <v>31</v>
      </c>
      <c r="AK12" s="67">
        <f t="shared" si="13"/>
        <v>0.1716530054644809</v>
      </c>
      <c r="AL12" s="68">
        <f t="shared" si="13"/>
        <v>0.12254098360655738</v>
      </c>
      <c r="AM12" s="68">
        <f t="shared" si="13"/>
        <v>0.2148224043715847</v>
      </c>
      <c r="AN12" s="68">
        <f t="shared" si="13"/>
        <v>0.13387978142076504</v>
      </c>
      <c r="AO12" s="68">
        <f t="shared" si="13"/>
        <v>0.18613387978142076</v>
      </c>
      <c r="AP12" s="68">
        <f t="shared" si="13"/>
        <v>0.18271857923497267</v>
      </c>
      <c r="AQ12" s="68">
        <f t="shared" si="13"/>
        <v>0.1342896174863388</v>
      </c>
      <c r="AR12" s="68">
        <f t="shared" si="13"/>
        <v>0.16707650273224042</v>
      </c>
      <c r="AS12" s="68">
        <f t="shared" si="13"/>
        <v>0.15601092896174865</v>
      </c>
      <c r="AT12" s="68">
        <f t="shared" si="13"/>
        <v>0.19433060109289618</v>
      </c>
      <c r="AU12" s="68">
        <f t="shared" si="14"/>
        <v>0.18135245901639344</v>
      </c>
      <c r="AV12" s="68">
        <f t="shared" si="14"/>
        <v>0.15334699453551912</v>
      </c>
      <c r="AW12" s="68">
        <f t="shared" si="14"/>
        <v>0.1346311475409836</v>
      </c>
      <c r="AX12" s="68">
        <f t="shared" si="14"/>
        <v>0.14692622950819673</v>
      </c>
      <c r="AY12" s="68">
        <f t="shared" si="14"/>
        <v>0.14385245901639343</v>
      </c>
      <c r="AZ12" s="68">
        <f t="shared" si="14"/>
        <v>0.13333333333333333</v>
      </c>
      <c r="BA12" s="68">
        <f t="shared" si="14"/>
        <v>0.16844262295081966</v>
      </c>
      <c r="BB12" s="68">
        <f t="shared" si="19"/>
        <v>4.9316939890710385E-2</v>
      </c>
      <c r="BC12" s="68">
        <f t="shared" si="15"/>
        <v>8.9822404371584702E-2</v>
      </c>
      <c r="BD12" s="68">
        <f t="shared" si="16"/>
        <v>0.12028688524590163</v>
      </c>
      <c r="BE12" s="68">
        <f t="shared" si="17"/>
        <v>0.14371584699453552</v>
      </c>
      <c r="BF12" s="68">
        <f t="shared" si="18"/>
        <v>0.19439890710382515</v>
      </c>
      <c r="BG12" s="68">
        <f t="shared" si="20"/>
        <v>0.17383879781420766</v>
      </c>
      <c r="BH12" s="68">
        <f t="shared" si="21"/>
        <v>0.18695355191256829</v>
      </c>
      <c r="BI12" s="68">
        <f t="shared" ref="BI12:BI20" si="24">IF(OR(AB12="",AB12="Sem monitoramento"),"VAZIO",IFERROR(AB12/($AI12*24),"-"))</f>
        <v>0.18224043715846996</v>
      </c>
      <c r="BJ12" s="68">
        <f t="shared" si="22"/>
        <v>9.7814207650273211E-2</v>
      </c>
      <c r="BK12" s="68">
        <f t="shared" si="10"/>
        <v>0.18224043715846996</v>
      </c>
      <c r="BL12" s="68">
        <f t="shared" si="11"/>
        <v>0.18244535519125685</v>
      </c>
      <c r="BM12" s="68">
        <f t="shared" si="12"/>
        <v>0.15703551912568306</v>
      </c>
      <c r="BN12" s="68">
        <f t="shared" si="23"/>
        <v>0.17076502732240437</v>
      </c>
      <c r="BO12" s="70">
        <f t="shared" si="6"/>
        <v>0.15520719489981782</v>
      </c>
      <c r="BP12" s="180">
        <f>'FCs estimados em PVsyst'!Y10</f>
        <v>0.18465391621129326</v>
      </c>
      <c r="BQ12" s="72" t="s">
        <v>31</v>
      </c>
      <c r="BR12" s="73" t="s">
        <v>31</v>
      </c>
      <c r="BS12" s="74">
        <f t="shared" si="9"/>
        <v>-2.9446721311475438E-2</v>
      </c>
      <c r="BT12" s="15" t="s">
        <v>14</v>
      </c>
      <c r="BU12" s="3"/>
      <c r="BV12" s="2"/>
      <c r="BW12" s="2"/>
    </row>
    <row r="13" spans="2:75" x14ac:dyDescent="0.3">
      <c r="B13" s="773" t="s">
        <v>16</v>
      </c>
      <c r="C13" s="328" t="s">
        <v>17</v>
      </c>
      <c r="D13" s="223">
        <v>389.8</v>
      </c>
      <c r="E13" s="63">
        <v>287.10000000000002</v>
      </c>
      <c r="F13" s="63">
        <v>493.8</v>
      </c>
      <c r="G13" s="63">
        <v>298.10000000000002</v>
      </c>
      <c r="H13" s="63">
        <v>410</v>
      </c>
      <c r="I13" s="283">
        <v>397.5</v>
      </c>
      <c r="J13" s="63">
        <v>318.39999999999998</v>
      </c>
      <c r="K13" s="283">
        <v>436.9</v>
      </c>
      <c r="L13" s="63">
        <v>363.6</v>
      </c>
      <c r="M13" s="63">
        <v>452.1</v>
      </c>
      <c r="N13" s="63">
        <v>473.1</v>
      </c>
      <c r="O13" s="63">
        <v>380.8</v>
      </c>
      <c r="P13" s="63">
        <v>314.10000000000002</v>
      </c>
      <c r="Q13" s="283">
        <v>382.1</v>
      </c>
      <c r="R13" s="308">
        <v>328.5</v>
      </c>
      <c r="S13" s="63">
        <v>297.60000000000002</v>
      </c>
      <c r="T13" s="63">
        <v>385.6</v>
      </c>
      <c r="U13" s="63">
        <v>120.7</v>
      </c>
      <c r="V13" s="63">
        <v>221.5</v>
      </c>
      <c r="W13" s="283">
        <v>291.39999999999998</v>
      </c>
      <c r="X13" s="63">
        <v>329.2</v>
      </c>
      <c r="Y13" s="63">
        <v>519.4</v>
      </c>
      <c r="Z13" s="15">
        <v>388.5</v>
      </c>
      <c r="AA13" s="18">
        <v>500.1</v>
      </c>
      <c r="AB13" s="323">
        <v>466.9</v>
      </c>
      <c r="AC13" s="489">
        <v>220.5</v>
      </c>
      <c r="AD13" s="15">
        <v>262.7</v>
      </c>
      <c r="AE13" s="15">
        <v>506.6</v>
      </c>
      <c r="AF13" s="15">
        <v>430.2</v>
      </c>
      <c r="AG13" s="15">
        <v>377.9</v>
      </c>
      <c r="AH13" s="290">
        <f t="shared" si="0"/>
        <v>11044.700000000003</v>
      </c>
      <c r="AI13" s="118">
        <v>100</v>
      </c>
      <c r="AJ13" s="121">
        <f t="shared" ref="AJ13:AJ30" si="25">F13/(AI13*432)</f>
        <v>1.1430555555555557E-2</v>
      </c>
      <c r="AK13" s="67">
        <f t="shared" si="13"/>
        <v>0.16241666666666668</v>
      </c>
      <c r="AL13" s="68">
        <f t="shared" si="13"/>
        <v>0.11962500000000001</v>
      </c>
      <c r="AM13" s="68">
        <f t="shared" si="13"/>
        <v>0.20575000000000002</v>
      </c>
      <c r="AN13" s="68">
        <f t="shared" si="13"/>
        <v>0.12420833333333334</v>
      </c>
      <c r="AO13" s="68">
        <f t="shared" si="13"/>
        <v>0.17083333333333334</v>
      </c>
      <c r="AP13" s="68">
        <f t="shared" si="13"/>
        <v>0.16562499999999999</v>
      </c>
      <c r="AQ13" s="68">
        <f t="shared" si="13"/>
        <v>0.13266666666666665</v>
      </c>
      <c r="AR13" s="68">
        <f t="shared" si="13"/>
        <v>0.18204166666666666</v>
      </c>
      <c r="AS13" s="68">
        <f t="shared" si="13"/>
        <v>0.1515</v>
      </c>
      <c r="AT13" s="68">
        <f t="shared" si="13"/>
        <v>0.18837500000000001</v>
      </c>
      <c r="AU13" s="68">
        <f t="shared" si="14"/>
        <v>0.19712500000000002</v>
      </c>
      <c r="AV13" s="68">
        <f t="shared" si="14"/>
        <v>0.15866666666666668</v>
      </c>
      <c r="AW13" s="68">
        <f t="shared" si="14"/>
        <v>0.13087500000000002</v>
      </c>
      <c r="AX13" s="68">
        <f t="shared" si="14"/>
        <v>0.15920833333333334</v>
      </c>
      <c r="AY13" s="68">
        <f t="shared" si="14"/>
        <v>0.136875</v>
      </c>
      <c r="AZ13" s="68">
        <f t="shared" si="14"/>
        <v>0.12400000000000001</v>
      </c>
      <c r="BA13" s="68">
        <f t="shared" si="14"/>
        <v>0.16066666666666668</v>
      </c>
      <c r="BB13" s="68">
        <f t="shared" si="19"/>
        <v>5.0291666666666665E-2</v>
      </c>
      <c r="BC13" s="68">
        <f t="shared" si="15"/>
        <v>9.2291666666666661E-2</v>
      </c>
      <c r="BD13" s="68">
        <f t="shared" si="16"/>
        <v>0.12141666666666666</v>
      </c>
      <c r="BE13" s="68">
        <f t="shared" si="17"/>
        <v>0.13716666666666666</v>
      </c>
      <c r="BF13" s="68">
        <f t="shared" si="18"/>
        <v>0.21641666666666665</v>
      </c>
      <c r="BG13" s="68">
        <f t="shared" si="20"/>
        <v>0.16187499999999999</v>
      </c>
      <c r="BH13" s="68">
        <f t="shared" si="21"/>
        <v>0.208375</v>
      </c>
      <c r="BI13" s="68">
        <f t="shared" si="24"/>
        <v>0.19454166666666667</v>
      </c>
      <c r="BJ13" s="68">
        <f t="shared" si="22"/>
        <v>9.1874999999999998E-2</v>
      </c>
      <c r="BK13" s="68">
        <f t="shared" si="10"/>
        <v>0.10945833333333332</v>
      </c>
      <c r="BL13" s="68">
        <f t="shared" si="11"/>
        <v>0.21108333333333335</v>
      </c>
      <c r="BM13" s="68">
        <f t="shared" si="12"/>
        <v>0.17924999999999999</v>
      </c>
      <c r="BN13" s="68">
        <f t="shared" si="23"/>
        <v>0.15745833333333331</v>
      </c>
      <c r="BO13" s="70">
        <f t="shared" si="6"/>
        <v>0.15339861111111114</v>
      </c>
      <c r="BP13" s="198">
        <f>BP19</f>
        <v>0.168125</v>
      </c>
      <c r="BQ13" s="72">
        <f t="shared" ref="BQ13:BQ30" si="26">AI13*BP13</f>
        <v>16.8125</v>
      </c>
      <c r="BR13" s="73">
        <f t="shared" ref="BR13:BR30" si="27">AM13-BP13</f>
        <v>3.762500000000002E-2</v>
      </c>
      <c r="BS13" s="74">
        <f t="shared" si="9"/>
        <v>-1.4726388888888858E-2</v>
      </c>
      <c r="BT13" s="15" t="s">
        <v>17</v>
      </c>
      <c r="BU13" s="3"/>
      <c r="BV13" s="2"/>
      <c r="BW13" s="2"/>
    </row>
    <row r="14" spans="2:75" x14ac:dyDescent="0.3">
      <c r="B14" s="771"/>
      <c r="C14" s="326" t="s">
        <v>18</v>
      </c>
      <c r="D14" s="62">
        <v>491.3</v>
      </c>
      <c r="E14" s="63">
        <v>334.5</v>
      </c>
      <c r="F14" s="63">
        <v>473</v>
      </c>
      <c r="G14" s="63">
        <v>381.2</v>
      </c>
      <c r="H14" s="63">
        <v>476.6</v>
      </c>
      <c r="I14" s="283">
        <v>517.70000000000005</v>
      </c>
      <c r="J14" s="283">
        <v>458</v>
      </c>
      <c r="K14" s="283">
        <v>471.1</v>
      </c>
      <c r="L14" s="63">
        <v>355.8</v>
      </c>
      <c r="M14" s="504">
        <v>173.4</v>
      </c>
      <c r="N14" s="63">
        <v>514.1</v>
      </c>
      <c r="O14" s="63">
        <v>443.8</v>
      </c>
      <c r="P14" s="63">
        <v>340.3</v>
      </c>
      <c r="Q14" s="283">
        <v>372</v>
      </c>
      <c r="R14" s="63">
        <v>374.4</v>
      </c>
      <c r="S14" s="63">
        <v>307.3</v>
      </c>
      <c r="T14" s="63">
        <v>422.7</v>
      </c>
      <c r="U14" s="63">
        <v>152.80000000000001</v>
      </c>
      <c r="V14" s="283">
        <v>216.5</v>
      </c>
      <c r="W14" s="283">
        <v>380.6</v>
      </c>
      <c r="X14" s="63">
        <v>394.6</v>
      </c>
      <c r="Y14" s="63">
        <v>516.4</v>
      </c>
      <c r="Z14" s="15">
        <v>486.7</v>
      </c>
      <c r="AA14" s="18">
        <v>507.3</v>
      </c>
      <c r="AB14" s="323">
        <v>501.1</v>
      </c>
      <c r="AC14" s="221">
        <v>311.5</v>
      </c>
      <c r="AD14" s="15">
        <v>307.8</v>
      </c>
      <c r="AE14" s="15">
        <v>525.20000000000005</v>
      </c>
      <c r="AF14" s="15">
        <v>512.1</v>
      </c>
      <c r="AG14" s="15">
        <v>510.6</v>
      </c>
      <c r="AH14" s="290">
        <f t="shared" si="0"/>
        <v>12230.400000000003</v>
      </c>
      <c r="AI14" s="118">
        <v>100</v>
      </c>
      <c r="AJ14" s="121">
        <f t="shared" si="25"/>
        <v>1.0949074074074075E-2</v>
      </c>
      <c r="AK14" s="67">
        <f t="shared" si="13"/>
        <v>0.20470833333333333</v>
      </c>
      <c r="AL14" s="68">
        <f t="shared" si="13"/>
        <v>0.139375</v>
      </c>
      <c r="AM14" s="68">
        <f t="shared" si="13"/>
        <v>0.19708333333333333</v>
      </c>
      <c r="AN14" s="68">
        <f t="shared" si="13"/>
        <v>0.15883333333333333</v>
      </c>
      <c r="AO14" s="68">
        <f t="shared" si="13"/>
        <v>0.19858333333333333</v>
      </c>
      <c r="AP14" s="68">
        <f t="shared" si="13"/>
        <v>0.21570833333333336</v>
      </c>
      <c r="AQ14" s="68">
        <f t="shared" si="13"/>
        <v>0.19083333333333333</v>
      </c>
      <c r="AR14" s="68">
        <f t="shared" si="13"/>
        <v>0.19629166666666667</v>
      </c>
      <c r="AS14" s="68">
        <f t="shared" si="13"/>
        <v>0.14824999999999999</v>
      </c>
      <c r="AT14" s="68">
        <f t="shared" si="13"/>
        <v>7.2250000000000009E-2</v>
      </c>
      <c r="AU14" s="68">
        <f t="shared" si="14"/>
        <v>0.21420833333333333</v>
      </c>
      <c r="AV14" s="68">
        <f t="shared" si="14"/>
        <v>0.18491666666666667</v>
      </c>
      <c r="AW14" s="68">
        <f t="shared" si="14"/>
        <v>0.14179166666666668</v>
      </c>
      <c r="AX14" s="68">
        <f t="shared" si="14"/>
        <v>0.155</v>
      </c>
      <c r="AY14" s="68">
        <f t="shared" si="14"/>
        <v>0.156</v>
      </c>
      <c r="AZ14" s="68">
        <f t="shared" si="14"/>
        <v>0.12804166666666666</v>
      </c>
      <c r="BA14" s="68">
        <f t="shared" si="14"/>
        <v>0.176125</v>
      </c>
      <c r="BB14" s="68">
        <f t="shared" si="19"/>
        <v>6.3666666666666677E-2</v>
      </c>
      <c r="BC14" s="68">
        <f t="shared" si="15"/>
        <v>9.0208333333333335E-2</v>
      </c>
      <c r="BD14" s="68">
        <f t="shared" si="16"/>
        <v>0.15858333333333335</v>
      </c>
      <c r="BE14" s="68">
        <f t="shared" si="17"/>
        <v>0.16441666666666668</v>
      </c>
      <c r="BF14" s="68">
        <f t="shared" si="18"/>
        <v>0.21516666666666664</v>
      </c>
      <c r="BG14" s="68">
        <f t="shared" si="20"/>
        <v>0.20279166666666668</v>
      </c>
      <c r="BH14" s="68">
        <f t="shared" si="21"/>
        <v>0.21137500000000001</v>
      </c>
      <c r="BI14" s="68">
        <f t="shared" si="24"/>
        <v>0.20879166666666668</v>
      </c>
      <c r="BJ14" s="68">
        <f t="shared" si="22"/>
        <v>0.12979166666666667</v>
      </c>
      <c r="BK14" s="68">
        <f t="shared" si="10"/>
        <v>0.12825</v>
      </c>
      <c r="BL14" s="68">
        <f t="shared" si="11"/>
        <v>0.21883333333333335</v>
      </c>
      <c r="BM14" s="68">
        <f t="shared" si="12"/>
        <v>0.21337500000000001</v>
      </c>
      <c r="BN14" s="68">
        <f t="shared" si="23"/>
        <v>0.21275000000000002</v>
      </c>
      <c r="BO14" s="70">
        <f t="shared" si="6"/>
        <v>0.16986666666666672</v>
      </c>
      <c r="BP14" s="198">
        <f>$BP$19</f>
        <v>0.168125</v>
      </c>
      <c r="BQ14" s="72">
        <f t="shared" si="26"/>
        <v>16.8125</v>
      </c>
      <c r="BR14" s="73">
        <f t="shared" si="27"/>
        <v>2.8958333333333336E-2</v>
      </c>
      <c r="BS14" s="74">
        <f t="shared" si="9"/>
        <v>1.7416666666667246E-3</v>
      </c>
      <c r="BT14" s="15" t="s">
        <v>18</v>
      </c>
      <c r="BU14" s="3"/>
      <c r="BV14" s="2"/>
      <c r="BW14" s="2"/>
    </row>
    <row r="15" spans="2:75" x14ac:dyDescent="0.3">
      <c r="B15" s="771"/>
      <c r="C15" s="326" t="s">
        <v>110</v>
      </c>
      <c r="D15" s="62">
        <v>147.80000000000001</v>
      </c>
      <c r="E15" s="63">
        <v>96</v>
      </c>
      <c r="F15" s="63">
        <v>136.6</v>
      </c>
      <c r="G15" s="63">
        <v>109.4</v>
      </c>
      <c r="H15" s="63">
        <v>139.1</v>
      </c>
      <c r="I15" s="283">
        <v>148.1</v>
      </c>
      <c r="J15" s="283">
        <v>131.6</v>
      </c>
      <c r="K15" s="283">
        <v>130.6</v>
      </c>
      <c r="L15" s="63">
        <v>101.3</v>
      </c>
      <c r="M15" s="504">
        <v>42.9</v>
      </c>
      <c r="N15" s="63">
        <v>145.69999999999999</v>
      </c>
      <c r="O15" s="63">
        <v>128</v>
      </c>
      <c r="P15" s="63">
        <v>102.5</v>
      </c>
      <c r="Q15" s="283">
        <v>101</v>
      </c>
      <c r="R15" s="63">
        <v>105.8</v>
      </c>
      <c r="S15" s="63">
        <v>92.5</v>
      </c>
      <c r="T15" s="63">
        <v>124.9</v>
      </c>
      <c r="U15" s="63">
        <v>41.5</v>
      </c>
      <c r="V15" s="283">
        <v>60.5</v>
      </c>
      <c r="W15" s="283">
        <v>109.5</v>
      </c>
      <c r="X15" s="63">
        <v>117.8</v>
      </c>
      <c r="Y15" s="63">
        <v>145.80000000000001</v>
      </c>
      <c r="Z15" s="15">
        <v>140.80000000000001</v>
      </c>
      <c r="AA15" s="18">
        <v>142.1</v>
      </c>
      <c r="AB15" s="323">
        <v>129.5</v>
      </c>
      <c r="AC15" s="221">
        <v>86.3</v>
      </c>
      <c r="AD15" s="221">
        <v>83.7</v>
      </c>
      <c r="AE15" s="15">
        <v>140.1</v>
      </c>
      <c r="AF15" s="15">
        <v>136.19999999999999</v>
      </c>
      <c r="AG15" s="15">
        <v>137.1</v>
      </c>
      <c r="AH15" s="290">
        <f t="shared" si="0"/>
        <v>3454.7000000000003</v>
      </c>
      <c r="AI15" s="118">
        <v>29</v>
      </c>
      <c r="AJ15" s="121">
        <f t="shared" si="25"/>
        <v>1.0903575989782886E-2</v>
      </c>
      <c r="AK15" s="67">
        <f t="shared" si="13"/>
        <v>0.21235632183908049</v>
      </c>
      <c r="AL15" s="68">
        <f t="shared" si="13"/>
        <v>0.13793103448275862</v>
      </c>
      <c r="AM15" s="68">
        <f t="shared" si="13"/>
        <v>0.19626436781609194</v>
      </c>
      <c r="AN15" s="68">
        <f t="shared" si="13"/>
        <v>0.15718390804597701</v>
      </c>
      <c r="AO15" s="68">
        <f t="shared" si="13"/>
        <v>0.19985632183908045</v>
      </c>
      <c r="AP15" s="68">
        <f t="shared" si="13"/>
        <v>0.21278735632183907</v>
      </c>
      <c r="AQ15" s="68">
        <f t="shared" si="13"/>
        <v>0.18908045977011492</v>
      </c>
      <c r="AR15" s="68">
        <f t="shared" si="13"/>
        <v>0.18764367816091954</v>
      </c>
      <c r="AS15" s="68">
        <f t="shared" si="13"/>
        <v>0.14554597701149424</v>
      </c>
      <c r="AT15" s="68">
        <f t="shared" si="13"/>
        <v>6.1637931034482757E-2</v>
      </c>
      <c r="AU15" s="68">
        <f t="shared" si="14"/>
        <v>0.20933908045977009</v>
      </c>
      <c r="AV15" s="68">
        <f t="shared" si="14"/>
        <v>0.18390804597701149</v>
      </c>
      <c r="AW15" s="68">
        <f t="shared" si="14"/>
        <v>0.14727011494252873</v>
      </c>
      <c r="AX15" s="68">
        <f t="shared" si="14"/>
        <v>0.14511494252873564</v>
      </c>
      <c r="AY15" s="68">
        <f t="shared" si="14"/>
        <v>0.15201149425287355</v>
      </c>
      <c r="AZ15" s="68">
        <f t="shared" si="14"/>
        <v>0.13290229885057472</v>
      </c>
      <c r="BA15" s="68">
        <f t="shared" si="14"/>
        <v>0.17945402298850577</v>
      </c>
      <c r="BB15" s="68">
        <f t="shared" si="19"/>
        <v>5.9626436781609192E-2</v>
      </c>
      <c r="BC15" s="68">
        <f t="shared" si="15"/>
        <v>8.6925287356321837E-2</v>
      </c>
      <c r="BD15" s="68">
        <f t="shared" si="16"/>
        <v>0.15732758620689655</v>
      </c>
      <c r="BE15" s="68">
        <f t="shared" si="17"/>
        <v>0.16925287356321839</v>
      </c>
      <c r="BF15" s="68">
        <f t="shared" si="18"/>
        <v>0.20948275862068969</v>
      </c>
      <c r="BG15" s="68">
        <f t="shared" si="20"/>
        <v>0.20229885057471267</v>
      </c>
      <c r="BH15" s="68">
        <f t="shared" si="21"/>
        <v>0.20416666666666666</v>
      </c>
      <c r="BI15" s="68">
        <f t="shared" si="24"/>
        <v>0.18606321839080459</v>
      </c>
      <c r="BJ15" s="68">
        <f t="shared" si="22"/>
        <v>0.12399425287356322</v>
      </c>
      <c r="BK15" s="68">
        <f t="shared" si="10"/>
        <v>0.12025862068965518</v>
      </c>
      <c r="BL15" s="68">
        <f t="shared" si="11"/>
        <v>0.20129310344827586</v>
      </c>
      <c r="BM15" s="68">
        <f t="shared" si="12"/>
        <v>0.19568965517241377</v>
      </c>
      <c r="BN15" s="68">
        <f t="shared" si="23"/>
        <v>0.19698275862068965</v>
      </c>
      <c r="BO15" s="70">
        <f t="shared" si="6"/>
        <v>0.16545498084291188</v>
      </c>
      <c r="BP15" s="180">
        <f>'FCs estimados em PVsyst'!Y13</f>
        <v>0.1850095785440613</v>
      </c>
      <c r="BQ15" s="72">
        <f t="shared" si="26"/>
        <v>5.365277777777778</v>
      </c>
      <c r="BR15" s="73">
        <f t="shared" si="27"/>
        <v>1.1254789272030635E-2</v>
      </c>
      <c r="BS15" s="74">
        <f t="shared" si="9"/>
        <v>-1.9554597701149423E-2</v>
      </c>
      <c r="BT15" s="15" t="s">
        <v>110</v>
      </c>
      <c r="BU15" s="3"/>
      <c r="BV15" s="2"/>
      <c r="BW15" s="2"/>
    </row>
    <row r="16" spans="2:75" x14ac:dyDescent="0.3">
      <c r="B16" s="774"/>
      <c r="C16" s="326" t="s">
        <v>20</v>
      </c>
      <c r="D16" s="62">
        <v>473.5</v>
      </c>
      <c r="E16" s="63">
        <v>325.89999999999998</v>
      </c>
      <c r="F16" s="63">
        <v>522</v>
      </c>
      <c r="G16" s="63">
        <v>357.2</v>
      </c>
      <c r="H16" s="63">
        <v>497.5</v>
      </c>
      <c r="I16" s="63">
        <v>431.3</v>
      </c>
      <c r="J16" s="63">
        <v>401.6</v>
      </c>
      <c r="K16" s="63">
        <v>389.7</v>
      </c>
      <c r="L16" s="63">
        <v>347.2</v>
      </c>
      <c r="M16" s="63">
        <v>414.7</v>
      </c>
      <c r="N16" s="63">
        <v>505.9</v>
      </c>
      <c r="O16" s="63">
        <v>437.7</v>
      </c>
      <c r="P16" s="283">
        <v>318.5</v>
      </c>
      <c r="Q16" s="283">
        <v>308.8</v>
      </c>
      <c r="R16" s="63">
        <v>331</v>
      </c>
      <c r="S16" s="63">
        <v>416.4</v>
      </c>
      <c r="T16" s="141">
        <v>414.8</v>
      </c>
      <c r="U16" s="63">
        <v>112.8</v>
      </c>
      <c r="V16" s="283">
        <v>183.6</v>
      </c>
      <c r="W16" s="283">
        <v>319.2</v>
      </c>
      <c r="X16" s="63">
        <v>402.8</v>
      </c>
      <c r="Y16" s="63">
        <v>551.70000000000005</v>
      </c>
      <c r="Z16" s="15">
        <v>506.2</v>
      </c>
      <c r="AA16" s="61">
        <v>523.1</v>
      </c>
      <c r="AB16" s="323">
        <v>462.4</v>
      </c>
      <c r="AC16" s="15">
        <v>363.6</v>
      </c>
      <c r="AD16" s="15">
        <v>366.9</v>
      </c>
      <c r="AE16" s="15">
        <v>545.79999999999995</v>
      </c>
      <c r="AF16" s="15">
        <v>515.79999999999995</v>
      </c>
      <c r="AG16" s="15">
        <v>532.70000000000005</v>
      </c>
      <c r="AH16" s="290">
        <f t="shared" si="0"/>
        <v>12280.300000000001</v>
      </c>
      <c r="AI16" s="118">
        <v>100</v>
      </c>
      <c r="AJ16" s="121">
        <f t="shared" si="25"/>
        <v>1.2083333333333333E-2</v>
      </c>
      <c r="AK16" s="67">
        <f t="shared" ref="AK16:AZ17" si="28">IF(OR(D16="",D16="Sem monitoramento"),"VAZIO",IFERROR(D16/($AI16*24),"-"))</f>
        <v>0.19729166666666667</v>
      </c>
      <c r="AL16" s="68">
        <f t="shared" si="28"/>
        <v>0.13579166666666664</v>
      </c>
      <c r="AM16" s="68">
        <f t="shared" si="28"/>
        <v>0.2175</v>
      </c>
      <c r="AN16" s="68">
        <f t="shared" si="28"/>
        <v>0.14883333333333332</v>
      </c>
      <c r="AO16" s="68">
        <f t="shared" si="28"/>
        <v>0.20729166666666668</v>
      </c>
      <c r="AP16" s="68">
        <f t="shared" si="28"/>
        <v>0.17970833333333333</v>
      </c>
      <c r="AQ16" s="68">
        <f t="shared" si="28"/>
        <v>0.16733333333333333</v>
      </c>
      <c r="AR16" s="68">
        <f t="shared" si="28"/>
        <v>0.16237499999999999</v>
      </c>
      <c r="AS16" s="68">
        <f t="shared" si="28"/>
        <v>0.14466666666666667</v>
      </c>
      <c r="AT16" s="68">
        <f t="shared" si="28"/>
        <v>0.17279166666666665</v>
      </c>
      <c r="AU16" s="68">
        <f t="shared" si="28"/>
        <v>0.21079166666666665</v>
      </c>
      <c r="AV16" s="68">
        <f t="shared" si="28"/>
        <v>0.18237499999999998</v>
      </c>
      <c r="AW16" s="68">
        <f t="shared" si="28"/>
        <v>0.13270833333333334</v>
      </c>
      <c r="AX16" s="68">
        <f t="shared" si="28"/>
        <v>0.12866666666666668</v>
      </c>
      <c r="AY16" s="68">
        <f t="shared" si="28"/>
        <v>0.13791666666666666</v>
      </c>
      <c r="AZ16" s="68">
        <f t="shared" si="28"/>
        <v>0.17349999999999999</v>
      </c>
      <c r="BA16" s="68">
        <f>IF(OR(T14="",T14="Sem monitoramento"),"VAZIO",IFERROR(T14/($AI16*24),"-"))</f>
        <v>0.176125</v>
      </c>
      <c r="BB16" s="68">
        <f t="shared" si="19"/>
        <v>4.7E-2</v>
      </c>
      <c r="BC16" s="68">
        <f t="shared" si="15"/>
        <v>7.6499999999999999E-2</v>
      </c>
      <c r="BD16" s="68">
        <f t="shared" si="16"/>
        <v>0.13300000000000001</v>
      </c>
      <c r="BE16" s="68">
        <f t="shared" si="17"/>
        <v>0.16783333333333333</v>
      </c>
      <c r="BF16" s="68">
        <f t="shared" si="18"/>
        <v>0.22987500000000002</v>
      </c>
      <c r="BG16" s="68">
        <f t="shared" si="20"/>
        <v>0.21091666666666667</v>
      </c>
      <c r="BH16" s="68">
        <f t="shared" si="21"/>
        <v>0.21795833333333334</v>
      </c>
      <c r="BI16" s="68">
        <f t="shared" si="24"/>
        <v>0.19266666666666665</v>
      </c>
      <c r="BJ16" s="68">
        <f t="shared" si="22"/>
        <v>0.1515</v>
      </c>
      <c r="BK16" s="68">
        <f t="shared" si="10"/>
        <v>0.15287499999999998</v>
      </c>
      <c r="BL16" s="68">
        <f t="shared" si="11"/>
        <v>0.22741666666666666</v>
      </c>
      <c r="BM16" s="68">
        <f t="shared" si="12"/>
        <v>0.21491666666666664</v>
      </c>
      <c r="BN16" s="68">
        <f t="shared" si="23"/>
        <v>0.22195833333333334</v>
      </c>
      <c r="BO16" s="70">
        <f t="shared" si="6"/>
        <v>0.17055972222222224</v>
      </c>
      <c r="BP16" s="180">
        <f>'FCs estimados em PVsyst'!Y14</f>
        <v>0.16425000000000001</v>
      </c>
      <c r="BQ16" s="72">
        <f t="shared" si="26"/>
        <v>16.425000000000001</v>
      </c>
      <c r="BR16" s="73">
        <f t="shared" si="27"/>
        <v>5.3249999999999992E-2</v>
      </c>
      <c r="BS16" s="74">
        <f t="shared" si="9"/>
        <v>6.3097222222222304E-3</v>
      </c>
      <c r="BT16" s="15" t="s">
        <v>20</v>
      </c>
      <c r="BU16" s="3"/>
      <c r="BV16" s="2"/>
      <c r="BW16" s="2"/>
    </row>
    <row r="17" spans="2:75" x14ac:dyDescent="0.3">
      <c r="B17" s="775" t="s">
        <v>21</v>
      </c>
      <c r="C17" s="326" t="s">
        <v>22</v>
      </c>
      <c r="D17" s="223">
        <v>479.5</v>
      </c>
      <c r="E17" s="63">
        <v>336.2</v>
      </c>
      <c r="F17" s="308">
        <v>514.4</v>
      </c>
      <c r="G17" s="283">
        <v>458.7</v>
      </c>
      <c r="H17" s="282">
        <v>233.9</v>
      </c>
      <c r="I17" s="82">
        <v>382.5</v>
      </c>
      <c r="J17" s="82">
        <v>441.6</v>
      </c>
      <c r="K17" s="63">
        <v>432.6</v>
      </c>
      <c r="L17" s="63">
        <v>376.3</v>
      </c>
      <c r="M17" s="63">
        <v>514.4</v>
      </c>
      <c r="N17" s="63">
        <v>513.29999999999995</v>
      </c>
      <c r="O17" s="63">
        <v>381.7</v>
      </c>
      <c r="P17" s="283">
        <v>452.2</v>
      </c>
      <c r="Q17" s="283">
        <v>415.2</v>
      </c>
      <c r="R17" s="63">
        <v>458.5</v>
      </c>
      <c r="S17" s="282">
        <v>240.1</v>
      </c>
      <c r="T17" s="63">
        <v>398.6</v>
      </c>
      <c r="U17" s="63">
        <v>103.8</v>
      </c>
      <c r="V17" s="63">
        <v>285.10000000000002</v>
      </c>
      <c r="W17" s="282">
        <v>362.2</v>
      </c>
      <c r="X17" s="63">
        <v>383.3</v>
      </c>
      <c r="Y17" s="63">
        <v>509.4</v>
      </c>
      <c r="Z17" s="15">
        <v>409.2</v>
      </c>
      <c r="AA17" s="18">
        <v>451.2</v>
      </c>
      <c r="AB17" s="20">
        <v>453.9</v>
      </c>
      <c r="AC17" s="354">
        <v>264.3</v>
      </c>
      <c r="AD17" s="354">
        <v>194.3</v>
      </c>
      <c r="AE17" s="15">
        <v>482.2</v>
      </c>
      <c r="AF17" s="15">
        <v>451.9</v>
      </c>
      <c r="AG17" s="15">
        <v>470.9</v>
      </c>
      <c r="AH17" s="290">
        <f t="shared" si="0"/>
        <v>11851.4</v>
      </c>
      <c r="AI17" s="118">
        <v>100</v>
      </c>
      <c r="AJ17" s="122">
        <f t="shared" si="25"/>
        <v>1.1907407407407406E-2</v>
      </c>
      <c r="AK17" s="67">
        <f t="shared" si="28"/>
        <v>0.19979166666666667</v>
      </c>
      <c r="AL17" s="68">
        <f t="shared" si="28"/>
        <v>0.14008333333333334</v>
      </c>
      <c r="AM17" s="68">
        <f t="shared" si="28"/>
        <v>0.21433333333333332</v>
      </c>
      <c r="AN17" s="68">
        <f t="shared" si="28"/>
        <v>0.19112499999999999</v>
      </c>
      <c r="AO17" s="68">
        <f t="shared" si="28"/>
        <v>9.7458333333333341E-2</v>
      </c>
      <c r="AP17" s="68">
        <f t="shared" si="28"/>
        <v>0.15937499999999999</v>
      </c>
      <c r="AQ17" s="68">
        <f t="shared" si="28"/>
        <v>0.184</v>
      </c>
      <c r="AR17" s="68">
        <f t="shared" si="28"/>
        <v>0.18025000000000002</v>
      </c>
      <c r="AS17" s="68">
        <f t="shared" si="28"/>
        <v>0.15679166666666666</v>
      </c>
      <c r="AT17" s="68">
        <f t="shared" si="28"/>
        <v>0.21433333333333332</v>
      </c>
      <c r="AU17" s="68">
        <f t="shared" si="28"/>
        <v>0.21387499999999998</v>
      </c>
      <c r="AV17" s="68">
        <f t="shared" si="28"/>
        <v>0.15904166666666666</v>
      </c>
      <c r="AW17" s="68">
        <f t="shared" si="28"/>
        <v>0.18841666666666665</v>
      </c>
      <c r="AX17" s="68">
        <f t="shared" si="28"/>
        <v>0.17299999999999999</v>
      </c>
      <c r="AY17" s="68">
        <f t="shared" si="28"/>
        <v>0.19104166666666667</v>
      </c>
      <c r="AZ17" s="68">
        <f t="shared" si="28"/>
        <v>0.10004166666666667</v>
      </c>
      <c r="BA17" s="68">
        <f t="shared" ref="BA17:BA31" si="29">IF(OR(T17="",T17="Sem monitoramento"),"VAZIO",IFERROR(T17/($AI17*24),"-"))</f>
        <v>0.16608333333333333</v>
      </c>
      <c r="BB17" s="68">
        <f t="shared" si="19"/>
        <v>4.3249999999999997E-2</v>
      </c>
      <c r="BC17" s="68">
        <f t="shared" si="15"/>
        <v>0.11879166666666667</v>
      </c>
      <c r="BD17" s="68">
        <f t="shared" si="16"/>
        <v>0.15091666666666667</v>
      </c>
      <c r="BE17" s="68">
        <f t="shared" si="17"/>
        <v>0.15970833333333334</v>
      </c>
      <c r="BF17" s="68">
        <f t="shared" si="18"/>
        <v>0.21224999999999999</v>
      </c>
      <c r="BG17" s="68">
        <f t="shared" si="20"/>
        <v>0.17049999999999998</v>
      </c>
      <c r="BH17" s="68">
        <f t="shared" si="21"/>
        <v>0.188</v>
      </c>
      <c r="BI17" s="68">
        <f t="shared" si="24"/>
        <v>0.18912499999999999</v>
      </c>
      <c r="BJ17" s="68">
        <f t="shared" si="22"/>
        <v>0.110125</v>
      </c>
      <c r="BK17" s="68">
        <f t="shared" si="10"/>
        <v>8.095833333333334E-2</v>
      </c>
      <c r="BL17" s="68">
        <f t="shared" si="11"/>
        <v>0.20091666666666666</v>
      </c>
      <c r="BM17" s="68">
        <f t="shared" si="12"/>
        <v>0.18829166666666666</v>
      </c>
      <c r="BN17" s="68">
        <f t="shared" si="23"/>
        <v>0.19620833333333332</v>
      </c>
      <c r="BO17" s="70">
        <f t="shared" si="6"/>
        <v>0.16460277777777776</v>
      </c>
      <c r="BP17" s="198">
        <f>$BP$19</f>
        <v>0.168125</v>
      </c>
      <c r="BQ17" s="90">
        <f t="shared" si="26"/>
        <v>16.8125</v>
      </c>
      <c r="BR17" s="73">
        <f t="shared" si="27"/>
        <v>4.6208333333333323E-2</v>
      </c>
      <c r="BS17" s="74">
        <f t="shared" si="9"/>
        <v>-3.5222222222222321E-3</v>
      </c>
      <c r="BT17" s="15" t="s">
        <v>22</v>
      </c>
      <c r="BU17" s="3"/>
      <c r="BV17" s="2"/>
      <c r="BW17" s="2"/>
    </row>
    <row r="18" spans="2:75" x14ac:dyDescent="0.3">
      <c r="B18" s="775"/>
      <c r="C18" s="326" t="s">
        <v>23</v>
      </c>
      <c r="D18" s="223">
        <v>500</v>
      </c>
      <c r="E18" s="63">
        <v>352.4</v>
      </c>
      <c r="F18" s="308">
        <v>529.1</v>
      </c>
      <c r="G18" s="283">
        <v>485</v>
      </c>
      <c r="H18" s="63">
        <v>526.6</v>
      </c>
      <c r="I18" s="63">
        <v>451.6</v>
      </c>
      <c r="J18" s="63">
        <v>445.7</v>
      </c>
      <c r="K18" s="63">
        <v>429.2</v>
      </c>
      <c r="L18" s="63">
        <v>380.4</v>
      </c>
      <c r="M18" s="316">
        <v>517.1</v>
      </c>
      <c r="N18" s="63">
        <v>497.5</v>
      </c>
      <c r="O18" s="63">
        <v>379.4</v>
      </c>
      <c r="P18" s="63">
        <v>467.6</v>
      </c>
      <c r="Q18" s="283">
        <v>412.3</v>
      </c>
      <c r="R18" s="63">
        <v>461</v>
      </c>
      <c r="S18" s="282">
        <v>244.8</v>
      </c>
      <c r="T18" s="63">
        <v>408</v>
      </c>
      <c r="U18" s="283">
        <v>105.1</v>
      </c>
      <c r="V18" s="283">
        <v>291.3</v>
      </c>
      <c r="W18" s="282">
        <v>358.5</v>
      </c>
      <c r="X18" s="63">
        <v>390.4</v>
      </c>
      <c r="Y18" s="63">
        <v>519.20000000000005</v>
      </c>
      <c r="Z18" s="15">
        <v>415.9</v>
      </c>
      <c r="AA18" s="18">
        <v>466.3</v>
      </c>
      <c r="AB18" s="20">
        <v>457.8</v>
      </c>
      <c r="AC18" s="354">
        <v>271.8</v>
      </c>
      <c r="AD18" s="354">
        <v>207</v>
      </c>
      <c r="AE18" s="15">
        <v>496.6</v>
      </c>
      <c r="AF18" s="15">
        <v>468.4</v>
      </c>
      <c r="AG18" s="15">
        <v>486.4</v>
      </c>
      <c r="AH18" s="290">
        <f t="shared" si="0"/>
        <v>12422.399999999998</v>
      </c>
      <c r="AI18" s="118">
        <v>100</v>
      </c>
      <c r="AJ18" s="122">
        <f t="shared" si="25"/>
        <v>1.2247685185185186E-2</v>
      </c>
      <c r="AK18" s="67">
        <f t="shared" ref="AK18:AS18" si="30">IF(OR(D18="",D18="Sem monitoramento"),"VAZIO",IFERROR(D18/($AI18*24),"-"))</f>
        <v>0.20833333333333334</v>
      </c>
      <c r="AL18" s="68">
        <f t="shared" si="30"/>
        <v>0.14683333333333332</v>
      </c>
      <c r="AM18" s="68">
        <f t="shared" si="30"/>
        <v>0.22045833333333334</v>
      </c>
      <c r="AN18" s="68">
        <f t="shared" si="30"/>
        <v>0.20208333333333334</v>
      </c>
      <c r="AO18" s="68">
        <f t="shared" si="30"/>
        <v>0.21941666666666668</v>
      </c>
      <c r="AP18" s="68">
        <f t="shared" si="30"/>
        <v>0.18816666666666668</v>
      </c>
      <c r="AQ18" s="68">
        <f t="shared" si="30"/>
        <v>0.18570833333333334</v>
      </c>
      <c r="AR18" s="68">
        <f t="shared" si="30"/>
        <v>0.17883333333333332</v>
      </c>
      <c r="AS18" s="68">
        <f t="shared" si="30"/>
        <v>0.1585</v>
      </c>
      <c r="AT18" s="68">
        <f>IF(OR(M19="",M19="Sem monitoramento"),"VAZIO",IFERROR(M19/($AI18*24),"-"))</f>
        <v>0.18058333333333332</v>
      </c>
      <c r="AU18" s="68">
        <f t="shared" ref="AU18:AZ19" si="31">IF(OR(N18="",N18="Sem monitoramento"),"VAZIO",IFERROR(N18/($AI18*24),"-"))</f>
        <v>0.20729166666666668</v>
      </c>
      <c r="AV18" s="68">
        <f t="shared" si="31"/>
        <v>0.15808333333333333</v>
      </c>
      <c r="AW18" s="68">
        <f t="shared" si="31"/>
        <v>0.19483333333333333</v>
      </c>
      <c r="AX18" s="68">
        <f t="shared" si="31"/>
        <v>0.17179166666666668</v>
      </c>
      <c r="AY18" s="68">
        <f t="shared" si="31"/>
        <v>0.19208333333333333</v>
      </c>
      <c r="AZ18" s="68">
        <f t="shared" si="31"/>
        <v>0.10200000000000001</v>
      </c>
      <c r="BA18" s="68">
        <f t="shared" si="29"/>
        <v>0.17</v>
      </c>
      <c r="BB18" s="68">
        <f t="shared" si="19"/>
        <v>4.3791666666666666E-2</v>
      </c>
      <c r="BC18" s="68">
        <f t="shared" si="15"/>
        <v>0.12137500000000001</v>
      </c>
      <c r="BD18" s="68">
        <f t="shared" si="16"/>
        <v>0.14937500000000001</v>
      </c>
      <c r="BE18" s="68">
        <f t="shared" si="17"/>
        <v>0.16266666666666665</v>
      </c>
      <c r="BF18" s="68">
        <f t="shared" si="18"/>
        <v>0.21633333333333335</v>
      </c>
      <c r="BG18" s="68">
        <f t="shared" si="20"/>
        <v>0.17329166666666665</v>
      </c>
      <c r="BH18" s="68">
        <f t="shared" si="21"/>
        <v>0.19429166666666667</v>
      </c>
      <c r="BI18" s="68">
        <f t="shared" si="24"/>
        <v>0.19075</v>
      </c>
      <c r="BJ18" s="68">
        <f t="shared" si="22"/>
        <v>0.11325</v>
      </c>
      <c r="BK18" s="68">
        <f t="shared" si="10"/>
        <v>8.6249999999999993E-2</v>
      </c>
      <c r="BL18" s="68">
        <f t="shared" si="11"/>
        <v>0.20691666666666667</v>
      </c>
      <c r="BM18" s="68">
        <f t="shared" si="12"/>
        <v>0.19516666666666665</v>
      </c>
      <c r="BN18" s="68">
        <f t="shared" si="23"/>
        <v>0.20266666666666666</v>
      </c>
      <c r="BO18" s="70">
        <f t="shared" si="6"/>
        <v>0.17253333333333332</v>
      </c>
      <c r="BP18" s="198">
        <f>$BP$19</f>
        <v>0.168125</v>
      </c>
      <c r="BQ18" s="90">
        <f t="shared" si="26"/>
        <v>16.8125</v>
      </c>
      <c r="BR18" s="73">
        <f t="shared" si="27"/>
        <v>5.2333333333333343E-2</v>
      </c>
      <c r="BS18" s="74">
        <f t="shared" si="9"/>
        <v>4.4083333333333197E-3</v>
      </c>
      <c r="BT18" s="15" t="s">
        <v>23</v>
      </c>
      <c r="BU18" s="3"/>
      <c r="BV18" s="2"/>
      <c r="BW18" s="2"/>
    </row>
    <row r="19" spans="2:75" x14ac:dyDescent="0.3">
      <c r="B19" s="775"/>
      <c r="C19" s="326" t="s">
        <v>24</v>
      </c>
      <c r="D19" s="62">
        <v>358.9</v>
      </c>
      <c r="E19" s="63">
        <v>206.7</v>
      </c>
      <c r="F19" s="63">
        <v>435.1</v>
      </c>
      <c r="G19" s="282">
        <v>166.9</v>
      </c>
      <c r="H19" s="283">
        <v>449</v>
      </c>
      <c r="I19" s="63">
        <v>410.9</v>
      </c>
      <c r="J19" s="283">
        <v>419.9</v>
      </c>
      <c r="K19" s="63">
        <v>380.8</v>
      </c>
      <c r="L19" s="63">
        <v>327.8</v>
      </c>
      <c r="M19" s="63">
        <v>433.4</v>
      </c>
      <c r="N19" s="63">
        <v>448.3</v>
      </c>
      <c r="O19" s="63">
        <v>346.1</v>
      </c>
      <c r="P19" s="63">
        <v>431.3</v>
      </c>
      <c r="Q19" s="283">
        <v>338.2</v>
      </c>
      <c r="R19" s="63">
        <v>393.3</v>
      </c>
      <c r="S19" s="63">
        <v>399.7</v>
      </c>
      <c r="T19" s="63">
        <v>337.7</v>
      </c>
      <c r="U19" s="63">
        <v>89.2</v>
      </c>
      <c r="V19" s="283">
        <v>255.4</v>
      </c>
      <c r="W19" s="283">
        <v>375.9</v>
      </c>
      <c r="X19" s="316">
        <v>318</v>
      </c>
      <c r="Y19" s="316">
        <v>439.7</v>
      </c>
      <c r="Z19" s="15">
        <v>383</v>
      </c>
      <c r="AA19" s="18">
        <v>420.8</v>
      </c>
      <c r="AB19" s="20">
        <v>387.1</v>
      </c>
      <c r="AC19" s="15">
        <v>277.8</v>
      </c>
      <c r="AD19" s="283">
        <v>277.5</v>
      </c>
      <c r="AE19" s="221">
        <v>421.3</v>
      </c>
      <c r="AF19" s="15">
        <v>404.4</v>
      </c>
      <c r="AG19" s="15">
        <v>405.5</v>
      </c>
      <c r="AH19" s="290">
        <f t="shared" si="0"/>
        <v>10739.599999999999</v>
      </c>
      <c r="AI19" s="118">
        <v>80</v>
      </c>
      <c r="AJ19" s="121">
        <f t="shared" si="25"/>
        <v>1.2589699074074074E-2</v>
      </c>
      <c r="AK19" s="67">
        <f t="shared" ref="AK19:AK31" si="32">IF(OR(D19="",D19="Sem monitoramento"),"VAZIO",IFERROR(D19/($AI19*24),"-"))</f>
        <v>0.18692708333333333</v>
      </c>
      <c r="AL19" s="68">
        <f t="shared" ref="AL19:AL31" si="33">IF(OR(E19="",E19="Sem monitoramento"),"VAZIO",IFERROR(E19/($AI19*24),"-"))</f>
        <v>0.10765625</v>
      </c>
      <c r="AM19" s="68">
        <f t="shared" ref="AM19:AM31" si="34">IF(OR(F19="",F19="Sem monitoramento"),"VAZIO",IFERROR(F19/($AI19*24),"-"))</f>
        <v>0.22661458333333334</v>
      </c>
      <c r="AN19" s="68">
        <f t="shared" ref="AN19:AN31" si="35">IF(OR(G19="",G19="Sem monitoramento"),"VAZIO",IFERROR(G19/($AI19*24),"-"))</f>
        <v>8.6927083333333335E-2</v>
      </c>
      <c r="AO19" s="68">
        <f t="shared" ref="AO19:AO31" si="36">IF(OR(H19="",H19="Sem monitoramento"),"VAZIO",IFERROR(H19/($AI19*24),"-"))</f>
        <v>0.23385416666666667</v>
      </c>
      <c r="AP19" s="68">
        <f t="shared" ref="AP19:AP31" si="37">IF(OR(I19="",I19="Sem monitoramento"),"VAZIO",IFERROR(I19/($AI19*24),"-"))</f>
        <v>0.21401041666666665</v>
      </c>
      <c r="AQ19" s="68">
        <f t="shared" ref="AQ19:AQ31" si="38">IF(OR(J19="",J19="Sem monitoramento"),"VAZIO",IFERROR(J19/($AI19*24),"-"))</f>
        <v>0.21869791666666666</v>
      </c>
      <c r="AR19" s="68">
        <f t="shared" ref="AR19:AR31" si="39">IF(OR(K19="",K19="Sem monitoramento"),"VAZIO",IFERROR(K19/($AI19*24),"-"))</f>
        <v>0.19833333333333333</v>
      </c>
      <c r="AS19" s="68">
        <f>IF(OR(L21="",L21="Sem monitoramento"),"VAZIO",IFERROR(L21/($AI19*24),"-"))</f>
        <v>0.18687500000000001</v>
      </c>
      <c r="AT19" s="68" t="e">
        <f>IF(OR(#REF!="",#REF!="Sem monitoramento"),"VAZIO",IFERROR(#REF!/($AI19*24),"-"))</f>
        <v>#REF!</v>
      </c>
      <c r="AU19" s="68">
        <f t="shared" si="31"/>
        <v>0.23348958333333333</v>
      </c>
      <c r="AV19" s="68">
        <f t="shared" si="31"/>
        <v>0.18026041666666667</v>
      </c>
      <c r="AW19" s="68">
        <f t="shared" si="31"/>
        <v>0.22463541666666667</v>
      </c>
      <c r="AX19" s="68">
        <f t="shared" si="31"/>
        <v>0.17614583333333333</v>
      </c>
      <c r="AY19" s="68">
        <f t="shared" si="31"/>
        <v>0.20484375000000002</v>
      </c>
      <c r="AZ19" s="68">
        <f t="shared" si="31"/>
        <v>0.20817708333333332</v>
      </c>
      <c r="BA19" s="68">
        <f t="shared" si="29"/>
        <v>0.17588541666666666</v>
      </c>
      <c r="BB19" s="68">
        <f t="shared" si="19"/>
        <v>4.6458333333333338E-2</v>
      </c>
      <c r="BC19" s="68">
        <f t="shared" ref="BC19:BD23" si="40">IF(OR(V19="",V19="Sem monitoramento"),"VAZIO",IFERROR(V19/($AI19*24),"-"))</f>
        <v>0.13302083333333334</v>
      </c>
      <c r="BD19" s="68">
        <f t="shared" si="40"/>
        <v>0.19578124999999999</v>
      </c>
      <c r="BE19" s="68">
        <f>IF(OR(X21="",X21="Sem monitoramento"),"VAZIO",IFERROR(X21/($AI19*24),"-"))</f>
        <v>0.17489583333333333</v>
      </c>
      <c r="BF19" s="68">
        <f>IF(OR(Y17="",Y17="Sem monitoramento"),"VAZIO",IFERROR(Y17/($AI19*24),"-"))</f>
        <v>0.26531250000000001</v>
      </c>
      <c r="BG19" s="68">
        <f t="shared" si="20"/>
        <v>0.19947916666666668</v>
      </c>
      <c r="BH19" s="68">
        <f t="shared" si="21"/>
        <v>0.21916666666666668</v>
      </c>
      <c r="BI19" s="68">
        <f t="shared" si="24"/>
        <v>0.20161458333333335</v>
      </c>
      <c r="BJ19" s="68">
        <f t="shared" si="22"/>
        <v>0.1446875</v>
      </c>
      <c r="BK19" s="68">
        <f t="shared" si="10"/>
        <v>0.14453125</v>
      </c>
      <c r="BL19" s="68">
        <f t="shared" si="11"/>
        <v>0.21942708333333333</v>
      </c>
      <c r="BM19" s="68">
        <f t="shared" si="12"/>
        <v>0.21062499999999998</v>
      </c>
      <c r="BN19" s="68">
        <f t="shared" si="23"/>
        <v>0.21119791666666668</v>
      </c>
      <c r="BO19" s="70">
        <f t="shared" si="6"/>
        <v>0.18645138888888887</v>
      </c>
      <c r="BP19" s="180">
        <f>'FCs estimados em PVsyst'!Y17</f>
        <v>0.168125</v>
      </c>
      <c r="BQ19" s="72">
        <f t="shared" si="26"/>
        <v>13.45</v>
      </c>
      <c r="BR19" s="73">
        <f t="shared" si="27"/>
        <v>5.8489583333333345E-2</v>
      </c>
      <c r="BS19" s="74">
        <f t="shared" si="9"/>
        <v>1.8326388888888878E-2</v>
      </c>
      <c r="BT19" s="15" t="s">
        <v>24</v>
      </c>
      <c r="BU19" s="3"/>
      <c r="BV19" s="2"/>
      <c r="BW19" s="2"/>
    </row>
    <row r="20" spans="2:75" x14ac:dyDescent="0.3">
      <c r="B20" s="775"/>
      <c r="C20" s="326" t="s">
        <v>25</v>
      </c>
      <c r="D20" s="305">
        <v>365</v>
      </c>
      <c r="E20" s="63">
        <v>197</v>
      </c>
      <c r="F20" s="63">
        <v>352.8</v>
      </c>
      <c r="G20" s="63">
        <v>450.5</v>
      </c>
      <c r="H20" s="283">
        <v>572.1</v>
      </c>
      <c r="I20" s="63">
        <v>502.5</v>
      </c>
      <c r="J20" s="283">
        <v>502.1</v>
      </c>
      <c r="K20" s="63">
        <v>518.70000000000005</v>
      </c>
      <c r="L20" s="63">
        <v>428.8</v>
      </c>
      <c r="M20" s="63">
        <v>561.79999999999995</v>
      </c>
      <c r="N20" s="316">
        <v>585.70000000000005</v>
      </c>
      <c r="O20" s="63">
        <v>470.5</v>
      </c>
      <c r="P20" s="63">
        <v>530.4</v>
      </c>
      <c r="Q20" s="283">
        <v>474.4</v>
      </c>
      <c r="R20" s="63">
        <v>508.9</v>
      </c>
      <c r="S20" s="63">
        <v>491.9</v>
      </c>
      <c r="T20" s="283">
        <v>434.4</v>
      </c>
      <c r="U20" s="63">
        <v>122.5</v>
      </c>
      <c r="V20" s="283">
        <v>330</v>
      </c>
      <c r="W20" s="283">
        <v>469.1</v>
      </c>
      <c r="X20" s="283">
        <v>415.2</v>
      </c>
      <c r="Y20" s="63">
        <v>584</v>
      </c>
      <c r="Z20" s="15">
        <v>480.8</v>
      </c>
      <c r="AA20" s="18">
        <v>553.6</v>
      </c>
      <c r="AB20" s="20">
        <v>522.5</v>
      </c>
      <c r="AC20" s="15">
        <v>368.9</v>
      </c>
      <c r="AD20" s="283">
        <v>353.6</v>
      </c>
      <c r="AE20" s="221">
        <v>569.5</v>
      </c>
      <c r="AF20" s="15">
        <v>548.79999999999995</v>
      </c>
      <c r="AG20" s="15">
        <v>543.70000000000005</v>
      </c>
      <c r="AH20" s="290">
        <f t="shared" si="0"/>
        <v>13809.699999999999</v>
      </c>
      <c r="AI20" s="118">
        <v>100</v>
      </c>
      <c r="AJ20" s="121">
        <f t="shared" si="25"/>
        <v>8.1666666666666676E-3</v>
      </c>
      <c r="AK20" s="67">
        <f t="shared" si="32"/>
        <v>0.15208333333333332</v>
      </c>
      <c r="AL20" s="68">
        <f t="shared" si="33"/>
        <v>8.2083333333333328E-2</v>
      </c>
      <c r="AM20" s="68">
        <f t="shared" si="34"/>
        <v>0.14699999999999999</v>
      </c>
      <c r="AN20" s="68">
        <f t="shared" si="35"/>
        <v>0.18770833333333334</v>
      </c>
      <c r="AO20" s="68">
        <f t="shared" si="36"/>
        <v>0.238375</v>
      </c>
      <c r="AP20" s="68">
        <f t="shared" si="37"/>
        <v>0.20937500000000001</v>
      </c>
      <c r="AQ20" s="68">
        <f t="shared" si="38"/>
        <v>0.20920833333333333</v>
      </c>
      <c r="AR20" s="68">
        <f t="shared" si="39"/>
        <v>0.21612500000000001</v>
      </c>
      <c r="AS20" s="68">
        <f t="shared" ref="AS20:AS31" si="41">IF(OR(L20="",L20="Sem monitoramento"),"VAZIO",IFERROR(L20/($AI20*24),"-"))</f>
        <v>0.17866666666666667</v>
      </c>
      <c r="AT20" s="68">
        <f t="shared" ref="AT20:AT31" si="42">IF(OR(M20="",M20="Sem monitoramento"),"VAZIO",IFERROR(M20/($AI20*24),"-"))</f>
        <v>0.23408333333333331</v>
      </c>
      <c r="AU20" s="68">
        <f>IF(OR(N21="",N21="Sem monitoramento"),"VAZIO",IFERROR(N21/($AI20*24),"-"))</f>
        <v>0.21625</v>
      </c>
      <c r="AV20" s="68">
        <f t="shared" ref="AV20:AY22" si="43">IF(OR(O20="",O20="Sem monitoramento"),"VAZIO",IFERROR(O20/($AI20*24),"-"))</f>
        <v>0.19604166666666667</v>
      </c>
      <c r="AW20" s="68">
        <f t="shared" si="43"/>
        <v>0.221</v>
      </c>
      <c r="AX20" s="68">
        <f t="shared" si="43"/>
        <v>0.19766666666666666</v>
      </c>
      <c r="AY20" s="68">
        <f t="shared" si="43"/>
        <v>0.21204166666666666</v>
      </c>
      <c r="AZ20" s="68">
        <f>IF(OR(S21="",S21="Sem monitoramento"),"VAZIO",IFERROR(S21/($AI20*24),"-"))</f>
        <v>0.18108333333333335</v>
      </c>
      <c r="BA20" s="68">
        <f t="shared" si="29"/>
        <v>0.18099999999999999</v>
      </c>
      <c r="BB20" s="68">
        <f t="shared" si="19"/>
        <v>5.1041666666666666E-2</v>
      </c>
      <c r="BC20" s="68">
        <f t="shared" si="40"/>
        <v>0.13750000000000001</v>
      </c>
      <c r="BD20" s="68">
        <f t="shared" si="40"/>
        <v>0.19545833333333335</v>
      </c>
      <c r="BE20" s="68">
        <f>IF(OR(X22="",X22="Sem monitoramento"),"VAZIO",IFERROR(X22/($AI20*24),"-"))</f>
        <v>0.21224999999999999</v>
      </c>
      <c r="BF20" s="68">
        <f>IF(OR(Y18="",Y18="Sem monitoramento"),"VAZIO",IFERROR(Y18/($AI20*24),"-"))</f>
        <v>0.21633333333333335</v>
      </c>
      <c r="BG20" s="68">
        <f t="shared" si="20"/>
        <v>0.20033333333333334</v>
      </c>
      <c r="BH20" s="68">
        <f t="shared" si="21"/>
        <v>0.23066666666666669</v>
      </c>
      <c r="BI20" s="68">
        <f t="shared" si="24"/>
        <v>0.21770833333333334</v>
      </c>
      <c r="BJ20" s="68">
        <f t="shared" si="22"/>
        <v>0.15370833333333334</v>
      </c>
      <c r="BK20" s="68">
        <f t="shared" si="10"/>
        <v>0.14733333333333334</v>
      </c>
      <c r="BL20" s="68">
        <f t="shared" si="11"/>
        <v>0.23729166666666668</v>
      </c>
      <c r="BM20" s="68">
        <f t="shared" si="12"/>
        <v>0.22866666666666666</v>
      </c>
      <c r="BN20" s="68">
        <f t="shared" si="23"/>
        <v>0.2265416666666667</v>
      </c>
      <c r="BO20" s="70">
        <f t="shared" si="6"/>
        <v>0.19180138888888887</v>
      </c>
      <c r="BP20" s="198">
        <f t="shared" ref="BP20:BP30" si="44">$BP$19</f>
        <v>0.168125</v>
      </c>
      <c r="BQ20" s="72">
        <f t="shared" si="26"/>
        <v>16.8125</v>
      </c>
      <c r="BR20" s="73">
        <f t="shared" si="27"/>
        <v>-2.1125000000000005E-2</v>
      </c>
      <c r="BS20" s="74">
        <f t="shared" si="9"/>
        <v>2.3676388888888872E-2</v>
      </c>
      <c r="BT20" s="15" t="s">
        <v>25</v>
      </c>
      <c r="BU20" s="3"/>
      <c r="BV20" s="2"/>
      <c r="BW20" s="2"/>
    </row>
    <row r="21" spans="2:75" x14ac:dyDescent="0.3">
      <c r="B21" s="775"/>
      <c r="C21" s="326" t="s">
        <v>26</v>
      </c>
      <c r="D21" s="305">
        <v>21</v>
      </c>
      <c r="E21" s="282">
        <v>106.9</v>
      </c>
      <c r="F21" s="283">
        <v>500</v>
      </c>
      <c r="G21" s="283">
        <v>406.9</v>
      </c>
      <c r="H21" s="283">
        <v>506.9</v>
      </c>
      <c r="I21" s="63">
        <v>457.6</v>
      </c>
      <c r="J21" s="283">
        <v>444.4</v>
      </c>
      <c r="K21" s="63">
        <v>446.2</v>
      </c>
      <c r="L21" s="283">
        <v>358.8</v>
      </c>
      <c r="M21" s="316">
        <v>483.4</v>
      </c>
      <c r="N21" s="63">
        <v>519</v>
      </c>
      <c r="O21" s="63">
        <v>393.9</v>
      </c>
      <c r="P21" s="63">
        <v>470.9</v>
      </c>
      <c r="Q21" s="283">
        <v>401.9</v>
      </c>
      <c r="R21" s="63">
        <v>423.2</v>
      </c>
      <c r="S21" s="63">
        <v>434.6</v>
      </c>
      <c r="T21" s="283">
        <v>362.6</v>
      </c>
      <c r="U21" s="283">
        <v>103.4</v>
      </c>
      <c r="V21" s="283">
        <v>287.5</v>
      </c>
      <c r="W21" s="283">
        <v>391.3</v>
      </c>
      <c r="X21" s="283">
        <v>335.8</v>
      </c>
      <c r="Y21" s="283">
        <v>501.7</v>
      </c>
      <c r="Z21" s="221">
        <v>410</v>
      </c>
      <c r="AA21" s="320">
        <v>475.8</v>
      </c>
      <c r="AB21" s="323">
        <v>446.3</v>
      </c>
      <c r="AC21" s="221">
        <v>298.7</v>
      </c>
      <c r="AD21" s="283">
        <v>286.2</v>
      </c>
      <c r="AE21" s="221">
        <v>478.2</v>
      </c>
      <c r="AF21" s="221">
        <v>455.6</v>
      </c>
      <c r="AG21" s="221">
        <v>449.2</v>
      </c>
      <c r="AH21" s="290">
        <f t="shared" si="0"/>
        <v>11657.900000000001</v>
      </c>
      <c r="AI21" s="118">
        <v>100</v>
      </c>
      <c r="AJ21" s="121">
        <f t="shared" si="25"/>
        <v>1.1574074074074073E-2</v>
      </c>
      <c r="AK21" s="67">
        <f t="shared" si="32"/>
        <v>8.7500000000000008E-3</v>
      </c>
      <c r="AL21" s="68">
        <f t="shared" si="33"/>
        <v>4.4541666666666667E-2</v>
      </c>
      <c r="AM21" s="68">
        <f t="shared" si="34"/>
        <v>0.20833333333333334</v>
      </c>
      <c r="AN21" s="68">
        <f t="shared" si="35"/>
        <v>0.16954166666666665</v>
      </c>
      <c r="AO21" s="68">
        <f t="shared" si="36"/>
        <v>0.21120833333333333</v>
      </c>
      <c r="AP21" s="68">
        <f t="shared" si="37"/>
        <v>0.19066666666666668</v>
      </c>
      <c r="AQ21" s="68">
        <f t="shared" si="38"/>
        <v>0.18516666666666665</v>
      </c>
      <c r="AR21" s="68">
        <f t="shared" si="39"/>
        <v>0.18591666666666667</v>
      </c>
      <c r="AS21" s="68">
        <f t="shared" si="41"/>
        <v>0.14949999999999999</v>
      </c>
      <c r="AT21" s="68">
        <f>IF(OR(M19="",M19="Sem monitoramento"),"VAZIO",IFERROR(M19/($AI21*24),"-"))</f>
        <v>0.18058333333333332</v>
      </c>
      <c r="AU21" s="68">
        <f>IF(OR(N22="",N22="Sem monitoramento"),"VAZIO",IFERROR(N22/($AI21*24),"-"))</f>
        <v>0.23083333333333333</v>
      </c>
      <c r="AV21" s="68">
        <f t="shared" si="43"/>
        <v>0.16412499999999999</v>
      </c>
      <c r="AW21" s="68">
        <f t="shared" si="43"/>
        <v>0.19620833333333332</v>
      </c>
      <c r="AX21" s="68">
        <f t="shared" si="43"/>
        <v>0.16745833333333332</v>
      </c>
      <c r="AY21" s="68">
        <f t="shared" si="43"/>
        <v>0.17633333333333334</v>
      </c>
      <c r="AZ21" s="68">
        <f>IF(OR(S22="",S22="Sem monitoramento"),"VAZIO",IFERROR(S22/($AI21*24),"-"))</f>
        <v>0.193</v>
      </c>
      <c r="BA21" s="68">
        <f t="shared" si="29"/>
        <v>0.15108333333333335</v>
      </c>
      <c r="BB21" s="68">
        <f t="shared" si="19"/>
        <v>4.3083333333333335E-2</v>
      </c>
      <c r="BC21" s="68">
        <f t="shared" si="40"/>
        <v>0.11979166666666667</v>
      </c>
      <c r="BD21" s="68">
        <f t="shared" si="40"/>
        <v>0.16304166666666667</v>
      </c>
      <c r="BE21" s="68">
        <f>IF(OR(X23="",X23="Sem monitoramento"),"VAZIO",IFERROR(X23/($AI21*24),"-"))</f>
        <v>0.18770833333333334</v>
      </c>
      <c r="BF21" s="68">
        <f t="shared" ref="BF21:BF31" si="45">IF(OR(Y21="",Y21="Sem monitoramento"),"VAZIO",IFERROR(Y21/($AI21*24),"-"))</f>
        <v>0.20904166666666665</v>
      </c>
      <c r="BG21" s="68">
        <f t="shared" si="20"/>
        <v>0.17083333333333334</v>
      </c>
      <c r="BH21" s="68">
        <f t="shared" si="21"/>
        <v>0.19825000000000001</v>
      </c>
      <c r="BI21" s="68">
        <f>IF(OR(AB20="",AB20="Sem monitoramento"),"VAZIO",IFERROR(AB20/($AI21*24),"-"))</f>
        <v>0.21770833333333334</v>
      </c>
      <c r="BJ21" s="68">
        <f t="shared" si="22"/>
        <v>0.12445833333333332</v>
      </c>
      <c r="BK21" s="68">
        <f t="shared" si="10"/>
        <v>0.11924999999999999</v>
      </c>
      <c r="BL21" s="68">
        <f t="shared" si="11"/>
        <v>0.19924999999999998</v>
      </c>
      <c r="BM21" s="68">
        <f t="shared" si="12"/>
        <v>0.18983333333333335</v>
      </c>
      <c r="BN21" s="68">
        <f t="shared" si="23"/>
        <v>0.18716666666666668</v>
      </c>
      <c r="BO21" s="70">
        <f t="shared" si="6"/>
        <v>0.16191527777777781</v>
      </c>
      <c r="BP21" s="198">
        <f t="shared" si="44"/>
        <v>0.168125</v>
      </c>
      <c r="BQ21" s="72">
        <f t="shared" si="26"/>
        <v>16.8125</v>
      </c>
      <c r="BR21" s="73">
        <f t="shared" si="27"/>
        <v>4.0208333333333346E-2</v>
      </c>
      <c r="BS21" s="74">
        <f t="shared" si="9"/>
        <v>-6.209722222222186E-3</v>
      </c>
      <c r="BT21" s="15" t="s">
        <v>26</v>
      </c>
      <c r="BU21" s="3"/>
      <c r="BV21" s="2"/>
      <c r="BW21" s="2"/>
    </row>
    <row r="22" spans="2:75" x14ac:dyDescent="0.3">
      <c r="B22" s="775"/>
      <c r="C22" s="326" t="s">
        <v>28</v>
      </c>
      <c r="D22" s="62">
        <v>572.9</v>
      </c>
      <c r="E22" s="63">
        <v>368</v>
      </c>
      <c r="F22" s="63">
        <v>618.6</v>
      </c>
      <c r="G22" s="63">
        <v>516.20000000000005</v>
      </c>
      <c r="H22" s="63">
        <v>507.4</v>
      </c>
      <c r="I22" s="63">
        <v>539.29999999999995</v>
      </c>
      <c r="J22" s="63">
        <v>570</v>
      </c>
      <c r="K22" s="63">
        <v>536</v>
      </c>
      <c r="L22" s="63">
        <v>463.1</v>
      </c>
      <c r="M22" s="63">
        <v>610.20000000000005</v>
      </c>
      <c r="N22" s="63">
        <v>554</v>
      </c>
      <c r="O22" s="63">
        <v>515</v>
      </c>
      <c r="P22" s="63">
        <v>537.1</v>
      </c>
      <c r="Q22" s="283">
        <v>490</v>
      </c>
      <c r="R22" s="283">
        <v>501</v>
      </c>
      <c r="S22" s="283">
        <v>463.2</v>
      </c>
      <c r="T22" s="63">
        <v>499.2</v>
      </c>
      <c r="U22" s="63">
        <v>151.4</v>
      </c>
      <c r="V22" s="63">
        <v>316.60000000000002</v>
      </c>
      <c r="W22" s="283">
        <v>494.4</v>
      </c>
      <c r="X22" s="63">
        <v>509.4</v>
      </c>
      <c r="Y22" s="63">
        <v>587.9</v>
      </c>
      <c r="Z22" s="15">
        <v>530</v>
      </c>
      <c r="AA22" s="18">
        <v>594.20000000000005</v>
      </c>
      <c r="AB22" s="20">
        <v>568.4</v>
      </c>
      <c r="AC22" s="15">
        <v>398.4</v>
      </c>
      <c r="AD22" s="221">
        <v>397.5</v>
      </c>
      <c r="AE22" s="15">
        <v>556</v>
      </c>
      <c r="AF22" s="15">
        <v>581.9</v>
      </c>
      <c r="AG22" s="15">
        <v>542.6</v>
      </c>
      <c r="AH22" s="290">
        <f t="shared" si="0"/>
        <v>15089.9</v>
      </c>
      <c r="AI22" s="118">
        <v>100</v>
      </c>
      <c r="AJ22" s="121">
        <f t="shared" si="25"/>
        <v>1.4319444444444445E-2</v>
      </c>
      <c r="AK22" s="67">
        <f t="shared" si="32"/>
        <v>0.23870833333333333</v>
      </c>
      <c r="AL22" s="68">
        <f t="shared" si="33"/>
        <v>0.15333333333333332</v>
      </c>
      <c r="AM22" s="68">
        <f t="shared" si="34"/>
        <v>0.25775000000000003</v>
      </c>
      <c r="AN22" s="68">
        <f t="shared" si="35"/>
        <v>0.21508333333333335</v>
      </c>
      <c r="AO22" s="68">
        <f t="shared" si="36"/>
        <v>0.21141666666666667</v>
      </c>
      <c r="AP22" s="68">
        <f t="shared" si="37"/>
        <v>0.22470833333333332</v>
      </c>
      <c r="AQ22" s="68">
        <f t="shared" si="38"/>
        <v>0.23749999999999999</v>
      </c>
      <c r="AR22" s="68">
        <f t="shared" si="39"/>
        <v>0.22333333333333333</v>
      </c>
      <c r="AS22" s="68">
        <f t="shared" si="41"/>
        <v>0.19295833333333334</v>
      </c>
      <c r="AT22" s="68" t="e">
        <f>IF(OR(#REF!="",#REF!="Sem monitoramento"),"VAZIO",IFERROR(#REF!/($AI22*24),"-"))</f>
        <v>#REF!</v>
      </c>
      <c r="AU22" s="68">
        <f t="shared" ref="AU22:AU31" si="46">IF(OR(N22="",N22="Sem monitoramento"),"VAZIO",IFERROR(N22/($AI22*24),"-"))</f>
        <v>0.23083333333333333</v>
      </c>
      <c r="AV22" s="68">
        <f t="shared" si="43"/>
        <v>0.21458333333333332</v>
      </c>
      <c r="AW22" s="68">
        <f t="shared" si="43"/>
        <v>0.22379166666666667</v>
      </c>
      <c r="AX22" s="68">
        <f t="shared" si="43"/>
        <v>0.20416666666666666</v>
      </c>
      <c r="AY22" s="68">
        <f t="shared" si="43"/>
        <v>0.20874999999999999</v>
      </c>
      <c r="AZ22" s="68">
        <f t="shared" ref="AZ22:AZ31" si="47">IF(OR(S22="",S22="Sem monitoramento"),"VAZIO",IFERROR(S22/($AI22*24),"-"))</f>
        <v>0.193</v>
      </c>
      <c r="BA22" s="68">
        <f t="shared" si="29"/>
        <v>0.20799999999999999</v>
      </c>
      <c r="BB22" s="68">
        <f t="shared" si="19"/>
        <v>6.3083333333333338E-2</v>
      </c>
      <c r="BC22" s="68">
        <f t="shared" si="40"/>
        <v>0.13191666666666668</v>
      </c>
      <c r="BD22" s="68">
        <f t="shared" si="40"/>
        <v>0.20599999999999999</v>
      </c>
      <c r="BE22" s="68">
        <f>IF(OR(X22="",X22="Sem monitoramento"),"VAZIO",IFERROR(X22/($AI22*24),"-"))</f>
        <v>0.21224999999999999</v>
      </c>
      <c r="BF22" s="68">
        <f t="shared" si="45"/>
        <v>0.24495833333333333</v>
      </c>
      <c r="BG22" s="68">
        <f t="shared" si="20"/>
        <v>0.22083333333333333</v>
      </c>
      <c r="BH22" s="68">
        <f t="shared" si="21"/>
        <v>0.24758333333333335</v>
      </c>
      <c r="BI22" s="68">
        <f>IF(OR(AB21="",AB21="Sem monitoramento"),"VAZIO",IFERROR(AB21/($AI22*24),"-"))</f>
        <v>0.18595833333333334</v>
      </c>
      <c r="BJ22" s="68">
        <f t="shared" si="22"/>
        <v>0.16599999999999998</v>
      </c>
      <c r="BK22" s="68">
        <f t="shared" si="10"/>
        <v>0.16562499999999999</v>
      </c>
      <c r="BL22" s="68">
        <f t="shared" si="11"/>
        <v>0.23166666666666666</v>
      </c>
      <c r="BM22" s="68">
        <f t="shared" si="12"/>
        <v>0.24245833333333333</v>
      </c>
      <c r="BN22" s="68">
        <f t="shared" si="23"/>
        <v>0.22608333333333333</v>
      </c>
      <c r="BO22" s="70">
        <f t="shared" si="6"/>
        <v>0.20958194444444445</v>
      </c>
      <c r="BP22" s="198">
        <f t="shared" si="44"/>
        <v>0.168125</v>
      </c>
      <c r="BQ22" s="72">
        <f t="shared" si="26"/>
        <v>16.8125</v>
      </c>
      <c r="BR22" s="73">
        <f t="shared" si="27"/>
        <v>8.9625000000000038E-2</v>
      </c>
      <c r="BS22" s="74">
        <f t="shared" si="9"/>
        <v>4.1456944444444449E-2</v>
      </c>
      <c r="BT22" s="15" t="s">
        <v>27</v>
      </c>
      <c r="BU22" s="3"/>
      <c r="BV22" s="2"/>
      <c r="BW22" s="2"/>
    </row>
    <row r="23" spans="2:75" x14ac:dyDescent="0.3">
      <c r="B23" s="775"/>
      <c r="C23" s="326" t="s">
        <v>29</v>
      </c>
      <c r="D23" s="223">
        <v>467.5</v>
      </c>
      <c r="E23" s="63">
        <v>275.89999999999998</v>
      </c>
      <c r="F23" s="283">
        <v>534.20000000000005</v>
      </c>
      <c r="G23" s="63">
        <v>427</v>
      </c>
      <c r="H23" s="63">
        <v>442.5</v>
      </c>
      <c r="I23" s="63">
        <v>482.4</v>
      </c>
      <c r="J23" s="63">
        <v>495.9</v>
      </c>
      <c r="K23" s="63">
        <v>464.2</v>
      </c>
      <c r="L23" s="63">
        <v>387.6</v>
      </c>
      <c r="M23" s="316">
        <v>539.9</v>
      </c>
      <c r="N23" s="63">
        <v>486.8</v>
      </c>
      <c r="O23" s="316">
        <v>443.8</v>
      </c>
      <c r="P23" s="63">
        <v>472.1</v>
      </c>
      <c r="Q23" s="283">
        <v>408.9</v>
      </c>
      <c r="R23" s="63">
        <v>415.5</v>
      </c>
      <c r="S23" s="63">
        <v>402.4</v>
      </c>
      <c r="T23" s="63">
        <v>425.5</v>
      </c>
      <c r="U23" s="63">
        <v>123.3</v>
      </c>
      <c r="V23" s="63">
        <v>254.1</v>
      </c>
      <c r="W23" s="283">
        <v>413.4</v>
      </c>
      <c r="X23" s="63">
        <v>450.5</v>
      </c>
      <c r="Y23" s="63">
        <v>521.70000000000005</v>
      </c>
      <c r="Z23" s="15">
        <v>458.4</v>
      </c>
      <c r="AA23" s="18">
        <v>518.4</v>
      </c>
      <c r="AB23" s="20">
        <v>488.1</v>
      </c>
      <c r="AC23" s="15">
        <v>334.7</v>
      </c>
      <c r="AD23" s="15">
        <v>321.3</v>
      </c>
      <c r="AE23" s="15">
        <v>482.5</v>
      </c>
      <c r="AF23" s="15">
        <v>497.9</v>
      </c>
      <c r="AG23" s="15">
        <v>473.3</v>
      </c>
      <c r="AH23" s="290">
        <f t="shared" si="0"/>
        <v>12909.699999999999</v>
      </c>
      <c r="AI23" s="118">
        <v>100</v>
      </c>
      <c r="AJ23" s="121">
        <f t="shared" si="25"/>
        <v>1.2365740740740741E-2</v>
      </c>
      <c r="AK23" s="67">
        <f t="shared" si="32"/>
        <v>0.19479166666666667</v>
      </c>
      <c r="AL23" s="68">
        <f t="shared" si="33"/>
        <v>0.11495833333333333</v>
      </c>
      <c r="AM23" s="68">
        <f t="shared" si="34"/>
        <v>0.22258333333333336</v>
      </c>
      <c r="AN23" s="68">
        <f t="shared" si="35"/>
        <v>0.17791666666666667</v>
      </c>
      <c r="AO23" s="68">
        <f t="shared" si="36"/>
        <v>0.18437500000000001</v>
      </c>
      <c r="AP23" s="68">
        <f t="shared" si="37"/>
        <v>0.20099999999999998</v>
      </c>
      <c r="AQ23" s="68">
        <f t="shared" si="38"/>
        <v>0.206625</v>
      </c>
      <c r="AR23" s="68">
        <f t="shared" si="39"/>
        <v>0.19341666666666665</v>
      </c>
      <c r="AS23" s="68">
        <f t="shared" si="41"/>
        <v>0.1615</v>
      </c>
      <c r="AT23" s="68">
        <f>IF(OR(M22="",M22="Sem monitoramento"),"VAZIO",IFERROR(M22/($AI23*24),"-"))</f>
        <v>0.25425000000000003</v>
      </c>
      <c r="AU23" s="68">
        <f t="shared" si="46"/>
        <v>0.20283333333333334</v>
      </c>
      <c r="AV23" s="68">
        <f>IF(OR(O20="",O20="Sem monitoramento"),"VAZIO",IFERROR(O20/($AI23*24),"-"))</f>
        <v>0.19604166666666667</v>
      </c>
      <c r="AW23" s="68">
        <f t="shared" ref="AW23:AW31" si="48">IF(OR(P23="",P23="Sem monitoramento"),"VAZIO",IFERROR(P23/($AI23*24),"-"))</f>
        <v>0.19670833333333335</v>
      </c>
      <c r="AX23" s="68">
        <f t="shared" ref="AX23:AX31" si="49">IF(OR(Q23="",Q23="Sem monitoramento"),"VAZIO",IFERROR(Q23/($AI23*24),"-"))</f>
        <v>0.170375</v>
      </c>
      <c r="AY23" s="68">
        <f t="shared" ref="AY23:AY31" si="50">IF(OR(R23="",R23="Sem monitoramento"),"VAZIO",IFERROR(R23/($AI23*24),"-"))</f>
        <v>0.173125</v>
      </c>
      <c r="AZ23" s="68">
        <f t="shared" si="47"/>
        <v>0.16766666666666666</v>
      </c>
      <c r="BA23" s="68">
        <f t="shared" si="29"/>
        <v>0.17729166666666665</v>
      </c>
      <c r="BB23" s="68">
        <f t="shared" si="19"/>
        <v>5.1374999999999997E-2</v>
      </c>
      <c r="BC23" s="68">
        <f t="shared" si="40"/>
        <v>0.105875</v>
      </c>
      <c r="BD23" s="68">
        <f t="shared" si="40"/>
        <v>0.17224999999999999</v>
      </c>
      <c r="BE23" s="68">
        <f>IF(OR(X23="",X23="Sem monitoramento"),"VAZIO",IFERROR(X23/($AI23*24),"-"))</f>
        <v>0.18770833333333334</v>
      </c>
      <c r="BF23" s="68">
        <f t="shared" si="45"/>
        <v>0.21737500000000001</v>
      </c>
      <c r="BG23" s="68">
        <f t="shared" si="20"/>
        <v>0.191</v>
      </c>
      <c r="BH23" s="68">
        <f t="shared" si="21"/>
        <v>0.216</v>
      </c>
      <c r="BI23" s="68">
        <f t="shared" ref="BI23:BI31" si="51">IF(OR(AB23="",AB23="Sem monitoramento"),"VAZIO",IFERROR(AB23/($AI23*24),"-"))</f>
        <v>0.203375</v>
      </c>
      <c r="BJ23" s="68">
        <f t="shared" si="22"/>
        <v>0.13945833333333332</v>
      </c>
      <c r="BK23" s="68">
        <f t="shared" si="10"/>
        <v>0.13387499999999999</v>
      </c>
      <c r="BL23" s="68">
        <f t="shared" si="11"/>
        <v>0.20104166666666667</v>
      </c>
      <c r="BM23" s="68">
        <f t="shared" si="12"/>
        <v>0.20745833333333333</v>
      </c>
      <c r="BN23" s="68">
        <f t="shared" si="23"/>
        <v>0.19720833333333335</v>
      </c>
      <c r="BO23" s="70">
        <f t="shared" si="6"/>
        <v>0.17930138888888889</v>
      </c>
      <c r="BP23" s="198">
        <f t="shared" si="44"/>
        <v>0.168125</v>
      </c>
      <c r="BQ23" s="72">
        <f t="shared" si="26"/>
        <v>16.8125</v>
      </c>
      <c r="BR23" s="73">
        <f t="shared" si="27"/>
        <v>5.4458333333333359E-2</v>
      </c>
      <c r="BS23" s="74">
        <f t="shared" si="9"/>
        <v>1.1176388888888888E-2</v>
      </c>
      <c r="BT23" s="15" t="s">
        <v>28</v>
      </c>
      <c r="BU23" s="3"/>
      <c r="BV23" s="2"/>
      <c r="BW23" s="2"/>
    </row>
    <row r="24" spans="2:75" x14ac:dyDescent="0.3">
      <c r="B24" s="775"/>
      <c r="C24" s="326" t="s">
        <v>30</v>
      </c>
      <c r="D24" s="223">
        <v>1612.3</v>
      </c>
      <c r="E24" s="63">
        <v>802.3</v>
      </c>
      <c r="F24" s="63">
        <v>2065.6999999999998</v>
      </c>
      <c r="G24" s="63">
        <v>1689.1</v>
      </c>
      <c r="H24" s="63">
        <v>1689.1</v>
      </c>
      <c r="I24" s="63">
        <v>1823.3</v>
      </c>
      <c r="J24" s="63">
        <v>1901.6</v>
      </c>
      <c r="K24" s="63">
        <v>1785.6</v>
      </c>
      <c r="L24" s="63">
        <v>1496.2</v>
      </c>
      <c r="M24" s="63">
        <v>1625.5</v>
      </c>
      <c r="N24" s="282">
        <v>1495</v>
      </c>
      <c r="O24" s="282">
        <v>1090</v>
      </c>
      <c r="P24" s="282">
        <v>1193.5999999999999</v>
      </c>
      <c r="Q24" s="283">
        <v>1593</v>
      </c>
      <c r="R24" s="63">
        <v>1625.1</v>
      </c>
      <c r="S24" s="63">
        <v>1572.8</v>
      </c>
      <c r="T24" s="63">
        <v>1650</v>
      </c>
      <c r="U24" s="63">
        <v>471.1</v>
      </c>
      <c r="V24" s="31">
        <v>1005.6</v>
      </c>
      <c r="W24" s="283">
        <v>1610</v>
      </c>
      <c r="X24" s="316">
        <v>1763.4</v>
      </c>
      <c r="Y24" s="63">
        <v>1988.4</v>
      </c>
      <c r="Z24" s="15">
        <v>1761.5</v>
      </c>
      <c r="AA24" s="18">
        <v>1972</v>
      </c>
      <c r="AB24" s="323">
        <v>1877.9</v>
      </c>
      <c r="AC24" s="221">
        <v>1304.8</v>
      </c>
      <c r="AD24" s="15">
        <f>467.4+348.4+452.8</f>
        <v>1268.5999999999999</v>
      </c>
      <c r="AE24" s="15">
        <v>1848.2</v>
      </c>
      <c r="AF24" s="15">
        <v>1917.6</v>
      </c>
      <c r="AG24" s="15">
        <v>1806.5</v>
      </c>
      <c r="AH24" s="290">
        <f t="shared" si="0"/>
        <v>47305.799999999996</v>
      </c>
      <c r="AI24" s="118">
        <v>383</v>
      </c>
      <c r="AJ24" s="121">
        <f t="shared" si="25"/>
        <v>1.248489024272314E-2</v>
      </c>
      <c r="AK24" s="67">
        <f t="shared" si="32"/>
        <v>0.17540252393385553</v>
      </c>
      <c r="AL24" s="68">
        <f t="shared" si="33"/>
        <v>8.7282419495213218E-2</v>
      </c>
      <c r="AM24" s="68">
        <f t="shared" si="34"/>
        <v>0.22472802436901651</v>
      </c>
      <c r="AN24" s="68">
        <f t="shared" si="35"/>
        <v>0.18375761531766752</v>
      </c>
      <c r="AO24" s="68">
        <f t="shared" si="36"/>
        <v>0.18375761531766752</v>
      </c>
      <c r="AP24" s="68">
        <f t="shared" si="37"/>
        <v>0.19835726718885988</v>
      </c>
      <c r="AQ24" s="68">
        <f t="shared" si="38"/>
        <v>0.20687554395126195</v>
      </c>
      <c r="AR24" s="68">
        <f t="shared" si="39"/>
        <v>0.19425587467362923</v>
      </c>
      <c r="AS24" s="68">
        <f t="shared" si="41"/>
        <v>0.16277197563098347</v>
      </c>
      <c r="AT24" s="68">
        <f t="shared" si="42"/>
        <v>0.17683855526544823</v>
      </c>
      <c r="AU24" s="68">
        <f t="shared" si="46"/>
        <v>0.1626414273281114</v>
      </c>
      <c r="AV24" s="68">
        <f t="shared" ref="AV24:AV31" si="52">IF(OR(O24="",O24="Sem monitoramento"),"VAZIO",IFERROR(O24/($AI24*24),"-"))</f>
        <v>0.11858137510879026</v>
      </c>
      <c r="AW24" s="68">
        <f t="shared" si="48"/>
        <v>0.12985204525674499</v>
      </c>
      <c r="AX24" s="68">
        <f t="shared" si="49"/>
        <v>0.17330287206266318</v>
      </c>
      <c r="AY24" s="68">
        <f t="shared" si="50"/>
        <v>0.17679503916449085</v>
      </c>
      <c r="AZ24" s="68">
        <f t="shared" si="47"/>
        <v>0.1711053089643168</v>
      </c>
      <c r="BA24" s="68">
        <f t="shared" si="29"/>
        <v>0.17950391644908617</v>
      </c>
      <c r="BB24" s="68">
        <f t="shared" si="19"/>
        <v>5.1251087902523938E-2</v>
      </c>
      <c r="BC24" s="68" t="e">
        <f>IF(OR(#REF!="",#REF!="Sem monitoramento"),"VAZIO",IFERROR(#REF!/($AI24*24),"-"))</f>
        <v>#REF!</v>
      </c>
      <c r="BD24" s="68">
        <f t="shared" ref="BD24:BD31" si="53">IF(OR(W24="",W24="Sem monitoramento"),"VAZIO",IFERROR(W24/($AI24*24),"-"))</f>
        <v>0.17515230635335075</v>
      </c>
      <c r="BE24" s="68" t="e">
        <f>IF(OR(#REF!="",#REF!="Sem monitoramento"),"VAZIO",IFERROR(#REF!/($AI24*24),"-"))</f>
        <v>#REF!</v>
      </c>
      <c r="BF24" s="68">
        <f t="shared" si="45"/>
        <v>0.21631853785900784</v>
      </c>
      <c r="BG24" s="68">
        <f t="shared" si="20"/>
        <v>0.19163402959094866</v>
      </c>
      <c r="BH24" s="68">
        <f t="shared" si="21"/>
        <v>0.21453437771975631</v>
      </c>
      <c r="BI24" s="68">
        <f t="shared" si="51"/>
        <v>0.20429721496953873</v>
      </c>
      <c r="BJ24" s="68">
        <f t="shared" si="22"/>
        <v>0.14194952132288946</v>
      </c>
      <c r="BK24" s="68">
        <f t="shared" si="10"/>
        <v>0.1380113141862489</v>
      </c>
      <c r="BL24" s="68">
        <f t="shared" si="11"/>
        <v>0.20106614447345519</v>
      </c>
      <c r="BM24" s="68">
        <f t="shared" si="12"/>
        <v>0.20861618798955611</v>
      </c>
      <c r="BN24" s="68">
        <f t="shared" si="23"/>
        <v>0.196529590948651</v>
      </c>
      <c r="BO24" s="70">
        <f t="shared" si="6"/>
        <v>0.17154699738903392</v>
      </c>
      <c r="BP24" s="198">
        <f t="shared" si="44"/>
        <v>0.168125</v>
      </c>
      <c r="BQ24" s="72">
        <f>AI24*BP24</f>
        <v>64.391874999999999</v>
      </c>
      <c r="BR24" s="73">
        <f t="shared" si="27"/>
        <v>5.6603024369016514E-2</v>
      </c>
      <c r="BS24" s="74">
        <f t="shared" si="9"/>
        <v>3.4219973890339261E-3</v>
      </c>
      <c r="BT24" s="15" t="s">
        <v>29</v>
      </c>
      <c r="BU24" s="3"/>
      <c r="BV24" s="2"/>
      <c r="BW24" s="2"/>
    </row>
    <row r="25" spans="2:75" x14ac:dyDescent="0.3">
      <c r="B25" s="775"/>
      <c r="C25" s="326" t="s">
        <v>111</v>
      </c>
      <c r="D25" s="223">
        <v>603.9</v>
      </c>
      <c r="E25" s="63">
        <v>388.5</v>
      </c>
      <c r="F25" s="63">
        <v>567.70000000000005</v>
      </c>
      <c r="G25" s="63">
        <v>548.29999999999995</v>
      </c>
      <c r="H25" s="63">
        <v>612.4</v>
      </c>
      <c r="I25" s="63">
        <v>606.9</v>
      </c>
      <c r="J25" s="63">
        <v>498</v>
      </c>
      <c r="K25" s="63">
        <v>526.70000000000005</v>
      </c>
      <c r="L25" s="63">
        <v>302.39999999999998</v>
      </c>
      <c r="M25" s="63">
        <v>441.6</v>
      </c>
      <c r="N25" s="63">
        <v>460.4</v>
      </c>
      <c r="O25" s="63">
        <v>430.3</v>
      </c>
      <c r="P25" s="63">
        <v>421.3</v>
      </c>
      <c r="Q25" s="283">
        <v>440.2</v>
      </c>
      <c r="R25" s="63">
        <v>413.9</v>
      </c>
      <c r="S25" s="63">
        <v>532.70000000000005</v>
      </c>
      <c r="T25" s="63">
        <v>365.5</v>
      </c>
      <c r="U25" s="63">
        <v>238.9</v>
      </c>
      <c r="V25" s="283">
        <v>210.5</v>
      </c>
      <c r="W25" s="283">
        <v>430.7</v>
      </c>
      <c r="X25" s="63">
        <v>550.29999999999995</v>
      </c>
      <c r="Y25" s="63">
        <v>589.1</v>
      </c>
      <c r="Z25" s="221">
        <v>588.1</v>
      </c>
      <c r="AA25" s="18">
        <v>588.79999999999995</v>
      </c>
      <c r="AB25" s="20">
        <v>361.8</v>
      </c>
      <c r="AC25" s="15">
        <v>284.89999999999998</v>
      </c>
      <c r="AD25" s="15">
        <v>585.79999999999995</v>
      </c>
      <c r="AE25" s="15">
        <v>580.5</v>
      </c>
      <c r="AF25" s="193">
        <v>568</v>
      </c>
      <c r="AG25" s="15">
        <v>571.70000000000005</v>
      </c>
      <c r="AH25" s="290">
        <f t="shared" si="0"/>
        <v>14309.799999999997</v>
      </c>
      <c r="AI25" s="118">
        <v>100</v>
      </c>
      <c r="AJ25" s="121">
        <f t="shared" si="25"/>
        <v>1.3141203703703705E-2</v>
      </c>
      <c r="AK25" s="67">
        <f t="shared" si="32"/>
        <v>0.25162499999999999</v>
      </c>
      <c r="AL25" s="68">
        <f t="shared" si="33"/>
        <v>0.16187499999999999</v>
      </c>
      <c r="AM25" s="68">
        <f t="shared" si="34"/>
        <v>0.23654166666666668</v>
      </c>
      <c r="AN25" s="68">
        <f t="shared" si="35"/>
        <v>0.22845833333333332</v>
      </c>
      <c r="AO25" s="68">
        <f t="shared" si="36"/>
        <v>0.25516666666666665</v>
      </c>
      <c r="AP25" s="68">
        <f t="shared" si="37"/>
        <v>0.25287500000000002</v>
      </c>
      <c r="AQ25" s="68">
        <f t="shared" si="38"/>
        <v>0.20749999999999999</v>
      </c>
      <c r="AR25" s="68">
        <f t="shared" si="39"/>
        <v>0.21945833333333334</v>
      </c>
      <c r="AS25" s="68">
        <f t="shared" si="41"/>
        <v>0.126</v>
      </c>
      <c r="AT25" s="68">
        <f t="shared" si="42"/>
        <v>0.184</v>
      </c>
      <c r="AU25" s="68">
        <f t="shared" si="46"/>
        <v>0.19183333333333333</v>
      </c>
      <c r="AV25" s="68">
        <f t="shared" si="52"/>
        <v>0.17929166666666668</v>
      </c>
      <c r="AW25" s="68">
        <f t="shared" si="48"/>
        <v>0.17554166666666668</v>
      </c>
      <c r="AX25" s="68">
        <f t="shared" si="49"/>
        <v>0.18341666666666667</v>
      </c>
      <c r="AY25" s="68">
        <f t="shared" si="50"/>
        <v>0.17245833333333332</v>
      </c>
      <c r="AZ25" s="68">
        <f t="shared" si="47"/>
        <v>0.22195833333333334</v>
      </c>
      <c r="BA25" s="68">
        <f t="shared" si="29"/>
        <v>0.15229166666666666</v>
      </c>
      <c r="BB25" s="68">
        <f t="shared" si="19"/>
        <v>9.9541666666666667E-2</v>
      </c>
      <c r="BC25" s="68">
        <f t="shared" ref="BC25:BC31" si="54">IF(OR(V25="",V25="Sem monitoramento"),"VAZIO",IFERROR(V25/($AI25*24),"-"))</f>
        <v>8.7708333333333333E-2</v>
      </c>
      <c r="BD25" s="68">
        <f t="shared" si="53"/>
        <v>0.17945833333333333</v>
      </c>
      <c r="BE25" s="68">
        <f t="shared" ref="BE25:BE31" si="55">IF(OR(X25="",X25="Sem monitoramento"),"VAZIO",IFERROR(X25/($AI25*24),"-"))</f>
        <v>0.22929166666666664</v>
      </c>
      <c r="BF25" s="68">
        <f t="shared" si="45"/>
        <v>0.24545833333333333</v>
      </c>
      <c r="BG25" s="68">
        <f t="shared" si="20"/>
        <v>0.24504166666666669</v>
      </c>
      <c r="BH25" s="68">
        <f t="shared" si="21"/>
        <v>0.24533333333333332</v>
      </c>
      <c r="BI25" s="68">
        <f t="shared" si="51"/>
        <v>0.15075</v>
      </c>
      <c r="BJ25" s="68">
        <f t="shared" si="22"/>
        <v>0.11870833333333332</v>
      </c>
      <c r="BK25" s="68">
        <f t="shared" si="10"/>
        <v>0.24408333333333332</v>
      </c>
      <c r="BL25" s="68">
        <f t="shared" si="11"/>
        <v>0.24187500000000001</v>
      </c>
      <c r="BM25" s="68">
        <f t="shared" si="12"/>
        <v>0.23666666666666666</v>
      </c>
      <c r="BN25" s="68">
        <f t="shared" si="23"/>
        <v>0.23820833333333336</v>
      </c>
      <c r="BO25" s="70">
        <f t="shared" si="6"/>
        <v>0.19874722222222219</v>
      </c>
      <c r="BP25" s="198">
        <f t="shared" si="44"/>
        <v>0.168125</v>
      </c>
      <c r="BQ25" s="72">
        <f t="shared" si="26"/>
        <v>16.8125</v>
      </c>
      <c r="BR25" s="73">
        <f t="shared" si="27"/>
        <v>6.8416666666666681E-2</v>
      </c>
      <c r="BS25" s="74">
        <f t="shared" si="9"/>
        <v>3.062222222222219E-2</v>
      </c>
      <c r="BT25" s="15" t="s">
        <v>30</v>
      </c>
      <c r="BU25" s="3"/>
      <c r="BV25" s="2"/>
      <c r="BW25" s="2"/>
    </row>
    <row r="26" spans="2:75" x14ac:dyDescent="0.3">
      <c r="B26" s="775"/>
      <c r="C26" s="326" t="s">
        <v>32</v>
      </c>
      <c r="D26" s="62">
        <v>506</v>
      </c>
      <c r="E26" s="283">
        <v>383</v>
      </c>
      <c r="F26" s="63">
        <v>487.6</v>
      </c>
      <c r="G26" s="63">
        <v>464.5</v>
      </c>
      <c r="H26" s="63">
        <v>521.79999999999995</v>
      </c>
      <c r="I26" s="283">
        <v>461.3</v>
      </c>
      <c r="J26" s="63">
        <v>477</v>
      </c>
      <c r="K26" s="63">
        <v>447.5</v>
      </c>
      <c r="L26" s="63">
        <v>382.2</v>
      </c>
      <c r="M26" s="63">
        <v>495.4</v>
      </c>
      <c r="N26" s="63">
        <v>469.1</v>
      </c>
      <c r="O26" s="63">
        <v>413.3</v>
      </c>
      <c r="P26" s="63">
        <v>364.4</v>
      </c>
      <c r="Q26" s="283">
        <v>286.7</v>
      </c>
      <c r="R26" s="63">
        <v>350.8</v>
      </c>
      <c r="S26" s="63">
        <v>470.6</v>
      </c>
      <c r="T26" s="63">
        <v>451.2</v>
      </c>
      <c r="U26" s="63">
        <v>155.69999999999999</v>
      </c>
      <c r="V26" s="283">
        <v>193.4</v>
      </c>
      <c r="W26" s="283">
        <v>436.8</v>
      </c>
      <c r="X26" s="63">
        <v>485.6</v>
      </c>
      <c r="Y26" s="63">
        <v>523.1</v>
      </c>
      <c r="Z26" s="63">
        <v>500.7</v>
      </c>
      <c r="AA26" s="320">
        <v>508.4</v>
      </c>
      <c r="AB26" s="20">
        <v>388.2</v>
      </c>
      <c r="AC26" s="15">
        <v>376.6</v>
      </c>
      <c r="AD26" s="221">
        <v>437.5</v>
      </c>
      <c r="AE26" s="15">
        <v>501</v>
      </c>
      <c r="AF26" s="283">
        <v>288.8</v>
      </c>
      <c r="AG26" s="221">
        <v>492.1</v>
      </c>
      <c r="AH26" s="290">
        <f t="shared" si="0"/>
        <v>12720.300000000001</v>
      </c>
      <c r="AI26" s="118">
        <v>100</v>
      </c>
      <c r="AJ26" s="121">
        <f t="shared" si="25"/>
        <v>1.1287037037037038E-2</v>
      </c>
      <c r="AK26" s="67">
        <f t="shared" si="32"/>
        <v>0.21083333333333334</v>
      </c>
      <c r="AL26" s="68">
        <f t="shared" si="33"/>
        <v>0.15958333333333333</v>
      </c>
      <c r="AM26" s="68">
        <f t="shared" si="34"/>
        <v>0.20316666666666669</v>
      </c>
      <c r="AN26" s="68">
        <f t="shared" si="35"/>
        <v>0.19354166666666667</v>
      </c>
      <c r="AO26" s="68" t="e">
        <f>IF(OR(#REF!="",#REF!="Sem monitoramento"),"VAZIO",IFERROR(#REF!/($AI26*24),"-"))</f>
        <v>#REF!</v>
      </c>
      <c r="AP26" s="68">
        <f t="shared" si="37"/>
        <v>0.19220833333333334</v>
      </c>
      <c r="AQ26" s="68">
        <f t="shared" si="38"/>
        <v>0.19875000000000001</v>
      </c>
      <c r="AR26" s="68">
        <f t="shared" si="39"/>
        <v>0.18645833333333334</v>
      </c>
      <c r="AS26" s="68">
        <f t="shared" si="41"/>
        <v>0.15925</v>
      </c>
      <c r="AT26" s="68">
        <f t="shared" si="42"/>
        <v>0.20641666666666666</v>
      </c>
      <c r="AU26" s="68">
        <f t="shared" si="46"/>
        <v>0.19545833333333335</v>
      </c>
      <c r="AV26" s="68">
        <f t="shared" si="52"/>
        <v>0.17220833333333332</v>
      </c>
      <c r="AW26" s="68">
        <f t="shared" si="48"/>
        <v>0.15183333333333332</v>
      </c>
      <c r="AX26" s="68">
        <f t="shared" si="49"/>
        <v>0.11945833333333333</v>
      </c>
      <c r="AY26" s="68">
        <f t="shared" si="50"/>
        <v>0.14616666666666667</v>
      </c>
      <c r="AZ26" s="68">
        <f t="shared" si="47"/>
        <v>0.19608333333333333</v>
      </c>
      <c r="BA26" s="68">
        <f t="shared" si="29"/>
        <v>0.188</v>
      </c>
      <c r="BB26" s="68">
        <f t="shared" si="19"/>
        <v>6.4875000000000002E-2</v>
      </c>
      <c r="BC26" s="68">
        <f t="shared" si="54"/>
        <v>8.058333333333334E-2</v>
      </c>
      <c r="BD26" s="68">
        <f t="shared" si="53"/>
        <v>0.182</v>
      </c>
      <c r="BE26" s="68">
        <f t="shared" si="55"/>
        <v>0.20233333333333334</v>
      </c>
      <c r="BF26" s="68">
        <f t="shared" si="45"/>
        <v>0.21795833333333334</v>
      </c>
      <c r="BG26" s="68">
        <f t="shared" si="20"/>
        <v>0.208625</v>
      </c>
      <c r="BH26" s="68">
        <f t="shared" si="21"/>
        <v>0.21183333333333332</v>
      </c>
      <c r="BI26" s="68">
        <f t="shared" si="51"/>
        <v>0.16175</v>
      </c>
      <c r="BJ26" s="68">
        <f t="shared" si="22"/>
        <v>0.15691666666666668</v>
      </c>
      <c r="BK26" s="68">
        <f t="shared" si="10"/>
        <v>0.18229166666666666</v>
      </c>
      <c r="BL26" s="68">
        <f t="shared" si="11"/>
        <v>0.20874999999999999</v>
      </c>
      <c r="BM26" s="68">
        <f t="shared" si="12"/>
        <v>0.12033333333333333</v>
      </c>
      <c r="BN26" s="68">
        <f t="shared" si="23"/>
        <v>0.20504166666666668</v>
      </c>
      <c r="BO26" s="70">
        <f t="shared" si="6"/>
        <v>0.17667083333333336</v>
      </c>
      <c r="BP26" s="198">
        <f t="shared" si="44"/>
        <v>0.168125</v>
      </c>
      <c r="BQ26" s="72">
        <f t="shared" si="26"/>
        <v>16.8125</v>
      </c>
      <c r="BR26" s="73">
        <f t="shared" si="27"/>
        <v>3.5041666666666693E-2</v>
      </c>
      <c r="BS26" s="74">
        <f t="shared" si="9"/>
        <v>8.5458333333333636E-3</v>
      </c>
      <c r="BT26" s="15" t="s">
        <v>111</v>
      </c>
      <c r="BU26" s="3"/>
      <c r="BV26" s="2"/>
      <c r="BW26" s="2"/>
    </row>
    <row r="27" spans="2:75" x14ac:dyDescent="0.3">
      <c r="B27" s="775"/>
      <c r="C27" s="326" t="s">
        <v>288</v>
      </c>
      <c r="D27" s="223">
        <v>458.7</v>
      </c>
      <c r="E27" s="63">
        <v>354.6</v>
      </c>
      <c r="F27" s="63">
        <v>446.1</v>
      </c>
      <c r="G27" s="308">
        <v>401.2</v>
      </c>
      <c r="H27" s="316">
        <v>469</v>
      </c>
      <c r="I27" s="283">
        <v>456.4</v>
      </c>
      <c r="J27" s="283">
        <v>436.7</v>
      </c>
      <c r="K27" s="283">
        <v>434.8</v>
      </c>
      <c r="L27" s="63">
        <v>388.7</v>
      </c>
      <c r="M27" s="63">
        <v>456.3</v>
      </c>
      <c r="N27" s="63">
        <v>426.1</v>
      </c>
      <c r="O27" s="63">
        <v>445</v>
      </c>
      <c r="P27" s="63">
        <v>411</v>
      </c>
      <c r="Q27" s="283">
        <v>338.3</v>
      </c>
      <c r="R27" s="63">
        <v>375.6</v>
      </c>
      <c r="S27" s="63">
        <v>499</v>
      </c>
      <c r="T27" s="283">
        <v>377</v>
      </c>
      <c r="U27" s="283">
        <v>138.30000000000001</v>
      </c>
      <c r="V27" s="283">
        <v>219.7</v>
      </c>
      <c r="W27" s="283">
        <v>381.6</v>
      </c>
      <c r="X27" s="283">
        <v>473.1</v>
      </c>
      <c r="Y27" s="283">
        <v>534.20000000000005</v>
      </c>
      <c r="Z27" s="221">
        <v>516.20000000000005</v>
      </c>
      <c r="AA27" s="320">
        <v>506</v>
      </c>
      <c r="AB27" s="323">
        <v>380.8</v>
      </c>
      <c r="AC27" s="283">
        <v>300.89999999999998</v>
      </c>
      <c r="AD27" s="221">
        <v>511.6</v>
      </c>
      <c r="AE27" s="221">
        <v>505</v>
      </c>
      <c r="AF27" s="15">
        <v>467.1</v>
      </c>
      <c r="AG27" s="15">
        <v>500</v>
      </c>
      <c r="AH27" s="290">
        <f t="shared" si="0"/>
        <v>12609.000000000002</v>
      </c>
      <c r="AI27" s="118">
        <v>100</v>
      </c>
      <c r="AJ27" s="121">
        <f t="shared" si="25"/>
        <v>1.032638888888889E-2</v>
      </c>
      <c r="AK27" s="67">
        <f t="shared" si="32"/>
        <v>0.19112499999999999</v>
      </c>
      <c r="AL27" s="68">
        <f t="shared" si="33"/>
        <v>0.14775000000000002</v>
      </c>
      <c r="AM27" s="68">
        <f t="shared" si="34"/>
        <v>0.18587500000000001</v>
      </c>
      <c r="AN27" s="68">
        <f t="shared" si="35"/>
        <v>0.16716666666666666</v>
      </c>
      <c r="AO27" s="68">
        <f>IF(OR(H26="",H26="Sem monitoramento"),"VAZIO",IFERROR(H26/($AI27*24),"-"))</f>
        <v>0.21741666666666665</v>
      </c>
      <c r="AP27" s="68">
        <f t="shared" si="37"/>
        <v>0.19016666666666665</v>
      </c>
      <c r="AQ27" s="68">
        <f t="shared" si="38"/>
        <v>0.18195833333333333</v>
      </c>
      <c r="AR27" s="68">
        <f t="shared" si="39"/>
        <v>0.18116666666666667</v>
      </c>
      <c r="AS27" s="68">
        <f t="shared" si="41"/>
        <v>0.16195833333333332</v>
      </c>
      <c r="AT27" s="68">
        <f t="shared" si="42"/>
        <v>0.19012500000000002</v>
      </c>
      <c r="AU27" s="68">
        <f t="shared" si="46"/>
        <v>0.17754166666666668</v>
      </c>
      <c r="AV27" s="68">
        <f t="shared" si="52"/>
        <v>0.18541666666666667</v>
      </c>
      <c r="AW27" s="68">
        <f t="shared" si="48"/>
        <v>0.17125000000000001</v>
      </c>
      <c r="AX27" s="68">
        <f t="shared" si="49"/>
        <v>0.14095833333333332</v>
      </c>
      <c r="AY27" s="68">
        <f t="shared" si="50"/>
        <v>0.1565</v>
      </c>
      <c r="AZ27" s="68">
        <f t="shared" si="47"/>
        <v>0.20791666666666667</v>
      </c>
      <c r="BA27" s="68">
        <f t="shared" si="29"/>
        <v>0.15708333333333332</v>
      </c>
      <c r="BB27" s="68">
        <f t="shared" si="19"/>
        <v>5.7625000000000003E-2</v>
      </c>
      <c r="BC27" s="68">
        <f t="shared" si="54"/>
        <v>9.154166666666666E-2</v>
      </c>
      <c r="BD27" s="68">
        <f t="shared" si="53"/>
        <v>0.159</v>
      </c>
      <c r="BE27" s="68">
        <f t="shared" si="55"/>
        <v>0.19712500000000002</v>
      </c>
      <c r="BF27" s="68">
        <f t="shared" si="45"/>
        <v>0.22258333333333336</v>
      </c>
      <c r="BG27" s="68">
        <f t="shared" si="20"/>
        <v>0.21508333333333335</v>
      </c>
      <c r="BH27" s="68">
        <f t="shared" si="21"/>
        <v>0.21083333333333334</v>
      </c>
      <c r="BI27" s="68">
        <f t="shared" si="51"/>
        <v>0.15866666666666668</v>
      </c>
      <c r="BJ27" s="68">
        <f t="shared" si="22"/>
        <v>0.12537499999999999</v>
      </c>
      <c r="BK27" s="68">
        <f t="shared" si="10"/>
        <v>0.21316666666666667</v>
      </c>
      <c r="BL27" s="68">
        <f t="shared" si="11"/>
        <v>0.21041666666666667</v>
      </c>
      <c r="BM27" s="68">
        <f t="shared" si="12"/>
        <v>0.19462500000000002</v>
      </c>
      <c r="BN27" s="68">
        <f t="shared" si="23"/>
        <v>0.20833333333333334</v>
      </c>
      <c r="BO27" s="70">
        <f t="shared" si="6"/>
        <v>0.17512500000000003</v>
      </c>
      <c r="BP27" s="198">
        <f t="shared" si="44"/>
        <v>0.168125</v>
      </c>
      <c r="BQ27" s="72">
        <f t="shared" si="26"/>
        <v>16.8125</v>
      </c>
      <c r="BR27" s="73">
        <f t="shared" si="27"/>
        <v>1.7750000000000016E-2</v>
      </c>
      <c r="BS27" s="74">
        <f t="shared" si="9"/>
        <v>7.000000000000034E-3</v>
      </c>
      <c r="BT27" s="15" t="s">
        <v>32</v>
      </c>
      <c r="BU27" s="3"/>
      <c r="BV27" s="2"/>
      <c r="BW27" s="2"/>
    </row>
    <row r="28" spans="2:75" x14ac:dyDescent="0.3">
      <c r="B28" s="775"/>
      <c r="C28" s="326" t="s">
        <v>112</v>
      </c>
      <c r="D28" s="223">
        <v>439.6</v>
      </c>
      <c r="E28" s="63">
        <v>387.9</v>
      </c>
      <c r="F28" s="63">
        <v>428.7</v>
      </c>
      <c r="G28" s="308">
        <v>377.9</v>
      </c>
      <c r="H28" s="63">
        <v>446.4</v>
      </c>
      <c r="I28" s="283">
        <v>386.5</v>
      </c>
      <c r="J28" s="283">
        <v>372.7</v>
      </c>
      <c r="K28" s="283">
        <v>386.3</v>
      </c>
      <c r="L28" s="63">
        <v>331.6</v>
      </c>
      <c r="M28" s="63">
        <v>416.4</v>
      </c>
      <c r="N28" s="63">
        <v>419</v>
      </c>
      <c r="O28" s="63">
        <v>383.7</v>
      </c>
      <c r="P28" s="63">
        <v>370</v>
      </c>
      <c r="Q28" s="283">
        <v>326</v>
      </c>
      <c r="R28" s="63">
        <v>335.5</v>
      </c>
      <c r="S28" s="63">
        <v>452.2</v>
      </c>
      <c r="T28" s="283">
        <v>387.2</v>
      </c>
      <c r="U28" s="283">
        <v>27.6</v>
      </c>
      <c r="V28" s="283">
        <v>202.4</v>
      </c>
      <c r="W28" s="283">
        <v>322.3</v>
      </c>
      <c r="X28" s="283">
        <v>421.8</v>
      </c>
      <c r="Y28" s="283">
        <v>491.6</v>
      </c>
      <c r="Z28" s="221">
        <v>488.5</v>
      </c>
      <c r="AA28" s="320">
        <v>485</v>
      </c>
      <c r="AB28" s="323">
        <v>366.6</v>
      </c>
      <c r="AC28" s="283">
        <v>261.10000000000002</v>
      </c>
      <c r="AD28" s="221">
        <v>484.3</v>
      </c>
      <c r="AE28" s="221">
        <v>486.6</v>
      </c>
      <c r="AF28" s="15">
        <v>420.1</v>
      </c>
      <c r="AG28" s="15">
        <v>481</v>
      </c>
      <c r="AH28" s="290">
        <f t="shared" si="0"/>
        <v>11586.5</v>
      </c>
      <c r="AI28" s="301">
        <v>100</v>
      </c>
      <c r="AJ28" s="121">
        <f t="shared" si="25"/>
        <v>9.9236111111111105E-3</v>
      </c>
      <c r="AK28" s="302">
        <f t="shared" si="32"/>
        <v>0.18316666666666667</v>
      </c>
      <c r="AL28" s="303">
        <f t="shared" si="33"/>
        <v>0.16162499999999999</v>
      </c>
      <c r="AM28" s="303">
        <f t="shared" si="34"/>
        <v>0.17862500000000001</v>
      </c>
      <c r="AN28" s="303">
        <f t="shared" si="35"/>
        <v>0.15745833333333331</v>
      </c>
      <c r="AO28" s="303">
        <f t="shared" si="36"/>
        <v>0.186</v>
      </c>
      <c r="AP28" s="303">
        <f t="shared" si="37"/>
        <v>0.16104166666666667</v>
      </c>
      <c r="AQ28" s="303">
        <f t="shared" si="38"/>
        <v>0.15529166666666666</v>
      </c>
      <c r="AR28" s="303">
        <f t="shared" si="39"/>
        <v>0.16095833333333334</v>
      </c>
      <c r="AS28" s="303">
        <f t="shared" si="41"/>
        <v>0.13816666666666669</v>
      </c>
      <c r="AT28" s="303">
        <f t="shared" si="42"/>
        <v>0.17349999999999999</v>
      </c>
      <c r="AU28" s="303">
        <f t="shared" si="46"/>
        <v>0.17458333333333334</v>
      </c>
      <c r="AV28" s="303">
        <f t="shared" si="52"/>
        <v>0.15987499999999999</v>
      </c>
      <c r="AW28" s="303">
        <f t="shared" si="48"/>
        <v>0.15416666666666667</v>
      </c>
      <c r="AX28" s="303">
        <f t="shared" si="49"/>
        <v>0.13583333333333333</v>
      </c>
      <c r="AY28" s="303">
        <f t="shared" si="50"/>
        <v>0.13979166666666668</v>
      </c>
      <c r="AZ28" s="303">
        <f t="shared" si="47"/>
        <v>0.18841666666666665</v>
      </c>
      <c r="BA28" s="303">
        <f t="shared" si="29"/>
        <v>0.16133333333333333</v>
      </c>
      <c r="BB28" s="303">
        <f t="shared" si="19"/>
        <v>1.15E-2</v>
      </c>
      <c r="BC28" s="303">
        <f t="shared" si="54"/>
        <v>8.433333333333333E-2</v>
      </c>
      <c r="BD28" s="303">
        <f t="shared" si="53"/>
        <v>0.13429166666666667</v>
      </c>
      <c r="BE28" s="303">
        <f t="shared" si="55"/>
        <v>0.17575000000000002</v>
      </c>
      <c r="BF28" s="303">
        <f t="shared" si="45"/>
        <v>0.20483333333333334</v>
      </c>
      <c r="BG28" s="303">
        <f t="shared" si="20"/>
        <v>0.20354166666666668</v>
      </c>
      <c r="BH28" s="303">
        <f t="shared" si="21"/>
        <v>0.20208333333333334</v>
      </c>
      <c r="BI28" s="303">
        <f t="shared" si="51"/>
        <v>0.15275</v>
      </c>
      <c r="BJ28" s="303">
        <f t="shared" si="22"/>
        <v>0.10879166666666668</v>
      </c>
      <c r="BK28" s="303">
        <f t="shared" si="10"/>
        <v>0.20179166666666667</v>
      </c>
      <c r="BL28" s="303">
        <f t="shared" si="11"/>
        <v>0.20275000000000001</v>
      </c>
      <c r="BM28" s="303">
        <f t="shared" si="12"/>
        <v>0.17504166666666668</v>
      </c>
      <c r="BN28" s="303">
        <f t="shared" si="23"/>
        <v>0.20041666666666666</v>
      </c>
      <c r="BO28" s="304">
        <f t="shared" si="6"/>
        <v>0.16092361111111111</v>
      </c>
      <c r="BP28" s="198">
        <f t="shared" si="44"/>
        <v>0.168125</v>
      </c>
      <c r="BQ28" s="72">
        <f t="shared" si="26"/>
        <v>16.8125</v>
      </c>
      <c r="BR28" s="73">
        <f t="shared" si="27"/>
        <v>1.0500000000000009E-2</v>
      </c>
      <c r="BS28" s="74">
        <f>BO28-BP28</f>
        <v>-7.2013888888888822E-3</v>
      </c>
      <c r="BT28" s="15" t="s">
        <v>440</v>
      </c>
      <c r="BU28" s="3"/>
      <c r="BV28" s="2"/>
      <c r="BW28" s="2"/>
    </row>
    <row r="29" spans="2:75" ht="15" thickBot="1" x14ac:dyDescent="0.35">
      <c r="B29" s="775"/>
      <c r="C29" s="326" t="s">
        <v>289</v>
      </c>
      <c r="D29" s="305">
        <v>228.7</v>
      </c>
      <c r="E29" s="63">
        <v>246.7</v>
      </c>
      <c r="F29" s="63">
        <v>296.2</v>
      </c>
      <c r="G29" s="308">
        <v>225</v>
      </c>
      <c r="H29" s="63">
        <v>309.8</v>
      </c>
      <c r="I29" s="312">
        <v>244.4</v>
      </c>
      <c r="J29" s="312">
        <v>242.2</v>
      </c>
      <c r="K29" s="282">
        <v>245.1</v>
      </c>
      <c r="L29" s="282">
        <v>192.7</v>
      </c>
      <c r="M29" s="282">
        <v>241.2</v>
      </c>
      <c r="N29" s="282">
        <v>92.9</v>
      </c>
      <c r="O29" s="282">
        <v>0</v>
      </c>
      <c r="P29" s="282">
        <v>0</v>
      </c>
      <c r="Q29" s="282">
        <v>0</v>
      </c>
      <c r="R29" s="282">
        <v>0</v>
      </c>
      <c r="S29" s="282">
        <v>0</v>
      </c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221">
        <v>0</v>
      </c>
      <c r="AA29" s="320">
        <v>0</v>
      </c>
      <c r="AB29" s="323">
        <v>0</v>
      </c>
      <c r="AC29" s="283">
        <v>0</v>
      </c>
      <c r="AD29" s="221">
        <v>120.8</v>
      </c>
      <c r="AE29" s="354">
        <v>70.2</v>
      </c>
      <c r="AF29" s="354">
        <v>136.1</v>
      </c>
      <c r="AG29" s="354">
        <v>82.1</v>
      </c>
      <c r="AH29" s="290">
        <f t="shared" si="0"/>
        <v>2974.0999999999995</v>
      </c>
      <c r="AI29" s="119">
        <v>100</v>
      </c>
      <c r="AJ29" s="121">
        <f t="shared" si="25"/>
        <v>6.8564814814814816E-3</v>
      </c>
      <c r="AK29" s="98">
        <f t="shared" si="32"/>
        <v>9.5291666666666663E-2</v>
      </c>
      <c r="AL29" s="99">
        <f t="shared" si="33"/>
        <v>0.10279166666666666</v>
      </c>
      <c r="AM29" s="99">
        <f t="shared" si="34"/>
        <v>0.12341666666666666</v>
      </c>
      <c r="AN29" s="99">
        <f t="shared" si="35"/>
        <v>9.375E-2</v>
      </c>
      <c r="AO29" s="99">
        <f t="shared" si="36"/>
        <v>0.12908333333333333</v>
      </c>
      <c r="AP29" s="99">
        <f t="shared" si="37"/>
        <v>0.10183333333333333</v>
      </c>
      <c r="AQ29" s="99">
        <f t="shared" si="38"/>
        <v>0.10091666666666667</v>
      </c>
      <c r="AR29" s="99">
        <f t="shared" si="39"/>
        <v>0.10212499999999999</v>
      </c>
      <c r="AS29" s="99">
        <f t="shared" si="41"/>
        <v>8.0291666666666664E-2</v>
      </c>
      <c r="AT29" s="99">
        <f t="shared" si="42"/>
        <v>0.10049999999999999</v>
      </c>
      <c r="AU29" s="99">
        <f t="shared" si="46"/>
        <v>3.8708333333333338E-2</v>
      </c>
      <c r="AV29" s="99">
        <f t="shared" si="52"/>
        <v>0</v>
      </c>
      <c r="AW29" s="99">
        <f t="shared" si="48"/>
        <v>0</v>
      </c>
      <c r="AX29" s="99">
        <f t="shared" si="49"/>
        <v>0</v>
      </c>
      <c r="AY29" s="99">
        <f t="shared" si="50"/>
        <v>0</v>
      </c>
      <c r="AZ29" s="99">
        <f t="shared" si="47"/>
        <v>0</v>
      </c>
      <c r="BA29" s="99">
        <f t="shared" si="29"/>
        <v>0</v>
      </c>
      <c r="BB29" s="99">
        <f t="shared" si="19"/>
        <v>0</v>
      </c>
      <c r="BC29" s="99">
        <f t="shared" si="54"/>
        <v>0</v>
      </c>
      <c r="BD29" s="99">
        <f t="shared" si="53"/>
        <v>0</v>
      </c>
      <c r="BE29" s="99">
        <f t="shared" si="55"/>
        <v>0</v>
      </c>
      <c r="BF29" s="99">
        <f t="shared" si="45"/>
        <v>0</v>
      </c>
      <c r="BG29" s="99">
        <f t="shared" si="20"/>
        <v>0</v>
      </c>
      <c r="BH29" s="99">
        <f t="shared" si="21"/>
        <v>0</v>
      </c>
      <c r="BI29" s="99">
        <f t="shared" si="51"/>
        <v>0</v>
      </c>
      <c r="BJ29" s="99">
        <f t="shared" si="22"/>
        <v>0</v>
      </c>
      <c r="BK29" s="99">
        <f t="shared" si="10"/>
        <v>5.0333333333333334E-2</v>
      </c>
      <c r="BL29" s="99">
        <f t="shared" si="11"/>
        <v>2.9250000000000002E-2</v>
      </c>
      <c r="BM29" s="99">
        <f t="shared" si="12"/>
        <v>5.6708333333333333E-2</v>
      </c>
      <c r="BN29" s="99">
        <f t="shared" si="23"/>
        <v>3.4208333333333334E-2</v>
      </c>
      <c r="BO29" s="101">
        <f t="shared" si="6"/>
        <v>4.1306944444444438E-2</v>
      </c>
      <c r="BP29" s="198">
        <f t="shared" si="44"/>
        <v>0.168125</v>
      </c>
      <c r="BQ29" s="72">
        <f t="shared" si="26"/>
        <v>16.8125</v>
      </c>
      <c r="BR29" s="73">
        <f t="shared" si="27"/>
        <v>-4.4708333333333336E-2</v>
      </c>
      <c r="BS29" s="74">
        <f t="shared" si="9"/>
        <v>-0.12681805555555556</v>
      </c>
      <c r="BT29" s="15" t="s">
        <v>112</v>
      </c>
      <c r="BU29" s="3"/>
      <c r="BV29" s="2"/>
      <c r="BW29" s="2"/>
    </row>
    <row r="30" spans="2:75" ht="15" thickBot="1" x14ac:dyDescent="0.35">
      <c r="B30" s="773" t="s">
        <v>290</v>
      </c>
      <c r="C30" s="326" t="s">
        <v>291</v>
      </c>
      <c r="D30" s="223">
        <v>452.9</v>
      </c>
      <c r="E30" s="223">
        <v>263</v>
      </c>
      <c r="F30" s="63">
        <v>481.7</v>
      </c>
      <c r="G30" s="63">
        <v>354.8</v>
      </c>
      <c r="H30" s="63">
        <v>462.9</v>
      </c>
      <c r="I30" s="470">
        <v>432.8</v>
      </c>
      <c r="J30" s="308">
        <v>459.2</v>
      </c>
      <c r="K30" s="283">
        <v>426.8</v>
      </c>
      <c r="L30" s="283">
        <v>317.60000000000002</v>
      </c>
      <c r="M30" s="283">
        <v>451.5</v>
      </c>
      <c r="N30" s="283">
        <v>450.7</v>
      </c>
      <c r="O30" s="283">
        <v>294.89999999999998</v>
      </c>
      <c r="P30" s="283">
        <v>370.9</v>
      </c>
      <c r="Q30" s="283">
        <v>355.9</v>
      </c>
      <c r="R30" s="283">
        <v>354.8</v>
      </c>
      <c r="S30" s="283">
        <v>313.2</v>
      </c>
      <c r="T30" s="283">
        <v>352</v>
      </c>
      <c r="U30" s="283">
        <v>203.6</v>
      </c>
      <c r="V30" s="283">
        <v>182.5</v>
      </c>
      <c r="W30" s="283">
        <v>395.4</v>
      </c>
      <c r="X30" s="63">
        <v>435.3</v>
      </c>
      <c r="Y30" s="320">
        <v>462.1</v>
      </c>
      <c r="Z30" s="320">
        <v>392.7</v>
      </c>
      <c r="AA30" s="320">
        <v>448</v>
      </c>
      <c r="AB30" s="323">
        <v>409.2</v>
      </c>
      <c r="AC30" s="15">
        <v>333.3</v>
      </c>
      <c r="AD30" s="221">
        <v>428.7</v>
      </c>
      <c r="AE30" s="15">
        <v>430.6</v>
      </c>
      <c r="AF30" s="15">
        <v>423.4</v>
      </c>
      <c r="AG30" s="15">
        <v>426.7</v>
      </c>
      <c r="AH30" s="290">
        <f t="shared" si="0"/>
        <v>11567.1</v>
      </c>
      <c r="AI30" s="2">
        <v>100</v>
      </c>
      <c r="AJ30" s="285">
        <f t="shared" si="25"/>
        <v>1.1150462962962963E-2</v>
      </c>
      <c r="AK30" s="98">
        <f t="shared" si="32"/>
        <v>0.18870833333333331</v>
      </c>
      <c r="AL30" s="99">
        <f t="shared" si="33"/>
        <v>0.10958333333333334</v>
      </c>
      <c r="AM30" s="99">
        <f t="shared" si="34"/>
        <v>0.20070833333333332</v>
      </c>
      <c r="AN30" s="99">
        <f t="shared" si="35"/>
        <v>0.14783333333333334</v>
      </c>
      <c r="AO30" s="99">
        <f t="shared" si="36"/>
        <v>0.19287499999999999</v>
      </c>
      <c r="AP30" s="99">
        <f t="shared" si="37"/>
        <v>0.18033333333333335</v>
      </c>
      <c r="AQ30" s="99">
        <f t="shared" si="38"/>
        <v>0.19133333333333333</v>
      </c>
      <c r="AR30" s="99">
        <f t="shared" si="39"/>
        <v>0.17783333333333334</v>
      </c>
      <c r="AS30" s="99">
        <f t="shared" si="41"/>
        <v>0.13233333333333333</v>
      </c>
      <c r="AT30" s="99">
        <f t="shared" si="42"/>
        <v>0.18812499999999999</v>
      </c>
      <c r="AU30" s="99">
        <f t="shared" si="46"/>
        <v>0.18779166666666666</v>
      </c>
      <c r="AV30" s="99">
        <f t="shared" si="52"/>
        <v>0.12287499999999998</v>
      </c>
      <c r="AW30" s="99">
        <f t="shared" si="48"/>
        <v>0.15454166666666666</v>
      </c>
      <c r="AX30" s="99">
        <f t="shared" si="49"/>
        <v>0.14829166666666665</v>
      </c>
      <c r="AY30" s="99">
        <f t="shared" si="50"/>
        <v>0.14783333333333334</v>
      </c>
      <c r="AZ30" s="99">
        <f t="shared" si="47"/>
        <v>0.1305</v>
      </c>
      <c r="BA30" s="99">
        <f t="shared" si="29"/>
        <v>0.14666666666666667</v>
      </c>
      <c r="BB30" s="99">
        <f t="shared" si="19"/>
        <v>8.483333333333333E-2</v>
      </c>
      <c r="BC30" s="99">
        <f t="shared" si="54"/>
        <v>7.604166666666666E-2</v>
      </c>
      <c r="BD30" s="99">
        <f t="shared" si="53"/>
        <v>0.16474999999999998</v>
      </c>
      <c r="BE30" s="99">
        <f t="shared" si="55"/>
        <v>0.18137500000000001</v>
      </c>
      <c r="BF30" s="99">
        <f t="shared" si="45"/>
        <v>0.19254166666666667</v>
      </c>
      <c r="BG30" s="99">
        <f t="shared" si="20"/>
        <v>0.16362499999999999</v>
      </c>
      <c r="BH30" s="99">
        <f t="shared" si="21"/>
        <v>0.18666666666666668</v>
      </c>
      <c r="BI30" s="99">
        <f t="shared" si="51"/>
        <v>0.17049999999999998</v>
      </c>
      <c r="BJ30" s="99">
        <f t="shared" si="22"/>
        <v>0.138875</v>
      </c>
      <c r="BK30" s="99">
        <f t="shared" si="10"/>
        <v>0.17862500000000001</v>
      </c>
      <c r="BL30" s="99">
        <f t="shared" si="11"/>
        <v>0.17941666666666667</v>
      </c>
      <c r="BM30" s="286">
        <f t="shared" si="12"/>
        <v>0.17641666666666667</v>
      </c>
      <c r="BN30" s="286">
        <f t="shared" si="23"/>
        <v>0.17779166666666665</v>
      </c>
      <c r="BO30" s="286">
        <f t="shared" si="6"/>
        <v>0.16065416666666668</v>
      </c>
      <c r="BP30" s="198">
        <f t="shared" si="44"/>
        <v>0.168125</v>
      </c>
      <c r="BQ30" s="72">
        <f t="shared" si="26"/>
        <v>16.8125</v>
      </c>
      <c r="BR30" s="73">
        <f t="shared" si="27"/>
        <v>3.2583333333333325E-2</v>
      </c>
      <c r="BS30" s="74">
        <f t="shared" si="9"/>
        <v>-7.4708333333333155E-3</v>
      </c>
      <c r="BT30" s="2"/>
      <c r="BU30" s="3"/>
      <c r="BV30" s="2"/>
      <c r="BW30" s="2"/>
    </row>
    <row r="31" spans="2:75" ht="15" thickBot="1" x14ac:dyDescent="0.35">
      <c r="B31" s="777"/>
      <c r="C31" s="329"/>
      <c r="D31" s="224"/>
      <c r="E31" s="93"/>
      <c r="F31" s="93"/>
      <c r="G31" s="115"/>
      <c r="H31" s="284"/>
      <c r="I31" s="115"/>
      <c r="J31" s="115"/>
      <c r="K31" s="93"/>
      <c r="L31" s="93"/>
      <c r="M31" s="93"/>
      <c r="N31" s="93"/>
      <c r="O31" s="93"/>
      <c r="P31" s="93"/>
      <c r="Q31" s="318"/>
      <c r="R31" s="93"/>
      <c r="S31" s="93"/>
      <c r="T31" s="93"/>
      <c r="U31" s="22"/>
      <c r="V31" s="22"/>
      <c r="W31" s="292"/>
      <c r="X31" s="22"/>
      <c r="Y31" s="93"/>
      <c r="Z31" s="22"/>
      <c r="AA31" s="322"/>
      <c r="AB31" s="21"/>
      <c r="AC31" s="22"/>
      <c r="AD31" s="277"/>
      <c r="AE31" s="22"/>
      <c r="AF31" s="22"/>
      <c r="AG31" s="22"/>
      <c r="AH31" s="290">
        <f t="shared" si="0"/>
        <v>0</v>
      </c>
      <c r="AI31" s="2"/>
      <c r="AJ31" s="285"/>
      <c r="AK31" s="286" t="str">
        <f t="shared" si="32"/>
        <v>VAZIO</v>
      </c>
      <c r="AL31" s="286" t="str">
        <f t="shared" si="33"/>
        <v>VAZIO</v>
      </c>
      <c r="AM31" s="286" t="str">
        <f t="shared" si="34"/>
        <v>VAZIO</v>
      </c>
      <c r="AN31" s="286" t="str">
        <f t="shared" si="35"/>
        <v>VAZIO</v>
      </c>
      <c r="AO31" s="286" t="str">
        <f t="shared" si="36"/>
        <v>VAZIO</v>
      </c>
      <c r="AP31" s="286" t="str">
        <f t="shared" si="37"/>
        <v>VAZIO</v>
      </c>
      <c r="AQ31" s="286" t="str">
        <f t="shared" si="38"/>
        <v>VAZIO</v>
      </c>
      <c r="AR31" s="286" t="str">
        <f t="shared" si="39"/>
        <v>VAZIO</v>
      </c>
      <c r="AS31" s="286" t="str">
        <f t="shared" si="41"/>
        <v>VAZIO</v>
      </c>
      <c r="AT31" s="286" t="str">
        <f t="shared" si="42"/>
        <v>VAZIO</v>
      </c>
      <c r="AU31" s="286" t="str">
        <f t="shared" si="46"/>
        <v>VAZIO</v>
      </c>
      <c r="AV31" s="286" t="str">
        <f t="shared" si="52"/>
        <v>VAZIO</v>
      </c>
      <c r="AW31" s="286" t="str">
        <f t="shared" si="48"/>
        <v>VAZIO</v>
      </c>
      <c r="AX31" s="286" t="str">
        <f t="shared" si="49"/>
        <v>VAZIO</v>
      </c>
      <c r="AY31" s="286" t="str">
        <f t="shared" si="50"/>
        <v>VAZIO</v>
      </c>
      <c r="AZ31" s="286" t="str">
        <f t="shared" si="47"/>
        <v>VAZIO</v>
      </c>
      <c r="BA31" s="286" t="str">
        <f t="shared" si="29"/>
        <v>VAZIO</v>
      </c>
      <c r="BB31" s="286" t="str">
        <f t="shared" si="19"/>
        <v>VAZIO</v>
      </c>
      <c r="BC31" s="286" t="str">
        <f t="shared" si="54"/>
        <v>VAZIO</v>
      </c>
      <c r="BD31" s="286" t="str">
        <f t="shared" si="53"/>
        <v>VAZIO</v>
      </c>
      <c r="BE31" s="286" t="str">
        <f t="shared" si="55"/>
        <v>VAZIO</v>
      </c>
      <c r="BF31" s="286" t="str">
        <f t="shared" si="45"/>
        <v>VAZIO</v>
      </c>
      <c r="BG31" s="286" t="str">
        <f t="shared" si="20"/>
        <v>VAZIO</v>
      </c>
      <c r="BH31" s="286" t="str">
        <f t="shared" si="21"/>
        <v>VAZIO</v>
      </c>
      <c r="BI31" s="286" t="str">
        <f t="shared" si="51"/>
        <v>VAZIO</v>
      </c>
      <c r="BJ31" s="286" t="str">
        <f t="shared" si="22"/>
        <v>VAZIO</v>
      </c>
      <c r="BK31" s="286" t="str">
        <f t="shared" si="10"/>
        <v>VAZIO</v>
      </c>
      <c r="BL31" s="286" t="str">
        <f t="shared" si="11"/>
        <v>VAZIO</v>
      </c>
      <c r="BM31" s="286" t="str">
        <f t="shared" si="12"/>
        <v>VAZIO</v>
      </c>
      <c r="BN31" s="286" t="str">
        <f t="shared" si="23"/>
        <v>VAZIO</v>
      </c>
      <c r="BO31" s="286" t="e">
        <f t="shared" si="6"/>
        <v>#DIV/0!</v>
      </c>
      <c r="BP31" s="198"/>
      <c r="BQ31" s="287"/>
      <c r="BR31" s="288"/>
      <c r="BS31" s="289"/>
      <c r="BT31" s="2"/>
      <c r="BU31" s="3"/>
      <c r="BV31" s="2"/>
      <c r="BW31" s="2"/>
    </row>
    <row r="32" spans="2:75" ht="18" x14ac:dyDescent="0.3">
      <c r="B32" s="776" t="s">
        <v>113</v>
      </c>
      <c r="C32" s="776"/>
      <c r="D32" s="103">
        <f>SUM(D5:D31)</f>
        <v>10085.300000000001</v>
      </c>
      <c r="E32" s="103">
        <f>SUM(E5:E30)</f>
        <v>6651.66</v>
      </c>
      <c r="F32" s="103">
        <f>SUM(F5:F30)</f>
        <v>11377.900000000005</v>
      </c>
      <c r="G32" s="103">
        <f t="shared" ref="G32:AG32" si="56">SUM(G5:G30)</f>
        <v>9042.6999999999989</v>
      </c>
      <c r="H32" s="103">
        <f t="shared" si="56"/>
        <v>10683.899999999998</v>
      </c>
      <c r="I32" s="103">
        <f t="shared" si="56"/>
        <v>10562.299999999997</v>
      </c>
      <c r="J32" s="103">
        <f t="shared" si="56"/>
        <v>10263.200000000003</v>
      </c>
      <c r="K32" s="103">
        <f t="shared" si="56"/>
        <v>10262.599999999999</v>
      </c>
      <c r="L32" s="103">
        <f t="shared" si="56"/>
        <v>8385.8000000000011</v>
      </c>
      <c r="M32" s="103">
        <f t="shared" si="56"/>
        <v>10168.4</v>
      </c>
      <c r="N32" s="103">
        <f t="shared" si="56"/>
        <v>10554</v>
      </c>
      <c r="O32" s="103">
        <f t="shared" si="56"/>
        <v>8590.9</v>
      </c>
      <c r="P32" s="103">
        <f t="shared" si="56"/>
        <v>8638.4999999999982</v>
      </c>
      <c r="Q32" s="103">
        <f t="shared" si="56"/>
        <v>8596.4999999999982</v>
      </c>
      <c r="R32" s="103">
        <f t="shared" si="56"/>
        <v>8938.6999999999971</v>
      </c>
      <c r="S32" s="103">
        <f t="shared" si="56"/>
        <v>8725.4000000000015</v>
      </c>
      <c r="T32" s="103">
        <f t="shared" si="56"/>
        <v>9066.5</v>
      </c>
      <c r="U32" s="103">
        <f t="shared" si="56"/>
        <v>2866.94</v>
      </c>
      <c r="V32" s="103">
        <f t="shared" si="56"/>
        <v>5370.4999999999991</v>
      </c>
      <c r="W32" s="103">
        <f t="shared" si="56"/>
        <v>8616.6999999999989</v>
      </c>
      <c r="X32" s="103">
        <f t="shared" si="56"/>
        <v>9337.5399999999991</v>
      </c>
      <c r="Y32" s="103">
        <f t="shared" si="56"/>
        <v>11579.500000000002</v>
      </c>
      <c r="Z32" s="103">
        <f t="shared" si="56"/>
        <v>10197.500000000002</v>
      </c>
      <c r="AA32" s="103">
        <f t="shared" si="56"/>
        <v>11194.4</v>
      </c>
      <c r="AB32" s="103">
        <f t="shared" si="56"/>
        <v>9833.0000000000018</v>
      </c>
      <c r="AC32" s="103">
        <f>SUM(AC5:AC30)</f>
        <v>6804.7</v>
      </c>
      <c r="AD32" s="103">
        <f t="shared" si="56"/>
        <v>7907.5000000000009</v>
      </c>
      <c r="AE32" s="103">
        <f t="shared" si="56"/>
        <v>10699.1</v>
      </c>
      <c r="AF32" s="103">
        <f t="shared" si="56"/>
        <v>10342.299999999999</v>
      </c>
      <c r="AG32" s="103">
        <f t="shared" si="56"/>
        <v>10744.800000000003</v>
      </c>
      <c r="AH32" s="189">
        <f>SUM(AH5:AH31)</f>
        <v>276088.73999999993</v>
      </c>
      <c r="AI32" s="104">
        <f>SUM(AI5:AI31)</f>
        <v>2329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U32" s="3"/>
      <c r="BV32" s="2"/>
      <c r="BW32" s="2"/>
    </row>
    <row r="33" spans="2:75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190" t="str">
        <f>_xlfn.CONCAT(ROUND(AH32/1000,3)," MWh")</f>
        <v>276,089 MWh</v>
      </c>
      <c r="AI33" s="2"/>
      <c r="AV33">
        <v>1000</v>
      </c>
      <c r="AW33">
        <v>1000</v>
      </c>
      <c r="BQ33" s="9"/>
      <c r="BS33" s="2"/>
      <c r="BU33" s="2"/>
      <c r="BV33" s="2"/>
      <c r="BW33" s="2"/>
    </row>
    <row r="34" spans="2:75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91" t="str">
        <f>_xlfn.CONCAT(ROUND($AH$32/COUNTIF($D$32:$AG$32,"&lt;&gt;0"),3)," kWh")</f>
        <v>9202,958 kWh</v>
      </c>
      <c r="AI34" s="2"/>
      <c r="AJ34" s="2"/>
      <c r="AK34" s="2"/>
      <c r="AL34" s="2"/>
      <c r="AU34">
        <v>900</v>
      </c>
      <c r="AV34">
        <v>100</v>
      </c>
      <c r="BQ34" s="11"/>
      <c r="BS34" s="106"/>
      <c r="BT34" s="3" t="s">
        <v>114</v>
      </c>
    </row>
    <row r="35" spans="2:75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91" t="str">
        <f>_xlfn.CONCAT(ROUND($AH$32/COUNTIF($D$32:$AG$32,"&lt;&gt;0"),3)*30," kWh")</f>
        <v>276088,74 kWh</v>
      </c>
      <c r="AI35" s="2"/>
      <c r="AJ35" s="2"/>
      <c r="AK35" s="2"/>
      <c r="AL35" s="2"/>
      <c r="BQ35" s="2"/>
      <c r="BS35" s="109"/>
      <c r="BT35" s="5" t="s">
        <v>116</v>
      </c>
    </row>
    <row r="36" spans="2:75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91" t="str">
        <f>_xlfn.CONCAT(ROUND(($AH$32/COUNTIF($D$32:$AG$32,"&lt;&gt;0"))*30/1000,3)," MWh")</f>
        <v>276,089 MWh</v>
      </c>
    </row>
    <row r="37" spans="2:75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</row>
    <row r="38" spans="2:75" x14ac:dyDescent="0.3">
      <c r="AC38">
        <v>60.6</v>
      </c>
    </row>
    <row r="39" spans="2:75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5" x14ac:dyDescent="0.3">
      <c r="N40">
        <v>91151.5</v>
      </c>
      <c r="O40">
        <f>N41-N40</f>
        <v>734</v>
      </c>
      <c r="X40" s="102"/>
      <c r="AF40">
        <f>AF39-20.4</f>
        <v>53905.2</v>
      </c>
    </row>
    <row r="41" spans="2:75" x14ac:dyDescent="0.3">
      <c r="N41">
        <v>91885.5</v>
      </c>
      <c r="X41" s="102"/>
      <c r="AF41">
        <f>AF40-AD39</f>
        <v>263.19999999999709</v>
      </c>
    </row>
    <row r="42" spans="2:75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5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L43" s="63">
        <v>19.7</v>
      </c>
    </row>
    <row r="44" spans="2:75" x14ac:dyDescent="0.3">
      <c r="B44" s="751" t="s">
        <v>6</v>
      </c>
      <c r="C44" s="18" t="s">
        <v>7</v>
      </c>
      <c r="D44" s="163">
        <f>D5+Agosto23!AF41</f>
        <v>48899.8</v>
      </c>
      <c r="E44" s="164">
        <f t="shared" ref="E44:F59" si="57">D44+E5</f>
        <v>48937.4</v>
      </c>
      <c r="F44" s="164">
        <f t="shared" si="57"/>
        <v>48993.4</v>
      </c>
      <c r="G44" s="165">
        <v>49036.4</v>
      </c>
      <c r="H44" s="166">
        <v>49076</v>
      </c>
      <c r="I44" s="163">
        <f t="shared" ref="I44:V59" si="58">H44+I5</f>
        <v>49130.7</v>
      </c>
      <c r="J44" s="163">
        <f t="shared" si="58"/>
        <v>49179.899999999994</v>
      </c>
      <c r="K44" s="163">
        <f t="shared" si="58"/>
        <v>49227.499999999993</v>
      </c>
      <c r="L44" s="163">
        <f t="shared" si="58"/>
        <v>49263.19999999999</v>
      </c>
      <c r="M44" s="163">
        <f t="shared" si="58"/>
        <v>49317.999999999993</v>
      </c>
      <c r="N44" s="163">
        <f t="shared" si="58"/>
        <v>49371.599999999991</v>
      </c>
      <c r="O44" s="163">
        <f t="shared" si="58"/>
        <v>49412.799999999988</v>
      </c>
      <c r="P44" s="163">
        <f t="shared" si="58"/>
        <v>49452.099999999991</v>
      </c>
      <c r="Q44" s="163">
        <f t="shared" si="58"/>
        <v>49494.099999999991</v>
      </c>
      <c r="R44" s="163">
        <f t="shared" si="58"/>
        <v>49536.999999999993</v>
      </c>
      <c r="S44" s="163">
        <f t="shared" si="58"/>
        <v>49582.299999999996</v>
      </c>
      <c r="T44" s="163">
        <f t="shared" si="58"/>
        <v>49626.6</v>
      </c>
      <c r="U44" s="163">
        <f t="shared" si="58"/>
        <v>49641.5</v>
      </c>
      <c r="V44" s="163">
        <f t="shared" si="58"/>
        <v>49663.8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L44" s="63">
        <f>20.7+88.5</f>
        <v>109.2</v>
      </c>
    </row>
    <row r="45" spans="2:75" x14ac:dyDescent="0.3">
      <c r="B45" s="752"/>
      <c r="C45" s="18" t="s">
        <v>8</v>
      </c>
      <c r="D45" s="163">
        <f>D6+Agosto23!AF42</f>
        <v>99080.6</v>
      </c>
      <c r="E45" s="164">
        <f t="shared" si="57"/>
        <v>99288.36</v>
      </c>
      <c r="F45" s="164">
        <f t="shared" si="57"/>
        <v>99612.96</v>
      </c>
      <c r="G45" s="165">
        <f>21775+78123.8</f>
        <v>99898.8</v>
      </c>
      <c r="H45" s="166">
        <f>21823+78322.8</f>
        <v>100145.8</v>
      </c>
      <c r="I45" s="163">
        <f t="shared" si="58"/>
        <v>100449.60000000001</v>
      </c>
      <c r="J45" s="163">
        <f t="shared" si="58"/>
        <v>100684.3</v>
      </c>
      <c r="K45" s="163">
        <f t="shared" si="58"/>
        <v>100992.90000000001</v>
      </c>
      <c r="L45" s="163">
        <f t="shared" si="58"/>
        <v>101220.00000000001</v>
      </c>
      <c r="M45" s="163">
        <f t="shared" si="58"/>
        <v>101559.20000000001</v>
      </c>
      <c r="N45" s="163">
        <f t="shared" si="58"/>
        <v>101872.50000000001</v>
      </c>
      <c r="O45" s="163">
        <f t="shared" si="58"/>
        <v>102117.90000000001</v>
      </c>
      <c r="P45" s="163">
        <f t="shared" si="58"/>
        <v>102325.90000000001</v>
      </c>
      <c r="Q45" s="163">
        <f t="shared" si="58"/>
        <v>102567.6</v>
      </c>
      <c r="R45" s="163">
        <f t="shared" si="58"/>
        <v>102817.60000000001</v>
      </c>
      <c r="S45" s="163">
        <f t="shared" si="58"/>
        <v>103044</v>
      </c>
      <c r="T45" s="163">
        <f t="shared" si="58"/>
        <v>103320.9</v>
      </c>
      <c r="U45" s="163">
        <f t="shared" si="58"/>
        <v>103394.84</v>
      </c>
      <c r="V45" s="163">
        <f t="shared" si="58"/>
        <v>103527.84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L45" s="63">
        <v>82.2</v>
      </c>
    </row>
    <row r="46" spans="2:75" x14ac:dyDescent="0.3">
      <c r="B46" s="752"/>
      <c r="C46" s="18" t="s">
        <v>9</v>
      </c>
      <c r="D46" s="163">
        <f>D7+Agosto23!AF43</f>
        <v>69913.100000000006</v>
      </c>
      <c r="E46" s="164">
        <f t="shared" si="57"/>
        <v>70081.3</v>
      </c>
      <c r="F46" s="164">
        <f t="shared" si="57"/>
        <v>70327.100000000006</v>
      </c>
      <c r="G46" s="165">
        <v>70458.2</v>
      </c>
      <c r="H46" s="166">
        <v>70615.5</v>
      </c>
      <c r="I46" s="163">
        <f t="shared" si="58"/>
        <v>70847.100000000006</v>
      </c>
      <c r="J46" s="163">
        <f t="shared" si="58"/>
        <v>71057.5</v>
      </c>
      <c r="K46" s="163">
        <f t="shared" si="58"/>
        <v>71265.100000000006</v>
      </c>
      <c r="L46" s="163">
        <f t="shared" si="58"/>
        <v>71424.100000000006</v>
      </c>
      <c r="M46" s="163">
        <f t="shared" si="58"/>
        <v>71661.900000000009</v>
      </c>
      <c r="N46" s="163">
        <f t="shared" si="58"/>
        <v>71895.500000000015</v>
      </c>
      <c r="O46" s="163">
        <f t="shared" si="58"/>
        <v>72068.300000000017</v>
      </c>
      <c r="P46" s="163">
        <f t="shared" si="58"/>
        <v>72243.400000000023</v>
      </c>
      <c r="Q46" s="163">
        <f t="shared" si="58"/>
        <v>72427.10000000002</v>
      </c>
      <c r="R46" s="163">
        <f t="shared" si="58"/>
        <v>72624.700000000026</v>
      </c>
      <c r="S46" s="163">
        <f t="shared" si="58"/>
        <v>72820.500000000029</v>
      </c>
      <c r="T46" s="163">
        <f t="shared" si="58"/>
        <v>73002.800000000032</v>
      </c>
      <c r="U46" s="163" t="e">
        <f>T46+#REF!</f>
        <v>#REF!</v>
      </c>
      <c r="V46" s="163" t="e">
        <f t="shared" si="58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L46" s="63">
        <v>57.3</v>
      </c>
    </row>
    <row r="47" spans="2:75" x14ac:dyDescent="0.3">
      <c r="B47" s="752"/>
      <c r="C47" s="18" t="s">
        <v>10</v>
      </c>
      <c r="D47" s="163">
        <f>D8+Agosto23!AF44</f>
        <v>95759.4</v>
      </c>
      <c r="E47" s="164">
        <f t="shared" si="57"/>
        <v>95854.2</v>
      </c>
      <c r="F47" s="164">
        <f t="shared" si="57"/>
        <v>95992.099999999991</v>
      </c>
      <c r="G47" s="165">
        <v>96154</v>
      </c>
      <c r="H47" s="166">
        <v>96261.9</v>
      </c>
      <c r="I47" s="163">
        <f t="shared" si="58"/>
        <v>96392.7</v>
      </c>
      <c r="J47" s="163">
        <f t="shared" si="58"/>
        <v>96512.5</v>
      </c>
      <c r="K47" s="163">
        <f t="shared" si="58"/>
        <v>96630.2</v>
      </c>
      <c r="L47" s="163">
        <f t="shared" si="58"/>
        <v>96719.4</v>
      </c>
      <c r="M47" s="163">
        <f t="shared" si="58"/>
        <v>96852.099999999991</v>
      </c>
      <c r="N47" s="163">
        <f t="shared" si="58"/>
        <v>96984.4</v>
      </c>
      <c r="O47" s="163">
        <f t="shared" si="58"/>
        <v>97081.5</v>
      </c>
      <c r="P47" s="163">
        <f t="shared" si="58"/>
        <v>97181.3</v>
      </c>
      <c r="Q47" s="163">
        <f t="shared" si="58"/>
        <v>97285.400000000009</v>
      </c>
      <c r="R47" s="163">
        <f t="shared" si="58"/>
        <v>97397.700000000012</v>
      </c>
      <c r="S47" s="163">
        <f t="shared" si="58"/>
        <v>97508.200000000012</v>
      </c>
      <c r="T47" s="163">
        <f t="shared" si="58"/>
        <v>97610.6</v>
      </c>
      <c r="U47" s="163" t="e">
        <f>T47+#REF!</f>
        <v>#REF!</v>
      </c>
      <c r="V47" s="163" t="e">
        <f t="shared" si="58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L47" s="63">
        <v>17.7</v>
      </c>
    </row>
    <row r="48" spans="2:75" x14ac:dyDescent="0.3">
      <c r="B48" s="752"/>
      <c r="C48" s="18" t="s">
        <v>11</v>
      </c>
      <c r="D48" s="163">
        <f>D9+Agosto23!AF45</f>
        <v>18810.7</v>
      </c>
      <c r="E48" s="164">
        <f t="shared" si="57"/>
        <v>18810.7</v>
      </c>
      <c r="F48" s="164">
        <f t="shared" si="57"/>
        <v>18830.7</v>
      </c>
      <c r="G48" s="165">
        <v>18957</v>
      </c>
      <c r="H48" s="166">
        <v>18998</v>
      </c>
      <c r="I48" s="163">
        <f t="shared" si="58"/>
        <v>19019.599999999999</v>
      </c>
      <c r="J48" s="163">
        <f t="shared" si="58"/>
        <v>19061</v>
      </c>
      <c r="K48" s="163">
        <f t="shared" si="58"/>
        <v>19107.7</v>
      </c>
      <c r="L48" s="163">
        <f t="shared" si="58"/>
        <v>19150.400000000001</v>
      </c>
      <c r="M48" s="163">
        <f t="shared" si="58"/>
        <v>19210.400000000001</v>
      </c>
      <c r="N48" s="163">
        <f t="shared" si="58"/>
        <v>19263.100000000002</v>
      </c>
      <c r="O48" s="163">
        <f t="shared" si="58"/>
        <v>19311.2</v>
      </c>
      <c r="P48" s="163">
        <f t="shared" si="58"/>
        <v>19352.3</v>
      </c>
      <c r="Q48" s="163">
        <f t="shared" si="58"/>
        <v>19397.399999999998</v>
      </c>
      <c r="R48" s="163">
        <f t="shared" si="58"/>
        <v>19438.399999999998</v>
      </c>
      <c r="S48" s="163">
        <f t="shared" si="58"/>
        <v>19477.699999999997</v>
      </c>
      <c r="T48" s="163">
        <f t="shared" si="58"/>
        <v>19525.499999999996</v>
      </c>
      <c r="U48" s="163">
        <f>T48+U7</f>
        <v>19588.799999999996</v>
      </c>
      <c r="V48" s="163">
        <f t="shared" si="58"/>
        <v>19611.999999999996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L48" s="63">
        <v>37.700000000000003</v>
      </c>
    </row>
    <row r="49" spans="2:38" x14ac:dyDescent="0.3">
      <c r="B49" s="752"/>
      <c r="C49" s="18" t="s">
        <v>12</v>
      </c>
      <c r="D49" s="163">
        <f>D10+Agosto23!AF46</f>
        <v>58212.899999999994</v>
      </c>
      <c r="E49" s="164">
        <f t="shared" si="57"/>
        <v>58212.899999999994</v>
      </c>
      <c r="F49" s="164">
        <f t="shared" si="57"/>
        <v>58243.899999999994</v>
      </c>
      <c r="G49" s="165">
        <v>58550</v>
      </c>
      <c r="H49" s="166">
        <v>58640</v>
      </c>
      <c r="I49" s="163">
        <f t="shared" si="58"/>
        <v>58666</v>
      </c>
      <c r="J49" s="163">
        <f t="shared" si="58"/>
        <v>58716.3</v>
      </c>
      <c r="K49" s="163">
        <f t="shared" si="58"/>
        <v>58774</v>
      </c>
      <c r="L49" s="163">
        <f t="shared" si="58"/>
        <v>58825.7</v>
      </c>
      <c r="M49" s="163">
        <f t="shared" si="58"/>
        <v>58895.5</v>
      </c>
      <c r="N49" s="163">
        <f t="shared" si="58"/>
        <v>58955.5</v>
      </c>
      <c r="O49" s="163">
        <f t="shared" si="58"/>
        <v>59005.1</v>
      </c>
      <c r="P49" s="163">
        <f t="shared" si="58"/>
        <v>59052.9</v>
      </c>
      <c r="Q49" s="163">
        <f t="shared" si="58"/>
        <v>59105.200000000004</v>
      </c>
      <c r="R49" s="163">
        <f t="shared" si="58"/>
        <v>59150.9</v>
      </c>
      <c r="S49" s="163">
        <f t="shared" si="58"/>
        <v>59195.4</v>
      </c>
      <c r="T49" s="163">
        <f t="shared" si="58"/>
        <v>59249.4</v>
      </c>
      <c r="U49" s="163">
        <f>T49+U8</f>
        <v>59285.599999999999</v>
      </c>
      <c r="V49" s="163">
        <f t="shared" si="58"/>
        <v>59313.1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L49" s="63">
        <v>151.30000000000001</v>
      </c>
    </row>
    <row r="50" spans="2:38" x14ac:dyDescent="0.3">
      <c r="B50" s="752"/>
      <c r="C50" s="18" t="s">
        <v>13</v>
      </c>
      <c r="D50" s="163">
        <f>D11+Agosto23!AF47</f>
        <v>230340.30000000002</v>
      </c>
      <c r="E50" s="164">
        <f t="shared" si="57"/>
        <v>230591.6</v>
      </c>
      <c r="F50" s="164">
        <f t="shared" si="57"/>
        <v>230956.4</v>
      </c>
      <c r="G50" s="165">
        <v>231148.9</v>
      </c>
      <c r="H50" s="166">
        <v>231319.5</v>
      </c>
      <c r="I50" s="163">
        <f t="shared" si="58"/>
        <v>231712.8</v>
      </c>
      <c r="J50" s="163">
        <f t="shared" si="58"/>
        <v>232057</v>
      </c>
      <c r="K50" s="163">
        <f t="shared" si="58"/>
        <v>232400.3</v>
      </c>
      <c r="L50" s="163">
        <f t="shared" si="58"/>
        <v>232650.19999999998</v>
      </c>
      <c r="M50" s="163">
        <f t="shared" si="58"/>
        <v>232768.59999999998</v>
      </c>
      <c r="N50" s="163">
        <f t="shared" si="58"/>
        <v>233154.99999999997</v>
      </c>
      <c r="O50" s="163">
        <f t="shared" si="58"/>
        <v>233489.29999999996</v>
      </c>
      <c r="P50" s="163">
        <f t="shared" si="58"/>
        <v>233751.39999999997</v>
      </c>
      <c r="Q50" s="163">
        <f t="shared" si="58"/>
        <v>234018.99999999997</v>
      </c>
      <c r="R50" s="163">
        <f t="shared" si="58"/>
        <v>234300.79999999996</v>
      </c>
      <c r="S50" s="163">
        <f t="shared" si="58"/>
        <v>234538.19999999995</v>
      </c>
      <c r="T50" s="163">
        <f t="shared" si="58"/>
        <v>234853.49999999994</v>
      </c>
      <c r="U50" s="163">
        <f t="shared" si="58"/>
        <v>234970.59999999995</v>
      </c>
      <c r="V50" s="163">
        <f t="shared" si="58"/>
        <v>235135.19999999995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L50" s="82">
        <v>81.099999999999994</v>
      </c>
    </row>
    <row r="51" spans="2:38" x14ac:dyDescent="0.3">
      <c r="B51" s="753"/>
      <c r="C51" s="18" t="s">
        <v>14</v>
      </c>
      <c r="D51" s="163">
        <f>D12+Agosto23!AF48</f>
        <v>855.3</v>
      </c>
      <c r="E51" s="164">
        <f t="shared" si="57"/>
        <v>1034.7</v>
      </c>
      <c r="F51" s="164">
        <f t="shared" si="57"/>
        <v>1349.2</v>
      </c>
      <c r="G51" s="165">
        <v>1440</v>
      </c>
      <c r="H51" s="166">
        <v>1620</v>
      </c>
      <c r="I51" s="163">
        <f t="shared" si="58"/>
        <v>1887.5</v>
      </c>
      <c r="J51" s="163">
        <f t="shared" si="58"/>
        <v>2084.1</v>
      </c>
      <c r="K51" s="163">
        <f t="shared" si="58"/>
        <v>2328.6999999999998</v>
      </c>
      <c r="L51" s="163">
        <f t="shared" si="58"/>
        <v>2557.1</v>
      </c>
      <c r="M51" s="163">
        <f t="shared" si="58"/>
        <v>2841.6</v>
      </c>
      <c r="N51" s="163">
        <f t="shared" si="58"/>
        <v>3107.1</v>
      </c>
      <c r="O51" s="163">
        <f t="shared" si="58"/>
        <v>3331.6</v>
      </c>
      <c r="P51" s="163">
        <f t="shared" si="58"/>
        <v>3528.7</v>
      </c>
      <c r="Q51" s="163">
        <f t="shared" si="58"/>
        <v>3743.7999999999997</v>
      </c>
      <c r="R51" s="163">
        <f t="shared" si="58"/>
        <v>3954.3999999999996</v>
      </c>
      <c r="S51" s="163">
        <f t="shared" si="58"/>
        <v>4149.5999999999995</v>
      </c>
      <c r="T51" s="163">
        <f t="shared" si="58"/>
        <v>4396.2</v>
      </c>
      <c r="U51" s="163">
        <f t="shared" si="58"/>
        <v>4468.3999999999996</v>
      </c>
      <c r="V51" s="163">
        <f t="shared" si="58"/>
        <v>4599.8999999999996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L51" s="63">
        <v>156.9</v>
      </c>
    </row>
    <row r="52" spans="2:38" x14ac:dyDescent="0.3">
      <c r="B52" s="751" t="s">
        <v>16</v>
      </c>
      <c r="C52" s="18" t="s">
        <v>17</v>
      </c>
      <c r="D52" s="163">
        <f>D13+Agosto23!AF49</f>
        <v>137322.4</v>
      </c>
      <c r="E52" s="164">
        <f t="shared" si="57"/>
        <v>137609.5</v>
      </c>
      <c r="F52" s="164">
        <f t="shared" si="57"/>
        <v>138103.29999999999</v>
      </c>
      <c r="G52" s="165">
        <v>138545</v>
      </c>
      <c r="H52" s="166">
        <v>138937</v>
      </c>
      <c r="I52" s="163">
        <f t="shared" si="58"/>
        <v>139334.5</v>
      </c>
      <c r="J52" s="163">
        <f t="shared" si="58"/>
        <v>139652.9</v>
      </c>
      <c r="K52" s="163">
        <f t="shared" si="58"/>
        <v>140089.79999999999</v>
      </c>
      <c r="L52" s="163">
        <f t="shared" si="58"/>
        <v>140453.4</v>
      </c>
      <c r="M52" s="163">
        <f t="shared" si="58"/>
        <v>140905.5</v>
      </c>
      <c r="N52" s="163">
        <f t="shared" si="58"/>
        <v>141378.6</v>
      </c>
      <c r="O52" s="163">
        <f t="shared" si="58"/>
        <v>141759.4</v>
      </c>
      <c r="P52" s="163">
        <f t="shared" si="58"/>
        <v>142073.5</v>
      </c>
      <c r="Q52" s="163">
        <f t="shared" si="58"/>
        <v>142455.6</v>
      </c>
      <c r="R52" s="163">
        <f t="shared" si="58"/>
        <v>142784.1</v>
      </c>
      <c r="S52" s="163">
        <f t="shared" si="58"/>
        <v>143081.70000000001</v>
      </c>
      <c r="T52" s="163">
        <f t="shared" si="58"/>
        <v>143467.30000000002</v>
      </c>
      <c r="U52" s="163">
        <f t="shared" si="58"/>
        <v>143588.00000000003</v>
      </c>
      <c r="V52" s="163">
        <f t="shared" si="58"/>
        <v>143809.50000000003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L52" s="63">
        <v>195.6</v>
      </c>
    </row>
    <row r="53" spans="2:38" x14ac:dyDescent="0.3">
      <c r="B53" s="752"/>
      <c r="C53" s="18" t="s">
        <v>18</v>
      </c>
      <c r="D53" s="163">
        <f>D14+Agosto23!AF50</f>
        <v>127756.40000000001</v>
      </c>
      <c r="E53" s="164">
        <f t="shared" si="57"/>
        <v>128090.90000000001</v>
      </c>
      <c r="F53" s="164">
        <f t="shared" si="57"/>
        <v>128563.90000000001</v>
      </c>
      <c r="G53" s="165">
        <v>128878</v>
      </c>
      <c r="H53" s="166">
        <v>129112</v>
      </c>
      <c r="I53" s="163">
        <f t="shared" si="58"/>
        <v>129629.7</v>
      </c>
      <c r="J53" s="163">
        <f t="shared" si="58"/>
        <v>130087.7</v>
      </c>
      <c r="K53" s="163">
        <f t="shared" si="58"/>
        <v>130558.8</v>
      </c>
      <c r="L53" s="163">
        <f t="shared" si="58"/>
        <v>130914.6</v>
      </c>
      <c r="M53" s="163">
        <f t="shared" si="58"/>
        <v>131088</v>
      </c>
      <c r="N53" s="163">
        <f t="shared" si="58"/>
        <v>131602.1</v>
      </c>
      <c r="O53" s="163">
        <f>N53+O14</f>
        <v>132045.9</v>
      </c>
      <c r="P53" s="163">
        <f t="shared" si="58"/>
        <v>132386.19999999998</v>
      </c>
      <c r="Q53" s="163">
        <f t="shared" si="58"/>
        <v>132758.19999999998</v>
      </c>
      <c r="R53" s="163">
        <f t="shared" si="58"/>
        <v>133132.59999999998</v>
      </c>
      <c r="S53" s="163">
        <f t="shared" si="58"/>
        <v>133439.89999999997</v>
      </c>
      <c r="T53" s="163" t="e">
        <f>S53+#REF!</f>
        <v>#REF!</v>
      </c>
      <c r="U53" s="163" t="e">
        <f>T53+U14</f>
        <v>#REF!</v>
      </c>
      <c r="V53" s="163" t="e">
        <f t="shared" si="58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L53" s="63">
        <v>55.4</v>
      </c>
    </row>
    <row r="54" spans="2:38" x14ac:dyDescent="0.3">
      <c r="B54" s="752"/>
      <c r="C54" s="18" t="s">
        <v>19</v>
      </c>
      <c r="D54" s="163">
        <f>D15+Agosto23!AF51</f>
        <v>37847.700000000004</v>
      </c>
      <c r="E54" s="164">
        <f t="shared" si="57"/>
        <v>37943.700000000004</v>
      </c>
      <c r="F54" s="164">
        <f t="shared" si="57"/>
        <v>38080.300000000003</v>
      </c>
      <c r="G54" s="165">
        <v>38160</v>
      </c>
      <c r="H54" s="166">
        <v>38222</v>
      </c>
      <c r="I54" s="163">
        <f t="shared" si="58"/>
        <v>38370.1</v>
      </c>
      <c r="J54" s="163">
        <f t="shared" si="58"/>
        <v>38501.699999999997</v>
      </c>
      <c r="K54" s="163">
        <f t="shared" si="58"/>
        <v>38632.299999999996</v>
      </c>
      <c r="L54" s="163">
        <f t="shared" si="58"/>
        <v>38733.599999999999</v>
      </c>
      <c r="M54" s="163">
        <f t="shared" si="58"/>
        <v>38776.5</v>
      </c>
      <c r="N54" s="163">
        <f t="shared" si="58"/>
        <v>38922.199999999997</v>
      </c>
      <c r="O54" s="163">
        <f>N54+O15</f>
        <v>39050.199999999997</v>
      </c>
      <c r="P54" s="163">
        <f t="shared" si="58"/>
        <v>39152.699999999997</v>
      </c>
      <c r="Q54" s="163">
        <f t="shared" si="58"/>
        <v>39253.699999999997</v>
      </c>
      <c r="R54" s="163">
        <f t="shared" si="58"/>
        <v>39359.5</v>
      </c>
      <c r="S54" s="163">
        <f t="shared" si="58"/>
        <v>39452</v>
      </c>
      <c r="T54" s="163">
        <f>S54+T15</f>
        <v>39576.9</v>
      </c>
      <c r="U54" s="163">
        <f>T54+U15</f>
        <v>39618.400000000001</v>
      </c>
      <c r="V54" s="163">
        <f t="shared" si="58"/>
        <v>39678.9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L54" s="63">
        <v>183.6</v>
      </c>
    </row>
    <row r="55" spans="2:38" x14ac:dyDescent="0.3">
      <c r="B55" s="753"/>
      <c r="C55" s="18" t="s">
        <v>20</v>
      </c>
      <c r="D55" s="163">
        <f>D16+Agosto23!AF52</f>
        <v>97375.4</v>
      </c>
      <c r="E55" s="164">
        <f t="shared" si="57"/>
        <v>97701.299999999988</v>
      </c>
      <c r="F55" s="164">
        <f t="shared" si="57"/>
        <v>98223.299999999988</v>
      </c>
      <c r="G55" s="165">
        <v>98510</v>
      </c>
      <c r="H55" s="166">
        <v>98809</v>
      </c>
      <c r="I55" s="163">
        <f t="shared" si="58"/>
        <v>99240.3</v>
      </c>
      <c r="J55" s="163">
        <f t="shared" si="58"/>
        <v>99641.900000000009</v>
      </c>
      <c r="K55" s="163">
        <f t="shared" si="58"/>
        <v>100031.6</v>
      </c>
      <c r="L55" s="163">
        <f t="shared" si="58"/>
        <v>100378.8</v>
      </c>
      <c r="M55" s="163">
        <f t="shared" si="58"/>
        <v>100793.5</v>
      </c>
      <c r="N55" s="163">
        <f t="shared" si="58"/>
        <v>101299.4</v>
      </c>
      <c r="O55" s="163">
        <f t="shared" si="58"/>
        <v>101737.09999999999</v>
      </c>
      <c r="P55" s="163">
        <f t="shared" si="58"/>
        <v>102055.59999999999</v>
      </c>
      <c r="Q55" s="163">
        <f t="shared" si="58"/>
        <v>102364.4</v>
      </c>
      <c r="R55" s="163">
        <f t="shared" si="58"/>
        <v>102695.4</v>
      </c>
      <c r="S55" s="163">
        <f t="shared" si="58"/>
        <v>103111.79999999999</v>
      </c>
      <c r="T55" s="163">
        <f>S55+T14</f>
        <v>103534.49999999999</v>
      </c>
      <c r="U55" s="163">
        <f t="shared" si="58"/>
        <v>103647.29999999999</v>
      </c>
      <c r="V55" s="163">
        <f t="shared" si="58"/>
        <v>103830.9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L55" s="63" t="s">
        <v>31</v>
      </c>
    </row>
    <row r="56" spans="2:38" x14ac:dyDescent="0.3">
      <c r="B56" s="754" t="s">
        <v>21</v>
      </c>
      <c r="C56" s="18" t="s">
        <v>22</v>
      </c>
      <c r="D56" s="163">
        <f>D17+Agosto23!AF53</f>
        <v>66179.600000000006</v>
      </c>
      <c r="E56" s="164">
        <f t="shared" si="57"/>
        <v>66515.8</v>
      </c>
      <c r="F56" s="164">
        <f t="shared" si="57"/>
        <v>67030.2</v>
      </c>
      <c r="G56" s="165">
        <v>67299</v>
      </c>
      <c r="H56" s="166">
        <v>67726</v>
      </c>
      <c r="I56" s="163">
        <f t="shared" si="58"/>
        <v>68108.5</v>
      </c>
      <c r="J56" s="163">
        <f t="shared" si="58"/>
        <v>68550.100000000006</v>
      </c>
      <c r="K56" s="163">
        <f t="shared" si="58"/>
        <v>68982.700000000012</v>
      </c>
      <c r="L56" s="163">
        <f t="shared" si="58"/>
        <v>69359.000000000015</v>
      </c>
      <c r="M56" s="163">
        <f t="shared" si="58"/>
        <v>69873.400000000009</v>
      </c>
      <c r="N56" s="163">
        <f t="shared" si="58"/>
        <v>70386.700000000012</v>
      </c>
      <c r="O56" s="163">
        <f t="shared" si="58"/>
        <v>70768.400000000009</v>
      </c>
      <c r="P56" s="163">
        <f t="shared" si="58"/>
        <v>71220.600000000006</v>
      </c>
      <c r="Q56" s="163">
        <f t="shared" si="58"/>
        <v>71635.8</v>
      </c>
      <c r="R56" s="163">
        <f t="shared" si="58"/>
        <v>72094.3</v>
      </c>
      <c r="S56" s="163">
        <f t="shared" si="58"/>
        <v>72334.400000000009</v>
      </c>
      <c r="T56" s="163">
        <f t="shared" si="58"/>
        <v>72733.000000000015</v>
      </c>
      <c r="U56" s="163">
        <f t="shared" si="58"/>
        <v>72836.800000000017</v>
      </c>
      <c r="V56" s="163">
        <f t="shared" si="58"/>
        <v>73121.900000000023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L56" s="63">
        <v>40.200000000000003</v>
      </c>
    </row>
    <row r="57" spans="2:38" x14ac:dyDescent="0.3">
      <c r="B57" s="754"/>
      <c r="C57" s="18" t="s">
        <v>23</v>
      </c>
      <c r="D57" s="163">
        <f>D18+Agosto23!AF54</f>
        <v>74757.600000000006</v>
      </c>
      <c r="E57" s="164">
        <f t="shared" si="57"/>
        <v>75110</v>
      </c>
      <c r="F57" s="164">
        <f t="shared" si="57"/>
        <v>75639.100000000006</v>
      </c>
      <c r="G57" s="165">
        <v>75901</v>
      </c>
      <c r="H57" s="166">
        <v>76333</v>
      </c>
      <c r="I57" s="163">
        <f t="shared" si="58"/>
        <v>76784.600000000006</v>
      </c>
      <c r="J57" s="163">
        <f t="shared" si="58"/>
        <v>77230.3</v>
      </c>
      <c r="K57" s="163">
        <f t="shared" si="58"/>
        <v>77659.5</v>
      </c>
      <c r="L57" s="163">
        <f t="shared" si="58"/>
        <v>78039.899999999994</v>
      </c>
      <c r="M57" s="163">
        <f>L57+M19</f>
        <v>78473.299999999988</v>
      </c>
      <c r="N57" s="163">
        <f t="shared" si="58"/>
        <v>78970.799999999988</v>
      </c>
      <c r="O57" s="163">
        <f t="shared" si="58"/>
        <v>79350.199999999983</v>
      </c>
      <c r="P57" s="163">
        <f t="shared" si="58"/>
        <v>79817.799999999988</v>
      </c>
      <c r="Q57" s="163">
        <f t="shared" si="58"/>
        <v>80230.099999999991</v>
      </c>
      <c r="R57" s="163">
        <f t="shared" si="58"/>
        <v>80691.099999999991</v>
      </c>
      <c r="S57" s="163">
        <f t="shared" si="58"/>
        <v>80935.899999999994</v>
      </c>
      <c r="T57" s="163">
        <f t="shared" si="58"/>
        <v>81343.899999999994</v>
      </c>
      <c r="U57" s="163">
        <f t="shared" si="58"/>
        <v>81449</v>
      </c>
      <c r="V57" s="163">
        <f t="shared" si="58"/>
        <v>81740.3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L57" s="63">
        <v>115</v>
      </c>
    </row>
    <row r="58" spans="2:38" x14ac:dyDescent="0.3">
      <c r="B58" s="754"/>
      <c r="C58" s="18" t="s">
        <v>24</v>
      </c>
      <c r="D58" s="163">
        <f>D19+Agosto23!AF55</f>
        <v>136339.6</v>
      </c>
      <c r="E58" s="164">
        <f t="shared" si="57"/>
        <v>136546.30000000002</v>
      </c>
      <c r="F58" s="164">
        <f t="shared" si="57"/>
        <v>136981.40000000002</v>
      </c>
      <c r="G58" s="165">
        <v>137294</v>
      </c>
      <c r="H58" s="166">
        <v>137664</v>
      </c>
      <c r="I58" s="163">
        <f>H58+I19</f>
        <v>138074.9</v>
      </c>
      <c r="J58" s="163">
        <f t="shared" si="58"/>
        <v>138494.79999999999</v>
      </c>
      <c r="K58" s="163">
        <f t="shared" si="58"/>
        <v>138875.59999999998</v>
      </c>
      <c r="L58" s="163">
        <f>K58+L21</f>
        <v>139234.39999999997</v>
      </c>
      <c r="M58" s="163" t="e">
        <f>L58+#REF!</f>
        <v>#REF!</v>
      </c>
      <c r="N58" s="163" t="e">
        <f t="shared" si="58"/>
        <v>#REF!</v>
      </c>
      <c r="O58" s="163" t="e">
        <f t="shared" si="58"/>
        <v>#REF!</v>
      </c>
      <c r="P58" s="163" t="e">
        <f t="shared" si="58"/>
        <v>#REF!</v>
      </c>
      <c r="Q58" s="163" t="e">
        <f t="shared" si="58"/>
        <v>#REF!</v>
      </c>
      <c r="R58" s="163" t="e">
        <f t="shared" si="58"/>
        <v>#REF!</v>
      </c>
      <c r="S58" s="163" t="e">
        <f t="shared" si="58"/>
        <v>#REF!</v>
      </c>
      <c r="T58" s="163" t="e">
        <f t="shared" si="58"/>
        <v>#REF!</v>
      </c>
      <c r="U58" s="163" t="e">
        <f t="shared" si="58"/>
        <v>#REF!</v>
      </c>
      <c r="V58" s="163" t="e">
        <f t="shared" si="58"/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L58" s="63">
        <v>160.30000000000001</v>
      </c>
    </row>
    <row r="59" spans="2:38" x14ac:dyDescent="0.3">
      <c r="B59" s="754"/>
      <c r="C59" s="18" t="s">
        <v>25</v>
      </c>
      <c r="D59" s="163">
        <f>D20+Agosto23!AF56</f>
        <v>174696</v>
      </c>
      <c r="E59" s="164">
        <f t="shared" si="57"/>
        <v>174893</v>
      </c>
      <c r="F59" s="164">
        <f t="shared" si="57"/>
        <v>175245.8</v>
      </c>
      <c r="G59" s="165">
        <v>176032</v>
      </c>
      <c r="H59" s="166">
        <v>176536</v>
      </c>
      <c r="I59" s="163">
        <f>H59+I20</f>
        <v>177038.5</v>
      </c>
      <c r="J59" s="163">
        <f t="shared" si="58"/>
        <v>177540.6</v>
      </c>
      <c r="K59" s="163">
        <f t="shared" si="58"/>
        <v>178059.30000000002</v>
      </c>
      <c r="L59" s="163">
        <f t="shared" si="58"/>
        <v>178488.1</v>
      </c>
      <c r="M59" s="163">
        <f t="shared" si="58"/>
        <v>179049.9</v>
      </c>
      <c r="N59" s="163">
        <f>M59+N21</f>
        <v>179568.9</v>
      </c>
      <c r="O59" s="163" t="e">
        <f>N59+#REF!</f>
        <v>#REF!</v>
      </c>
      <c r="P59" s="163" t="e">
        <f t="shared" si="58"/>
        <v>#REF!</v>
      </c>
      <c r="Q59" s="163" t="e">
        <f t="shared" si="58"/>
        <v>#REF!</v>
      </c>
      <c r="R59" s="163" t="e">
        <f t="shared" si="58"/>
        <v>#REF!</v>
      </c>
      <c r="S59" s="163" t="e">
        <f>R59+S21</f>
        <v>#REF!</v>
      </c>
      <c r="T59" s="163" t="e">
        <f t="shared" si="58"/>
        <v>#REF!</v>
      </c>
      <c r="U59" s="163" t="e">
        <f t="shared" si="58"/>
        <v>#REF!</v>
      </c>
      <c r="V59" s="163" t="e">
        <f t="shared" si="58"/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L59" s="63">
        <v>136.9</v>
      </c>
    </row>
    <row r="60" spans="2:38" x14ac:dyDescent="0.3">
      <c r="B60" s="754"/>
      <c r="C60" s="18" t="s">
        <v>26</v>
      </c>
      <c r="D60" s="163">
        <f>D21+Agosto23!AF57</f>
        <v>82175.600000000006</v>
      </c>
      <c r="E60" s="164">
        <f t="shared" ref="E60:F66" si="59">D60+E21</f>
        <v>82282.5</v>
      </c>
      <c r="F60" s="164">
        <f t="shared" si="59"/>
        <v>82782.5</v>
      </c>
      <c r="G60" s="165">
        <v>83628</v>
      </c>
      <c r="H60" s="166">
        <v>84081</v>
      </c>
      <c r="I60" s="163">
        <f t="shared" ref="I60:L66" si="60">H60+I21</f>
        <v>84538.6</v>
      </c>
      <c r="J60" s="163">
        <f t="shared" si="60"/>
        <v>84983</v>
      </c>
      <c r="K60" s="163">
        <f t="shared" si="60"/>
        <v>85429.2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1">N60+O21</f>
        <v>#REF!</v>
      </c>
      <c r="P60" s="163" t="e">
        <f t="shared" si="61"/>
        <v>#REF!</v>
      </c>
      <c r="Q60" s="163" t="e">
        <f t="shared" si="61"/>
        <v>#REF!</v>
      </c>
      <c r="R60" s="163" t="e">
        <f t="shared" si="61"/>
        <v>#REF!</v>
      </c>
      <c r="S60" s="163" t="e">
        <f>R60+#REF!</f>
        <v>#REF!</v>
      </c>
      <c r="T60" s="163" t="e">
        <f t="shared" ref="T60:V66" si="62">S60+T21</f>
        <v>#REF!</v>
      </c>
      <c r="U60" s="163" t="e">
        <f t="shared" si="62"/>
        <v>#REF!</v>
      </c>
      <c r="V60" s="163" t="e">
        <f t="shared" si="62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L60" s="63">
        <v>147.5</v>
      </c>
    </row>
    <row r="61" spans="2:38" x14ac:dyDescent="0.3">
      <c r="B61" s="754"/>
      <c r="C61" s="18" t="s">
        <v>27</v>
      </c>
      <c r="D61" s="163">
        <f>D22+Agosto23!AF58</f>
        <v>61682.5</v>
      </c>
      <c r="E61" s="164">
        <f t="shared" si="59"/>
        <v>62050.5</v>
      </c>
      <c r="F61" s="164">
        <f t="shared" si="59"/>
        <v>62669.1</v>
      </c>
      <c r="G61" s="165">
        <v>63058</v>
      </c>
      <c r="H61" s="166">
        <v>63281</v>
      </c>
      <c r="I61" s="163">
        <f t="shared" si="60"/>
        <v>63820.3</v>
      </c>
      <c r="J61" s="163">
        <f t="shared" si="60"/>
        <v>64390.3</v>
      </c>
      <c r="K61" s="163">
        <f t="shared" si="60"/>
        <v>64926.3</v>
      </c>
      <c r="L61" s="163">
        <f t="shared" si="60"/>
        <v>65389.4</v>
      </c>
      <c r="M61" s="163" t="e">
        <f>L61+#REF!</f>
        <v>#REF!</v>
      </c>
      <c r="N61" s="163" t="e">
        <f t="shared" si="61"/>
        <v>#REF!</v>
      </c>
      <c r="O61" s="163" t="e">
        <f t="shared" si="61"/>
        <v>#REF!</v>
      </c>
      <c r="P61" s="163" t="e">
        <f t="shared" si="61"/>
        <v>#REF!</v>
      </c>
      <c r="Q61" s="163" t="e">
        <f t="shared" si="61"/>
        <v>#REF!</v>
      </c>
      <c r="R61" s="163" t="e">
        <f t="shared" si="61"/>
        <v>#REF!</v>
      </c>
      <c r="S61" s="163" t="e">
        <f t="shared" si="61"/>
        <v>#REF!</v>
      </c>
      <c r="T61" s="163" t="e">
        <f t="shared" si="62"/>
        <v>#REF!</v>
      </c>
      <c r="U61" s="163" t="e">
        <f t="shared" si="62"/>
        <v>#REF!</v>
      </c>
      <c r="V61" s="163" t="e">
        <f t="shared" si="62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L61" s="63">
        <v>189.83</v>
      </c>
    </row>
    <row r="62" spans="2:38" x14ac:dyDescent="0.3">
      <c r="B62" s="754"/>
      <c r="C62" s="18" t="s">
        <v>28</v>
      </c>
      <c r="D62" s="163">
        <f>D23+Agosto23!AF59</f>
        <v>87742.97</v>
      </c>
      <c r="E62" s="164">
        <f t="shared" si="59"/>
        <v>88018.87</v>
      </c>
      <c r="F62" s="164">
        <f t="shared" si="59"/>
        <v>88553.069999999992</v>
      </c>
      <c r="G62" s="165">
        <v>87693.64</v>
      </c>
      <c r="H62" s="166">
        <v>87903.16</v>
      </c>
      <c r="I62" s="163">
        <f t="shared" si="60"/>
        <v>88385.56</v>
      </c>
      <c r="J62" s="163">
        <f t="shared" si="60"/>
        <v>88881.459999999992</v>
      </c>
      <c r="K62" s="163">
        <f>J62+K23</f>
        <v>89345.659999999989</v>
      </c>
      <c r="L62" s="163">
        <f t="shared" si="60"/>
        <v>89733.26</v>
      </c>
      <c r="M62" s="163">
        <f>L62+M22</f>
        <v>90343.459999999992</v>
      </c>
      <c r="N62" s="163">
        <f t="shared" si="61"/>
        <v>90830.26</v>
      </c>
      <c r="O62" s="163">
        <f>N62+O20</f>
        <v>91300.76</v>
      </c>
      <c r="P62" s="163">
        <f t="shared" si="61"/>
        <v>91772.86</v>
      </c>
      <c r="Q62" s="163">
        <f t="shared" si="61"/>
        <v>92181.759999999995</v>
      </c>
      <c r="R62" s="163">
        <f t="shared" si="61"/>
        <v>92597.26</v>
      </c>
      <c r="S62" s="163">
        <f t="shared" si="61"/>
        <v>92999.659999999989</v>
      </c>
      <c r="T62" s="163">
        <f t="shared" si="62"/>
        <v>93425.159999999989</v>
      </c>
      <c r="U62" s="163">
        <f t="shared" si="62"/>
        <v>93548.459999999992</v>
      </c>
      <c r="V62" s="163">
        <f>U62+V23</f>
        <v>93802.559999999998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L62" s="63">
        <v>223.4</v>
      </c>
    </row>
    <row r="63" spans="2:38" x14ac:dyDescent="0.3">
      <c r="B63" s="754"/>
      <c r="C63" s="18" t="s">
        <v>29</v>
      </c>
      <c r="D63" s="163">
        <f>D24+Agosto23!AF60</f>
        <v>130141.2</v>
      </c>
      <c r="E63" s="164">
        <f t="shared" si="59"/>
        <v>130943.5</v>
      </c>
      <c r="F63" s="164">
        <f t="shared" si="59"/>
        <v>133009.20000000001</v>
      </c>
      <c r="G63" s="165">
        <v>130195</v>
      </c>
      <c r="H63" s="166">
        <v>130451</v>
      </c>
      <c r="I63" s="163">
        <f t="shared" si="60"/>
        <v>132274.29999999999</v>
      </c>
      <c r="J63" s="163">
        <f t="shared" si="60"/>
        <v>134175.9</v>
      </c>
      <c r="K63" s="163">
        <f>J63+K24</f>
        <v>135961.5</v>
      </c>
      <c r="L63" s="163">
        <f t="shared" si="60"/>
        <v>137457.70000000001</v>
      </c>
      <c r="M63" s="163">
        <f t="shared" si="61"/>
        <v>139083.20000000001</v>
      </c>
      <c r="N63" s="163">
        <f t="shared" si="61"/>
        <v>140578.20000000001</v>
      </c>
      <c r="O63" s="163">
        <f t="shared" si="61"/>
        <v>141668.20000000001</v>
      </c>
      <c r="P63" s="163">
        <f t="shared" si="61"/>
        <v>142861.80000000002</v>
      </c>
      <c r="Q63" s="163">
        <f t="shared" si="61"/>
        <v>144454.80000000002</v>
      </c>
      <c r="R63" s="163">
        <f t="shared" si="61"/>
        <v>146079.90000000002</v>
      </c>
      <c r="S63" s="163">
        <f t="shared" si="61"/>
        <v>147652.70000000001</v>
      </c>
      <c r="T63" s="163">
        <f t="shared" si="62"/>
        <v>149302.70000000001</v>
      </c>
      <c r="U63" s="163">
        <f t="shared" si="62"/>
        <v>149773.80000000002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L63" s="63">
        <v>619</v>
      </c>
    </row>
    <row r="64" spans="2:38" x14ac:dyDescent="0.3">
      <c r="B64" s="754"/>
      <c r="C64" s="18" t="s">
        <v>30</v>
      </c>
      <c r="D64" s="163">
        <f>D25+Agosto23!AF61</f>
        <v>14681.9</v>
      </c>
      <c r="E64" s="164">
        <f t="shared" si="59"/>
        <v>15070.4</v>
      </c>
      <c r="F64" s="164">
        <f t="shared" si="59"/>
        <v>15638.1</v>
      </c>
      <c r="G64" s="165">
        <v>18667</v>
      </c>
      <c r="H64" s="166">
        <v>19364</v>
      </c>
      <c r="I64" s="163">
        <f t="shared" si="60"/>
        <v>19970.900000000001</v>
      </c>
      <c r="J64" s="163">
        <f t="shared" si="60"/>
        <v>20468.900000000001</v>
      </c>
      <c r="K64" s="163">
        <f t="shared" si="60"/>
        <v>20995.600000000002</v>
      </c>
      <c r="L64" s="163">
        <f t="shared" si="60"/>
        <v>21298.000000000004</v>
      </c>
      <c r="M64" s="163">
        <f t="shared" si="61"/>
        <v>21739.600000000002</v>
      </c>
      <c r="N64" s="163">
        <f t="shared" si="61"/>
        <v>22200.000000000004</v>
      </c>
      <c r="O64" s="163">
        <f t="shared" si="61"/>
        <v>22630.300000000003</v>
      </c>
      <c r="P64" s="163">
        <f t="shared" si="61"/>
        <v>23051.600000000002</v>
      </c>
      <c r="Q64" s="163">
        <f t="shared" si="61"/>
        <v>23491.800000000003</v>
      </c>
      <c r="R64" s="163">
        <f t="shared" si="61"/>
        <v>23905.700000000004</v>
      </c>
      <c r="S64" s="163">
        <f t="shared" si="61"/>
        <v>24438.400000000005</v>
      </c>
      <c r="T64" s="163">
        <f t="shared" si="62"/>
        <v>24803.900000000005</v>
      </c>
      <c r="U64" s="163">
        <f t="shared" si="62"/>
        <v>25042.800000000007</v>
      </c>
      <c r="V64" s="163">
        <f t="shared" si="62"/>
        <v>25253.300000000007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L64" s="63">
        <v>219.3</v>
      </c>
    </row>
    <row r="65" spans="2:38" x14ac:dyDescent="0.3">
      <c r="B65" s="754"/>
      <c r="C65" s="18" t="s">
        <v>111</v>
      </c>
      <c r="D65" s="163">
        <f>D26+Agosto23!AF62</f>
        <v>45331.9</v>
      </c>
      <c r="E65" s="164">
        <f t="shared" si="59"/>
        <v>45714.9</v>
      </c>
      <c r="F65" s="164">
        <f t="shared" si="59"/>
        <v>46202.5</v>
      </c>
      <c r="G65" s="165">
        <v>46772</v>
      </c>
      <c r="H65" s="166">
        <v>47086</v>
      </c>
      <c r="I65" s="163">
        <f t="shared" si="60"/>
        <v>47547.3</v>
      </c>
      <c r="J65" s="163">
        <f t="shared" si="60"/>
        <v>48024.3</v>
      </c>
      <c r="K65" s="163">
        <f t="shared" si="60"/>
        <v>48471.8</v>
      </c>
      <c r="L65" s="163">
        <f t="shared" si="60"/>
        <v>48854</v>
      </c>
      <c r="M65" s="163">
        <f t="shared" si="61"/>
        <v>49349.4</v>
      </c>
      <c r="N65" s="163">
        <f t="shared" si="61"/>
        <v>49818.5</v>
      </c>
      <c r="O65" s="163">
        <f t="shared" si="61"/>
        <v>50231.8</v>
      </c>
      <c r="P65" s="163">
        <f t="shared" si="61"/>
        <v>50596.200000000004</v>
      </c>
      <c r="Q65" s="163">
        <f t="shared" si="61"/>
        <v>50882.9</v>
      </c>
      <c r="R65" s="163">
        <f t="shared" si="61"/>
        <v>51233.700000000004</v>
      </c>
      <c r="S65" s="163">
        <f t="shared" si="61"/>
        <v>51704.3</v>
      </c>
      <c r="T65" s="163">
        <f t="shared" si="62"/>
        <v>52155.5</v>
      </c>
      <c r="U65" s="163">
        <f t="shared" si="62"/>
        <v>52311.199999999997</v>
      </c>
      <c r="V65" s="163">
        <f t="shared" si="62"/>
        <v>52504.6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L65" s="63">
        <v>66.900000000000006</v>
      </c>
    </row>
    <row r="66" spans="2:38" ht="15" thickBot="1" x14ac:dyDescent="0.35">
      <c r="B66" s="754"/>
      <c r="C66" s="18" t="s">
        <v>32</v>
      </c>
      <c r="D66" s="163">
        <f>D27+Agosto23!AF63</f>
        <v>9610.4000000000015</v>
      </c>
      <c r="E66" s="164">
        <f t="shared" si="59"/>
        <v>9965.0000000000018</v>
      </c>
      <c r="F66" s="164">
        <f t="shared" si="59"/>
        <v>10411.100000000002</v>
      </c>
      <c r="G66" s="165">
        <v>10779</v>
      </c>
      <c r="H66" s="166">
        <v>10940</v>
      </c>
      <c r="I66" s="163">
        <f t="shared" si="60"/>
        <v>11396.4</v>
      </c>
      <c r="J66" s="163">
        <f t="shared" si="60"/>
        <v>11833.1</v>
      </c>
      <c r="K66" s="163">
        <f t="shared" si="60"/>
        <v>12267.9</v>
      </c>
      <c r="L66" s="163">
        <f t="shared" si="60"/>
        <v>12656.6</v>
      </c>
      <c r="M66" s="163">
        <f t="shared" si="61"/>
        <v>13112.9</v>
      </c>
      <c r="N66" s="163">
        <f t="shared" si="61"/>
        <v>13539</v>
      </c>
      <c r="O66" s="163">
        <f t="shared" si="61"/>
        <v>13984</v>
      </c>
      <c r="P66" s="163">
        <f t="shared" si="61"/>
        <v>14395</v>
      </c>
      <c r="Q66" s="163">
        <f t="shared" si="61"/>
        <v>14733.3</v>
      </c>
      <c r="R66" s="163">
        <f t="shared" si="61"/>
        <v>15108.9</v>
      </c>
      <c r="S66" s="163">
        <f t="shared" si="61"/>
        <v>15607.9</v>
      </c>
      <c r="T66" s="163">
        <f t="shared" si="62"/>
        <v>15984.9</v>
      </c>
      <c r="U66" s="163">
        <f t="shared" si="62"/>
        <v>16123.199999999999</v>
      </c>
      <c r="V66" s="163">
        <f t="shared" si="62"/>
        <v>16342.9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L66" s="93">
        <v>150.6</v>
      </c>
    </row>
    <row r="67" spans="2:38" x14ac:dyDescent="0.3">
      <c r="B67" s="754"/>
      <c r="C67" s="18" t="s">
        <v>112</v>
      </c>
      <c r="D67" s="163">
        <f>D29+Agosto23!AF64</f>
        <v>18834.5</v>
      </c>
      <c r="E67" s="164">
        <f>D67+E29</f>
        <v>19081.2</v>
      </c>
      <c r="F67" s="164">
        <f>E67+F29</f>
        <v>19377.400000000001</v>
      </c>
      <c r="G67" s="165">
        <v>20520.400000000001</v>
      </c>
      <c r="H67" s="166">
        <v>20739</v>
      </c>
      <c r="I67" s="163">
        <f t="shared" ref="I67:V67" si="63">H67+I29</f>
        <v>20983.4</v>
      </c>
      <c r="J67" s="163">
        <f t="shared" si="63"/>
        <v>21225.600000000002</v>
      </c>
      <c r="K67" s="163">
        <f t="shared" si="63"/>
        <v>21470.7</v>
      </c>
      <c r="L67" s="163">
        <f t="shared" si="63"/>
        <v>21663.4</v>
      </c>
      <c r="M67" s="163">
        <f t="shared" si="63"/>
        <v>21904.600000000002</v>
      </c>
      <c r="N67" s="163">
        <f t="shared" si="63"/>
        <v>21997.500000000004</v>
      </c>
      <c r="O67" s="163">
        <f t="shared" si="63"/>
        <v>21997.500000000004</v>
      </c>
      <c r="P67" s="163">
        <f t="shared" si="63"/>
        <v>21997.500000000004</v>
      </c>
      <c r="Q67" s="163">
        <f t="shared" si="63"/>
        <v>21997.500000000004</v>
      </c>
      <c r="R67" s="163">
        <f t="shared" si="63"/>
        <v>21997.500000000004</v>
      </c>
      <c r="S67" s="163">
        <f t="shared" si="63"/>
        <v>21997.500000000004</v>
      </c>
      <c r="T67" s="163">
        <f t="shared" si="63"/>
        <v>21997.500000000004</v>
      </c>
      <c r="U67" s="163">
        <f t="shared" si="63"/>
        <v>21997.500000000004</v>
      </c>
      <c r="V67" s="163">
        <f t="shared" si="63"/>
        <v>21997.500000000004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8" x14ac:dyDescent="0.3">
      <c r="B68" s="756" t="s">
        <v>196</v>
      </c>
      <c r="C68" s="756"/>
      <c r="D68" s="756"/>
      <c r="E68" s="756"/>
    </row>
    <row r="69" spans="2:38" x14ac:dyDescent="0.3">
      <c r="B69" s="757" t="s">
        <v>132</v>
      </c>
      <c r="C69" s="757"/>
      <c r="D69" s="757"/>
      <c r="E69" s="757"/>
    </row>
  </sheetData>
  <mergeCells count="14">
    <mergeCell ref="B68:E68"/>
    <mergeCell ref="B69:E69"/>
    <mergeCell ref="AE34:AG34"/>
    <mergeCell ref="AE35:AG35"/>
    <mergeCell ref="AE36:AG36"/>
    <mergeCell ref="B44:B51"/>
    <mergeCell ref="B52:B55"/>
    <mergeCell ref="B56:B67"/>
    <mergeCell ref="B32:C32"/>
    <mergeCell ref="B4:C4"/>
    <mergeCell ref="B5:B12"/>
    <mergeCell ref="B13:B16"/>
    <mergeCell ref="B17:B29"/>
    <mergeCell ref="B30:B31"/>
  </mergeCells>
  <conditionalFormatting sqref="AK5:BN31">
    <cfRule type="cellIs" dxfId="122" priority="2" operator="equal">
      <formula>"VAZIO"</formula>
    </cfRule>
  </conditionalFormatting>
  <conditionalFormatting sqref="AK5:BO31">
    <cfRule type="expression" dxfId="121" priority="6">
      <formula>AK5&gt;$BP5</formula>
    </cfRule>
    <cfRule type="expression" dxfId="120" priority="7">
      <formula>AK5&lt;($BP5-0.01)</formula>
    </cfRule>
  </conditionalFormatting>
  <conditionalFormatting sqref="AL8:BN8 BI9 AL16:BN16 BF17 AL24:BN25">
    <cfRule type="cellIs" dxfId="119" priority="3" operator="equal">
      <formula>"""VAZIO"""</formula>
    </cfRule>
  </conditionalFormatting>
  <conditionalFormatting sqref="AO5:BN31">
    <cfRule type="expression" dxfId="118" priority="1">
      <formula>AO5=0</formula>
    </cfRule>
  </conditionalFormatting>
  <conditionalFormatting sqref="BS5:BS31">
    <cfRule type="cellIs" dxfId="117" priority="4" operator="greaterThan">
      <formula>0</formula>
    </cfRule>
    <cfRule type="cellIs" dxfId="116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CBFA9-F1E9-4912-87F8-635320FC7BE0}">
  <dimension ref="B3:BX69"/>
  <sheetViews>
    <sheetView zoomScaleNormal="100" workbookViewId="0">
      <pane xSplit="3" ySplit="4" topLeftCell="AC11" activePane="bottomRight" state="frozen"/>
      <selection pane="topRight" activeCell="D1" sqref="D1"/>
      <selection pane="bottomLeft" activeCell="A5" sqref="A5"/>
      <selection pane="bottomRight" activeCell="AI24" sqref="AI24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23" width="16.44140625" customWidth="1"/>
    <col min="24" max="24" width="17.109375" customWidth="1"/>
    <col min="25" max="25" width="17.5546875" customWidth="1"/>
    <col min="26" max="26" width="16.44140625" customWidth="1"/>
    <col min="27" max="27" width="18.109375" customWidth="1"/>
    <col min="28" max="28" width="17.33203125" customWidth="1"/>
    <col min="29" max="29" width="18.88671875" customWidth="1"/>
    <col min="30" max="31" width="18.33203125" customWidth="1"/>
    <col min="32" max="32" width="17.6640625" customWidth="1"/>
    <col min="33" max="34" width="17.8867187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502</v>
      </c>
      <c r="E4" s="344" t="s">
        <v>503</v>
      </c>
      <c r="F4" s="344" t="s">
        <v>504</v>
      </c>
      <c r="G4" s="344" t="s">
        <v>505</v>
      </c>
      <c r="H4" s="344" t="s">
        <v>506</v>
      </c>
      <c r="I4" s="344" t="s">
        <v>507</v>
      </c>
      <c r="J4" s="344" t="s">
        <v>508</v>
      </c>
      <c r="K4" s="344" t="s">
        <v>509</v>
      </c>
      <c r="L4" s="344" t="s">
        <v>510</v>
      </c>
      <c r="M4" s="344" t="s">
        <v>511</v>
      </c>
      <c r="N4" s="344" t="s">
        <v>512</v>
      </c>
      <c r="O4" s="344" t="s">
        <v>513</v>
      </c>
      <c r="P4" s="344" t="s">
        <v>514</v>
      </c>
      <c r="Q4" s="344" t="s">
        <v>515</v>
      </c>
      <c r="R4" s="344" t="s">
        <v>516</v>
      </c>
      <c r="S4" s="344" t="s">
        <v>517</v>
      </c>
      <c r="T4" s="344" t="s">
        <v>518</v>
      </c>
      <c r="U4" s="344" t="s">
        <v>519</v>
      </c>
      <c r="V4" s="344" t="s">
        <v>520</v>
      </c>
      <c r="W4" s="344" t="s">
        <v>521</v>
      </c>
      <c r="X4" s="344" t="s">
        <v>522</v>
      </c>
      <c r="Y4" s="344" t="s">
        <v>523</v>
      </c>
      <c r="Z4" s="344" t="s">
        <v>524</v>
      </c>
      <c r="AA4" s="344" t="s">
        <v>525</v>
      </c>
      <c r="AB4" s="344" t="s">
        <v>526</v>
      </c>
      <c r="AC4" s="344" t="s">
        <v>527</v>
      </c>
      <c r="AD4" s="344" t="s">
        <v>528</v>
      </c>
      <c r="AE4" s="344" t="s">
        <v>529</v>
      </c>
      <c r="AF4" s="344" t="s">
        <v>530</v>
      </c>
      <c r="AG4" s="345" t="s">
        <v>531</v>
      </c>
      <c r="AH4" s="345" t="s">
        <v>532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48</v>
      </c>
      <c r="E5" s="509">
        <v>53</v>
      </c>
      <c r="F5" s="509">
        <v>52.6</v>
      </c>
      <c r="G5" s="509">
        <v>53.9</v>
      </c>
      <c r="H5" s="103">
        <v>46.7</v>
      </c>
      <c r="I5" s="331">
        <v>32.200000000000003</v>
      </c>
      <c r="J5" s="103">
        <v>45.7</v>
      </c>
      <c r="K5" s="103">
        <v>47.3</v>
      </c>
      <c r="L5" s="103">
        <v>43</v>
      </c>
      <c r="M5" s="103">
        <v>46.4</v>
      </c>
      <c r="N5" s="283">
        <v>46.4</v>
      </c>
      <c r="O5" s="103">
        <v>47.3</v>
      </c>
      <c r="P5" s="103">
        <v>49.3</v>
      </c>
      <c r="Q5" s="331">
        <v>49.3</v>
      </c>
      <c r="R5" s="103">
        <v>31.1</v>
      </c>
      <c r="S5" s="103">
        <v>22.4</v>
      </c>
      <c r="T5" s="509">
        <v>48.9</v>
      </c>
      <c r="U5" s="509">
        <v>49.6</v>
      </c>
      <c r="V5" s="103">
        <v>49.6</v>
      </c>
      <c r="W5" s="331">
        <v>45.8</v>
      </c>
      <c r="X5" s="103">
        <v>36.4</v>
      </c>
      <c r="Y5" s="103">
        <v>37.9</v>
      </c>
      <c r="Z5" s="104">
        <v>48.6</v>
      </c>
      <c r="AA5" s="332">
        <v>43.3</v>
      </c>
      <c r="AB5" s="333">
        <v>45.3</v>
      </c>
      <c r="AC5" s="104">
        <v>6.3</v>
      </c>
      <c r="AD5" s="104">
        <v>15.2</v>
      </c>
      <c r="AE5" s="104">
        <v>38.4</v>
      </c>
      <c r="AF5" s="104">
        <v>39.200000000000003</v>
      </c>
      <c r="AG5" s="104">
        <v>41.8</v>
      </c>
      <c r="AH5" s="506">
        <v>53.3</v>
      </c>
      <c r="AI5" s="335">
        <f t="shared" ref="AI5:AI10" si="0">SUM(D5:AH5)</f>
        <v>1314.1999999999996</v>
      </c>
      <c r="AJ5" s="160">
        <v>12</v>
      </c>
      <c r="AK5" s="336">
        <f t="shared" ref="AK5:AK11" si="1">F5/(AJ5*432)</f>
        <v>1.0146604938271605E-2</v>
      </c>
      <c r="AL5" s="337">
        <f t="shared" ref="AL5:AU8" si="2">IF(OR(D5="",D5="Sem monitoramento"),"VAZIO",IFERROR(D5/($AJ5*24),"-"))</f>
        <v>0.16666666666666666</v>
      </c>
      <c r="AM5" s="338">
        <f t="shared" si="2"/>
        <v>0.18402777777777779</v>
      </c>
      <c r="AN5" s="338">
        <f t="shared" si="2"/>
        <v>0.18263888888888891</v>
      </c>
      <c r="AO5" s="338">
        <f t="shared" si="2"/>
        <v>0.18715277777777778</v>
      </c>
      <c r="AP5" s="338">
        <f t="shared" si="2"/>
        <v>0.16215277777777778</v>
      </c>
      <c r="AQ5" s="338">
        <f t="shared" si="2"/>
        <v>0.11180555555555556</v>
      </c>
      <c r="AR5" s="338">
        <f t="shared" si="2"/>
        <v>0.15868055555555557</v>
      </c>
      <c r="AS5" s="338">
        <f t="shared" si="2"/>
        <v>0.16423611111111111</v>
      </c>
      <c r="AT5" s="338">
        <f t="shared" si="2"/>
        <v>0.14930555555555555</v>
      </c>
      <c r="AU5" s="338">
        <f t="shared" si="2"/>
        <v>0.16111111111111109</v>
      </c>
      <c r="AV5" s="338">
        <f t="shared" ref="AV5:BE8" si="3">IF(OR(N5="",N5="Sem monitoramento"),"VAZIO",IFERROR(N5/($AJ5*24),"-"))</f>
        <v>0.16111111111111109</v>
      </c>
      <c r="AW5" s="338">
        <f t="shared" si="3"/>
        <v>0.16423611111111111</v>
      </c>
      <c r="AX5" s="338">
        <f t="shared" si="3"/>
        <v>0.17118055555555556</v>
      </c>
      <c r="AY5" s="338">
        <f t="shared" si="3"/>
        <v>0.17118055555555556</v>
      </c>
      <c r="AZ5" s="338">
        <f t="shared" si="3"/>
        <v>0.10798611111111112</v>
      </c>
      <c r="BA5" s="338">
        <f t="shared" si="3"/>
        <v>7.7777777777777779E-2</v>
      </c>
      <c r="BB5" s="338">
        <f t="shared" si="3"/>
        <v>0.16979166666666667</v>
      </c>
      <c r="BC5" s="338">
        <f t="shared" si="3"/>
        <v>0.17222222222222222</v>
      </c>
      <c r="BD5" s="338">
        <f t="shared" si="3"/>
        <v>0.17222222222222222</v>
      </c>
      <c r="BE5" s="338">
        <f t="shared" si="3"/>
        <v>0.15902777777777777</v>
      </c>
      <c r="BF5" s="338">
        <f t="shared" ref="BF5:BJ8" si="4">IF(OR(X5="",X5="Sem monitoramento"),"VAZIO",IFERROR(X5/($AJ5*24),"-"))</f>
        <v>0.12638888888888888</v>
      </c>
      <c r="BG5" s="338">
        <f t="shared" si="4"/>
        <v>0.13159722222222223</v>
      </c>
      <c r="BH5" s="338">
        <f t="shared" si="4"/>
        <v>0.16875000000000001</v>
      </c>
      <c r="BI5" s="338">
        <f t="shared" si="4"/>
        <v>0.15034722222222222</v>
      </c>
      <c r="BJ5" s="338">
        <f t="shared" si="4"/>
        <v>0.15729166666666666</v>
      </c>
      <c r="BK5" s="338" t="e">
        <f>IF(OR(#REF!="",#REF!="Sem monitoramento"),"VAZIO",IFERROR(#REF!/($AJ5*24),"-"))</f>
        <v>#REF!</v>
      </c>
      <c r="BL5" s="338">
        <f t="shared" ref="BL5:BO6" si="5">IF(OR(AD5="",AD5="Sem monitoramento"),"VAZIO",IFERROR(AD5/($AJ5*24),"-"))</f>
        <v>5.2777777777777778E-2</v>
      </c>
      <c r="BM5" s="338">
        <f t="shared" si="5"/>
        <v>0.13333333333333333</v>
      </c>
      <c r="BN5" s="338">
        <f t="shared" si="5"/>
        <v>0.13611111111111113</v>
      </c>
      <c r="BO5" s="338">
        <f t="shared" si="5"/>
        <v>0.14513888888888887</v>
      </c>
      <c r="BP5" s="339">
        <f t="shared" ref="BP5:BP31" si="6">AI5/(AJ5*(COUNTA(D5:AG5)*24))</f>
        <v>0.15210648148148143</v>
      </c>
      <c r="BQ5" s="180">
        <f>'FCs estimados em PVsyst'!Y3</f>
        <v>0.1804398148148148</v>
      </c>
      <c r="BR5" s="340">
        <f t="shared" ref="BR5:BR11" si="7">AJ5*BQ5</f>
        <v>2.1652777777777779</v>
      </c>
      <c r="BS5" s="341">
        <f t="shared" ref="BS5:BS11" si="8">AN5-BQ5</f>
        <v>2.1990740740741033E-3</v>
      </c>
      <c r="BT5" s="342">
        <f t="shared" ref="BT5:BT30" si="9">BP5-BQ5</f>
        <v>-2.8333333333333377E-2</v>
      </c>
      <c r="BU5" s="15" t="s">
        <v>7</v>
      </c>
      <c r="BV5" s="75" t="s">
        <v>107</v>
      </c>
      <c r="BW5" s="7">
        <f>COUNTIF(BT5:BT29,"&gt;0")</f>
        <v>8</v>
      </c>
      <c r="BX5" s="2"/>
    </row>
    <row r="6" spans="2:76" x14ac:dyDescent="0.3">
      <c r="B6" s="771"/>
      <c r="C6" s="325" t="s">
        <v>8</v>
      </c>
      <c r="D6" s="62">
        <f>59.4+243.9</f>
        <v>303.3</v>
      </c>
      <c r="E6" s="319">
        <f>64+264.9</f>
        <v>328.9</v>
      </c>
      <c r="F6" s="319">
        <f>-30.6+55+170.1+53.7</f>
        <v>248.2</v>
      </c>
      <c r="G6" s="319">
        <f>63.3+270</f>
        <v>333.3</v>
      </c>
      <c r="H6" s="63">
        <f>43.3+189.3</f>
        <v>232.60000000000002</v>
      </c>
      <c r="I6" s="283">
        <f>160.8+36.8</f>
        <v>197.60000000000002</v>
      </c>
      <c r="J6" s="63">
        <f>44.9+196.5</f>
        <v>241.4</v>
      </c>
      <c r="K6" s="63">
        <f>63.4+276.2</f>
        <v>339.59999999999997</v>
      </c>
      <c r="L6" s="63">
        <f>58.4+253.5</f>
        <v>311.89999999999998</v>
      </c>
      <c r="M6" s="63">
        <f>58.1+252.8</f>
        <v>310.90000000000003</v>
      </c>
      <c r="N6" s="283">
        <f>42+238.3</f>
        <v>280.3</v>
      </c>
      <c r="O6" s="63">
        <f>264.3</f>
        <v>264.3</v>
      </c>
      <c r="P6" s="63">
        <v>267.3</v>
      </c>
      <c r="Q6" s="355">
        <v>282.2</v>
      </c>
      <c r="R6" s="63">
        <v>205.8</v>
      </c>
      <c r="S6" s="63">
        <v>144.80000000000001</v>
      </c>
      <c r="T6" s="319">
        <v>320.7</v>
      </c>
      <c r="U6" s="319">
        <v>323.60000000000002</v>
      </c>
      <c r="V6" s="63">
        <v>310.2</v>
      </c>
      <c r="W6" s="283">
        <v>268.7</v>
      </c>
      <c r="X6" s="63">
        <v>207.7</v>
      </c>
      <c r="Y6" s="63">
        <v>218.8</v>
      </c>
      <c r="Z6" s="15">
        <v>290</v>
      </c>
      <c r="AA6" s="18">
        <v>295</v>
      </c>
      <c r="AB6" s="20">
        <v>289.10000000000002</v>
      </c>
      <c r="AC6" s="31">
        <v>35.5</v>
      </c>
      <c r="AD6" s="15">
        <v>80.5</v>
      </c>
      <c r="AE6" s="15">
        <v>239.4</v>
      </c>
      <c r="AF6" s="15">
        <v>234.4</v>
      </c>
      <c r="AG6" s="15">
        <v>284.3</v>
      </c>
      <c r="AH6" s="278">
        <v>302.8</v>
      </c>
      <c r="AI6" s="290">
        <f t="shared" si="0"/>
        <v>7993.1</v>
      </c>
      <c r="AJ6" s="118">
        <v>67</v>
      </c>
      <c r="AK6" s="121">
        <f t="shared" si="1"/>
        <v>8.5751796572692083E-3</v>
      </c>
      <c r="AL6" s="67">
        <f t="shared" si="2"/>
        <v>0.18861940298507462</v>
      </c>
      <c r="AM6" s="68">
        <f t="shared" si="2"/>
        <v>0.20453980099502486</v>
      </c>
      <c r="AN6" s="68">
        <f t="shared" si="2"/>
        <v>0.15435323383084576</v>
      </c>
      <c r="AO6" s="68">
        <f t="shared" si="2"/>
        <v>0.20727611940298507</v>
      </c>
      <c r="AP6" s="68">
        <f t="shared" si="2"/>
        <v>0.14465174129353237</v>
      </c>
      <c r="AQ6" s="68">
        <f t="shared" si="2"/>
        <v>0.1228855721393035</v>
      </c>
      <c r="AR6" s="68">
        <f t="shared" si="2"/>
        <v>0.15012437810945273</v>
      </c>
      <c r="AS6" s="68">
        <f t="shared" si="2"/>
        <v>0.21119402985074626</v>
      </c>
      <c r="AT6" s="68">
        <f t="shared" si="2"/>
        <v>0.19396766169154228</v>
      </c>
      <c r="AU6" s="68">
        <f t="shared" si="2"/>
        <v>0.19334577114427862</v>
      </c>
      <c r="AV6" s="68">
        <f t="shared" si="3"/>
        <v>0.17431592039800994</v>
      </c>
      <c r="AW6" s="68">
        <f t="shared" si="3"/>
        <v>0.16436567164179106</v>
      </c>
      <c r="AX6" s="68">
        <f t="shared" si="3"/>
        <v>0.16623134328358211</v>
      </c>
      <c r="AY6" s="68">
        <f t="shared" si="3"/>
        <v>0.17549751243781095</v>
      </c>
      <c r="AZ6" s="68">
        <f t="shared" si="3"/>
        <v>0.12798507462686567</v>
      </c>
      <c r="BA6" s="68">
        <f t="shared" si="3"/>
        <v>9.0049751243781104E-2</v>
      </c>
      <c r="BB6" s="68">
        <f t="shared" si="3"/>
        <v>0.19944029850746267</v>
      </c>
      <c r="BC6" s="68">
        <f t="shared" si="3"/>
        <v>0.20124378109452737</v>
      </c>
      <c r="BD6" s="68">
        <f t="shared" si="3"/>
        <v>0.19291044776119401</v>
      </c>
      <c r="BE6" s="68">
        <f t="shared" si="3"/>
        <v>0.16710199004975124</v>
      </c>
      <c r="BF6" s="68">
        <f t="shared" si="4"/>
        <v>0.12916666666666665</v>
      </c>
      <c r="BG6" s="68">
        <f t="shared" si="4"/>
        <v>0.13606965174129354</v>
      </c>
      <c r="BH6" s="68">
        <f t="shared" si="4"/>
        <v>0.18034825870646767</v>
      </c>
      <c r="BI6" s="68">
        <f t="shared" si="4"/>
        <v>0.18345771144278608</v>
      </c>
      <c r="BJ6" s="68">
        <f t="shared" si="4"/>
        <v>0.17978855721393036</v>
      </c>
      <c r="BK6" s="68">
        <f>IF(OR(AC5="",AC5="Sem monitoramento"),"VAZIO",IFERROR(AC5/($AJ6*24),"-"))</f>
        <v>3.9179104477611937E-3</v>
      </c>
      <c r="BL6" s="68">
        <f t="shared" si="5"/>
        <v>5.0062189054726369E-2</v>
      </c>
      <c r="BM6" s="68">
        <f t="shared" si="5"/>
        <v>0.14888059701492537</v>
      </c>
      <c r="BN6" s="68">
        <f t="shared" si="5"/>
        <v>0.14577114427860696</v>
      </c>
      <c r="BO6" s="68">
        <f t="shared" si="5"/>
        <v>0.17680348258706469</v>
      </c>
      <c r="BP6" s="70">
        <f t="shared" si="6"/>
        <v>0.16569444444444445</v>
      </c>
      <c r="BQ6" s="180">
        <f>'FCs estimados em PVsyst'!Y4</f>
        <v>0.1868988391376451</v>
      </c>
      <c r="BR6" s="72">
        <f t="shared" si="7"/>
        <v>12.522222222222222</v>
      </c>
      <c r="BS6" s="73">
        <f t="shared" si="8"/>
        <v>-3.2545605306799341E-2</v>
      </c>
      <c r="BT6" s="74">
        <f t="shared" si="9"/>
        <v>-2.1204394693200651E-2</v>
      </c>
      <c r="BU6" s="15" t="s">
        <v>8</v>
      </c>
      <c r="BV6" s="77" t="s">
        <v>108</v>
      </c>
      <c r="BW6" s="78">
        <f>(COUNTA(BU5:BU29)-BW5-BW7)</f>
        <v>5</v>
      </c>
      <c r="BX6" s="2"/>
    </row>
    <row r="7" spans="2:76" x14ac:dyDescent="0.3">
      <c r="B7" s="771"/>
      <c r="C7" s="326" t="s">
        <v>9</v>
      </c>
      <c r="D7" s="62">
        <v>211.5</v>
      </c>
      <c r="E7" s="319">
        <v>246.1</v>
      </c>
      <c r="F7" s="319">
        <v>244.2</v>
      </c>
      <c r="G7" s="319">
        <v>248.9</v>
      </c>
      <c r="H7" s="63">
        <v>204.6</v>
      </c>
      <c r="I7" s="283">
        <v>145.30000000000001</v>
      </c>
      <c r="J7" s="63">
        <v>201.7</v>
      </c>
      <c r="K7" s="63">
        <v>221.2</v>
      </c>
      <c r="L7" s="283">
        <v>209.1</v>
      </c>
      <c r="M7" s="283">
        <v>216</v>
      </c>
      <c r="N7" s="283">
        <v>199.8</v>
      </c>
      <c r="O7" s="360">
        <v>221.4</v>
      </c>
      <c r="P7" s="283">
        <v>234.9</v>
      </c>
      <c r="Q7" s="283">
        <v>231.5</v>
      </c>
      <c r="R7" s="283">
        <v>159.6</v>
      </c>
      <c r="S7" s="283">
        <v>103.4</v>
      </c>
      <c r="T7" s="355">
        <v>233.4</v>
      </c>
      <c r="U7" s="319">
        <v>235.7</v>
      </c>
      <c r="V7" s="283">
        <v>226.5</v>
      </c>
      <c r="W7" s="283">
        <v>211.1</v>
      </c>
      <c r="X7" s="283">
        <v>152.6</v>
      </c>
      <c r="Y7" s="283">
        <v>174.1</v>
      </c>
      <c r="Z7" s="15">
        <v>216.1</v>
      </c>
      <c r="AA7" s="18">
        <v>201.2</v>
      </c>
      <c r="AB7" s="323">
        <v>208</v>
      </c>
      <c r="AC7" s="221">
        <v>25.5</v>
      </c>
      <c r="AD7" s="221">
        <v>65.2</v>
      </c>
      <c r="AE7" s="221">
        <v>172.5</v>
      </c>
      <c r="AF7" s="221">
        <v>173.3</v>
      </c>
      <c r="AG7" s="15">
        <v>190.1</v>
      </c>
      <c r="AH7" s="278">
        <v>225.3</v>
      </c>
      <c r="AI7" s="290">
        <f t="shared" si="0"/>
        <v>6009.800000000002</v>
      </c>
      <c r="AJ7" s="118">
        <v>49</v>
      </c>
      <c r="AK7" s="121">
        <f t="shared" si="1"/>
        <v>1.1536281179138321E-2</v>
      </c>
      <c r="AL7" s="67">
        <f t="shared" si="2"/>
        <v>0.1798469387755102</v>
      </c>
      <c r="AM7" s="68">
        <f t="shared" si="2"/>
        <v>0.2092687074829932</v>
      </c>
      <c r="AN7" s="68">
        <f t="shared" si="2"/>
        <v>0.20765306122448979</v>
      </c>
      <c r="AO7" s="68">
        <f t="shared" si="2"/>
        <v>0.21164965986394557</v>
      </c>
      <c r="AP7" s="68">
        <f t="shared" si="2"/>
        <v>0.1739795918367347</v>
      </c>
      <c r="AQ7" s="68">
        <f t="shared" si="2"/>
        <v>0.1235544217687075</v>
      </c>
      <c r="AR7" s="68">
        <f t="shared" si="2"/>
        <v>0.17151360544217686</v>
      </c>
      <c r="AS7" s="68">
        <f t="shared" si="2"/>
        <v>0.18809523809523809</v>
      </c>
      <c r="AT7" s="68">
        <f t="shared" si="2"/>
        <v>0.17780612244897959</v>
      </c>
      <c r="AU7" s="68">
        <f t="shared" si="2"/>
        <v>0.18367346938775511</v>
      </c>
      <c r="AV7" s="68">
        <f t="shared" si="3"/>
        <v>0.16989795918367348</v>
      </c>
      <c r="AW7" s="68">
        <f t="shared" si="3"/>
        <v>0.18826530612244899</v>
      </c>
      <c r="AX7" s="68">
        <f t="shared" si="3"/>
        <v>0.19974489795918368</v>
      </c>
      <c r="AY7" s="68">
        <f t="shared" si="3"/>
        <v>0.19685374149659865</v>
      </c>
      <c r="AZ7" s="68">
        <f t="shared" si="3"/>
        <v>0.1357142857142857</v>
      </c>
      <c r="BA7" s="68">
        <f t="shared" si="3"/>
        <v>8.792517006802722E-2</v>
      </c>
      <c r="BB7" s="68">
        <f t="shared" si="3"/>
        <v>0.19846938775510203</v>
      </c>
      <c r="BC7" s="68">
        <f t="shared" si="3"/>
        <v>0.20042517006802721</v>
      </c>
      <c r="BD7" s="68">
        <f t="shared" si="3"/>
        <v>0.19260204081632654</v>
      </c>
      <c r="BE7" s="68">
        <f t="shared" si="3"/>
        <v>0.17950680272108843</v>
      </c>
      <c r="BF7" s="68">
        <f t="shared" si="4"/>
        <v>0.12976190476190474</v>
      </c>
      <c r="BG7" s="68">
        <f t="shared" si="4"/>
        <v>0.14804421768707482</v>
      </c>
      <c r="BH7" s="68">
        <f t="shared" si="4"/>
        <v>0.18375850340136055</v>
      </c>
      <c r="BI7" s="68">
        <f t="shared" si="4"/>
        <v>0.17108843537414964</v>
      </c>
      <c r="BJ7" s="68">
        <f t="shared" si="4"/>
        <v>0.17687074829931973</v>
      </c>
      <c r="BK7" s="68" t="e">
        <f>IF(OR(#REF!="",#REF!="Sem monitoramento"),"VAZIO",IFERROR(#REF!/($AJ7*24),"-"))</f>
        <v>#REF!</v>
      </c>
      <c r="BL7" s="68">
        <f t="shared" ref="BL7:BL31" si="10">IF(OR(AD7="",AD7="Sem monitoramento"),"VAZIO",IFERROR(AD7/($AJ7*24),"-"))</f>
        <v>5.5442176870748303E-2</v>
      </c>
      <c r="BM7" s="68">
        <f t="shared" ref="BM7:BM31" si="11">IF(OR(AE7="",AE7="Sem monitoramento"),"VAZIO",IFERROR(AE7/($AJ7*24),"-"))</f>
        <v>0.14668367346938777</v>
      </c>
      <c r="BN7" s="68">
        <f t="shared" ref="BN7:BN31" si="12">IF(OR(AF7="",AF7="Sem monitoramento"),"VAZIO",IFERROR(AF7/($AJ7*24),"-"))</f>
        <v>0.14736394557823129</v>
      </c>
      <c r="BO7" s="68" t="e">
        <f>IF(OR(#REF!="",#REF!="Sem monitoramento"),"VAZIO",IFERROR(#REF!/($AJ7*24),"-"))</f>
        <v>#REF!</v>
      </c>
      <c r="BP7" s="70">
        <f t="shared" si="6"/>
        <v>0.1703458049886622</v>
      </c>
      <c r="BQ7" s="180">
        <f>'FCs estimados em PVsyst'!Y5</f>
        <v>0.17987528344671203</v>
      </c>
      <c r="BR7" s="72">
        <f t="shared" si="7"/>
        <v>8.81388888888889</v>
      </c>
      <c r="BS7" s="73">
        <f t="shared" si="8"/>
        <v>2.7777777777777762E-2</v>
      </c>
      <c r="BT7" s="74">
        <f t="shared" si="9"/>
        <v>-9.5294784580498282E-3</v>
      </c>
      <c r="BU7" s="15" t="s">
        <v>9</v>
      </c>
      <c r="BV7" s="79" t="s">
        <v>109</v>
      </c>
      <c r="BW7" s="80">
        <f>COUNTIF(BT5:BT29,"&lt;-0,01")</f>
        <v>12</v>
      </c>
      <c r="BX7" s="2"/>
    </row>
    <row r="8" spans="2:76" x14ac:dyDescent="0.3">
      <c r="B8" s="771"/>
      <c r="C8" s="326" t="s">
        <v>10</v>
      </c>
      <c r="D8" s="62">
        <v>119.2</v>
      </c>
      <c r="E8" s="319">
        <v>139.1</v>
      </c>
      <c r="F8" s="319">
        <v>137.5</v>
      </c>
      <c r="G8" s="319">
        <v>141.69999999999999</v>
      </c>
      <c r="H8" s="63">
        <v>115.2</v>
      </c>
      <c r="I8" s="283">
        <v>82.1</v>
      </c>
      <c r="J8" s="63">
        <v>116</v>
      </c>
      <c r="K8" s="63">
        <v>122.5</v>
      </c>
      <c r="L8" s="283">
        <v>155.9</v>
      </c>
      <c r="M8" s="283">
        <v>121.3</v>
      </c>
      <c r="N8" s="283">
        <v>111.2</v>
      </c>
      <c r="O8" s="63">
        <v>124.5</v>
      </c>
      <c r="P8" s="63">
        <v>131.9</v>
      </c>
      <c r="Q8" s="283">
        <v>130.4</v>
      </c>
      <c r="R8" s="63">
        <v>88</v>
      </c>
      <c r="S8" s="63">
        <v>59</v>
      </c>
      <c r="T8" s="319">
        <v>131.9</v>
      </c>
      <c r="U8" s="319">
        <v>133.80000000000001</v>
      </c>
      <c r="V8" s="63">
        <v>128.1</v>
      </c>
      <c r="W8" s="283">
        <v>120</v>
      </c>
      <c r="X8" s="63">
        <v>85.2</v>
      </c>
      <c r="Y8" s="283">
        <v>96.9</v>
      </c>
      <c r="Z8" s="15">
        <v>122.6</v>
      </c>
      <c r="AA8" s="18">
        <v>112.7</v>
      </c>
      <c r="AB8" s="323">
        <v>117.4</v>
      </c>
      <c r="AC8" s="221">
        <v>15.7</v>
      </c>
      <c r="AD8" s="221">
        <v>37.700000000000003</v>
      </c>
      <c r="AE8" s="221">
        <v>96.5</v>
      </c>
      <c r="AF8" s="221">
        <v>97.9</v>
      </c>
      <c r="AG8" s="15">
        <v>104.6</v>
      </c>
      <c r="AH8" s="278">
        <v>125.9</v>
      </c>
      <c r="AI8" s="290">
        <f t="shared" si="0"/>
        <v>3422.3999999999996</v>
      </c>
      <c r="AJ8" s="118">
        <v>33</v>
      </c>
      <c r="AK8" s="121">
        <f t="shared" si="1"/>
        <v>9.6450617283950612E-3</v>
      </c>
      <c r="AL8" s="67">
        <f t="shared" si="2"/>
        <v>0.1505050505050505</v>
      </c>
      <c r="AM8" s="68">
        <f t="shared" si="2"/>
        <v>0.17563131313131311</v>
      </c>
      <c r="AN8" s="68">
        <f t="shared" si="2"/>
        <v>0.1736111111111111</v>
      </c>
      <c r="AO8" s="68">
        <f t="shared" si="2"/>
        <v>0.17891414141414139</v>
      </c>
      <c r="AP8" s="68">
        <f t="shared" si="2"/>
        <v>0.14545454545454545</v>
      </c>
      <c r="AQ8" s="68">
        <f t="shared" si="2"/>
        <v>0.10366161616161615</v>
      </c>
      <c r="AR8" s="68">
        <f t="shared" si="2"/>
        <v>0.14646464646464646</v>
      </c>
      <c r="AS8" s="68">
        <f t="shared" si="2"/>
        <v>0.15467171717171718</v>
      </c>
      <c r="AT8" s="68">
        <f t="shared" si="2"/>
        <v>0.19684343434343435</v>
      </c>
      <c r="AU8" s="68">
        <f t="shared" si="2"/>
        <v>0.15315656565656566</v>
      </c>
      <c r="AV8" s="68">
        <f t="shared" si="3"/>
        <v>0.14040404040404042</v>
      </c>
      <c r="AW8" s="68">
        <f t="shared" si="3"/>
        <v>0.1571969696969697</v>
      </c>
      <c r="AX8" s="68">
        <f t="shared" si="3"/>
        <v>0.16654040404040404</v>
      </c>
      <c r="AY8" s="68">
        <f t="shared" si="3"/>
        <v>0.16464646464646465</v>
      </c>
      <c r="AZ8" s="68">
        <f t="shared" si="3"/>
        <v>0.1111111111111111</v>
      </c>
      <c r="BA8" s="68">
        <f t="shared" si="3"/>
        <v>7.4494949494949489E-2</v>
      </c>
      <c r="BB8" s="68">
        <f t="shared" si="3"/>
        <v>0.16654040404040404</v>
      </c>
      <c r="BC8" s="68">
        <f t="shared" si="3"/>
        <v>0.16893939393939394</v>
      </c>
      <c r="BD8" s="68">
        <f t="shared" si="3"/>
        <v>0.16174242424242424</v>
      </c>
      <c r="BE8" s="68">
        <f t="shared" si="3"/>
        <v>0.15151515151515152</v>
      </c>
      <c r="BF8" s="68">
        <f t="shared" si="4"/>
        <v>0.10757575757575757</v>
      </c>
      <c r="BG8" s="68">
        <f t="shared" si="4"/>
        <v>0.12234848484848486</v>
      </c>
      <c r="BH8" s="68">
        <f t="shared" si="4"/>
        <v>0.1547979797979798</v>
      </c>
      <c r="BI8" s="68">
        <f t="shared" si="4"/>
        <v>0.14229797979797981</v>
      </c>
      <c r="BJ8" s="68">
        <f t="shared" si="4"/>
        <v>0.14823232323232324</v>
      </c>
      <c r="BK8" s="68" t="e">
        <f>IF(OR(#REF!="",#REF!="Sem monitoramento"),"VAZIO",IFERROR(#REF!/($AJ8*24),"-"))</f>
        <v>#REF!</v>
      </c>
      <c r="BL8" s="68">
        <f t="shared" si="10"/>
        <v>4.7601010101010102E-2</v>
      </c>
      <c r="BM8" s="68">
        <f t="shared" si="11"/>
        <v>0.12184343434343434</v>
      </c>
      <c r="BN8" s="68">
        <f t="shared" si="12"/>
        <v>0.12361111111111112</v>
      </c>
      <c r="BO8" s="68" t="e">
        <f>IF(OR(#REF!="",#REF!="Sem monitoramento"),"VAZIO",IFERROR(#REF!/($AJ8*24),"-"))</f>
        <v>#REF!</v>
      </c>
      <c r="BP8" s="70">
        <f t="shared" si="6"/>
        <v>0.14404040404040402</v>
      </c>
      <c r="BQ8" s="180">
        <f>'FCs estimados em PVsyst'!Y6</f>
        <v>0.18501683501683502</v>
      </c>
      <c r="BR8" s="72">
        <f t="shared" si="7"/>
        <v>6.1055555555555561</v>
      </c>
      <c r="BS8" s="73">
        <f t="shared" si="8"/>
        <v>-1.1405723905723919E-2</v>
      </c>
      <c r="BT8" s="74">
        <f t="shared" si="9"/>
        <v>-4.0976430976431E-2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223">
        <v>55.9</v>
      </c>
      <c r="E9" s="319">
        <v>56.9</v>
      </c>
      <c r="F9" s="319">
        <v>56.6</v>
      </c>
      <c r="G9" s="356">
        <v>56.3</v>
      </c>
      <c r="H9" s="82">
        <v>43</v>
      </c>
      <c r="I9" s="308">
        <v>31</v>
      </c>
      <c r="J9" s="63">
        <v>43.3</v>
      </c>
      <c r="K9" s="283">
        <v>47.9</v>
      </c>
      <c r="L9" s="63">
        <v>52.2</v>
      </c>
      <c r="M9" s="63">
        <v>53.9</v>
      </c>
      <c r="N9" s="63">
        <v>51.4</v>
      </c>
      <c r="O9" s="63">
        <v>52.8</v>
      </c>
      <c r="P9" s="63">
        <v>53.9</v>
      </c>
      <c r="Q9" s="283">
        <v>53.8</v>
      </c>
      <c r="R9" s="308">
        <v>39.299999999999997</v>
      </c>
      <c r="S9" s="63">
        <v>27.2</v>
      </c>
      <c r="T9" s="319">
        <v>54.7</v>
      </c>
      <c r="U9" s="319">
        <v>54.9</v>
      </c>
      <c r="V9" s="63">
        <v>51.2</v>
      </c>
      <c r="W9" s="283">
        <v>47.3</v>
      </c>
      <c r="X9" s="63">
        <v>39.9</v>
      </c>
      <c r="Y9" s="63">
        <v>39.6</v>
      </c>
      <c r="Z9" s="148">
        <v>47.5</v>
      </c>
      <c r="AA9" s="18">
        <v>48.6</v>
      </c>
      <c r="AB9" s="323">
        <v>50.6</v>
      </c>
      <c r="AC9" s="489">
        <v>5.3</v>
      </c>
      <c r="AD9" s="15">
        <v>14.1</v>
      </c>
      <c r="AE9" s="15">
        <v>37.700000000000003</v>
      </c>
      <c r="AF9" s="15">
        <v>41.6</v>
      </c>
      <c r="AG9" s="15">
        <v>53</v>
      </c>
      <c r="AH9" s="278">
        <v>55.5</v>
      </c>
      <c r="AI9" s="290">
        <f t="shared" si="0"/>
        <v>1416.8999999999994</v>
      </c>
      <c r="AJ9" s="118">
        <v>12</v>
      </c>
      <c r="AK9" s="121">
        <f t="shared" si="1"/>
        <v>1.0918209876543209E-2</v>
      </c>
      <c r="AL9" s="67">
        <f t="shared" ref="AL9:AU15" si="13">IF(OR(D9="",D9="Sem monitoramento"),"VAZIO",IFERROR(D9/($AJ9*24),"-"))</f>
        <v>0.19409722222222223</v>
      </c>
      <c r="AM9" s="68">
        <f t="shared" si="13"/>
        <v>0.19756944444444444</v>
      </c>
      <c r="AN9" s="68">
        <f t="shared" si="13"/>
        <v>0.19652777777777777</v>
      </c>
      <c r="AO9" s="68">
        <f t="shared" si="13"/>
        <v>0.19548611111111111</v>
      </c>
      <c r="AP9" s="68">
        <f t="shared" si="13"/>
        <v>0.14930555555555555</v>
      </c>
      <c r="AQ9" s="68">
        <f t="shared" si="13"/>
        <v>0.1076388888888889</v>
      </c>
      <c r="AR9" s="68">
        <f t="shared" si="13"/>
        <v>0.15034722222222222</v>
      </c>
      <c r="AS9" s="68">
        <f t="shared" si="13"/>
        <v>0.16631944444444444</v>
      </c>
      <c r="AT9" s="68">
        <f t="shared" si="13"/>
        <v>0.18125000000000002</v>
      </c>
      <c r="AU9" s="68">
        <f t="shared" si="13"/>
        <v>0.18715277777777778</v>
      </c>
      <c r="AV9" s="68">
        <f t="shared" ref="AV9:BB15" si="14">IF(OR(N9="",N9="Sem monitoramento"),"VAZIO",IFERROR(N9/($AJ9*24),"-"))</f>
        <v>0.17847222222222223</v>
      </c>
      <c r="AW9" s="68">
        <f t="shared" si="14"/>
        <v>0.18333333333333332</v>
      </c>
      <c r="AX9" s="68">
        <f t="shared" si="14"/>
        <v>0.18715277777777778</v>
      </c>
      <c r="AY9" s="68">
        <f t="shared" si="14"/>
        <v>0.18680555555555556</v>
      </c>
      <c r="AZ9" s="68">
        <f t="shared" si="14"/>
        <v>0.13645833333333332</v>
      </c>
      <c r="BA9" s="68">
        <f t="shared" si="14"/>
        <v>9.4444444444444442E-2</v>
      </c>
      <c r="BB9" s="68">
        <f t="shared" si="14"/>
        <v>0.18993055555555557</v>
      </c>
      <c r="BC9" s="68">
        <f>IF(OR(U7="",U7="Sem monitoramento"),"VAZIO",IFERROR(U7/($AJ9*24),"-"))</f>
        <v>0.8184027777777777</v>
      </c>
      <c r="BD9" s="68">
        <f t="shared" ref="BD9:BD18" si="15">IF(OR(V9="",V9="Sem monitoramento"),"VAZIO",IFERROR(V9/($AJ9*24),"-"))</f>
        <v>0.17777777777777778</v>
      </c>
      <c r="BE9" s="68">
        <f t="shared" ref="BE9:BE18" si="16">IF(OR(W9="",W9="Sem monitoramento"),"VAZIO",IFERROR(W9/($AJ9*24),"-"))</f>
        <v>0.16423611111111111</v>
      </c>
      <c r="BF9" s="68">
        <f t="shared" ref="BF9:BF18" si="17">IF(OR(X9="",X9="Sem monitoramento"),"VAZIO",IFERROR(X9/($AJ9*24),"-"))</f>
        <v>0.13854166666666667</v>
      </c>
      <c r="BG9" s="68">
        <f t="shared" ref="BG9:BG18" si="18">IF(OR(Y9="",Y9="Sem monitoramento"),"VAZIO",IFERROR(Y9/($AJ9*24),"-"))</f>
        <v>0.13750000000000001</v>
      </c>
      <c r="BH9" s="68">
        <f>IF(OR(Z10="",Z10="Sem monitoramento"),"VAZIO",IFERROR(Z10/($AJ9*24),"-"))</f>
        <v>0.20034722222222223</v>
      </c>
      <c r="BI9" s="68">
        <f>IF(OR(AA9="",AA9="Sem monitoramento"),"VAZIO",IFERROR(AA9/($AJ9*24),"-"))</f>
        <v>0.16875000000000001</v>
      </c>
      <c r="BJ9" s="68">
        <f>IF(OR(AB9="",AB9="Sem monitoramento"),"VAZIO",IFERROR(AB9/($AJ9*24),"-"))</f>
        <v>0.17569444444444446</v>
      </c>
      <c r="BK9" s="68">
        <f>IF(OR(AC7="",AC7="Sem monitoramento"),"VAZIO",IFERROR(AC7/($AJ9*24),"-"))</f>
        <v>8.8541666666666671E-2</v>
      </c>
      <c r="BL9" s="68">
        <f t="shared" si="10"/>
        <v>4.8958333333333333E-2</v>
      </c>
      <c r="BM9" s="68">
        <f t="shared" si="11"/>
        <v>0.13090277777777778</v>
      </c>
      <c r="BN9" s="68">
        <f t="shared" si="12"/>
        <v>0.14444444444444446</v>
      </c>
      <c r="BO9" s="68">
        <f>IF(OR(AG7="",AG7="Sem monitoramento"),"VAZIO",IFERROR(AG7/($AJ9*24),"-"))</f>
        <v>0.66006944444444438</v>
      </c>
      <c r="BP9" s="70">
        <f t="shared" si="6"/>
        <v>0.16399305555555549</v>
      </c>
      <c r="BQ9" s="180">
        <f>'FCs estimados em PVsyst'!Y7</f>
        <v>0.18333333333333332</v>
      </c>
      <c r="BR9" s="72">
        <f t="shared" si="7"/>
        <v>2.1999999999999997</v>
      </c>
      <c r="BS9" s="73">
        <f t="shared" si="8"/>
        <v>1.3194444444444453E-2</v>
      </c>
      <c r="BT9" s="74">
        <f t="shared" si="9"/>
        <v>-1.9340277777777831E-2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57.5</v>
      </c>
      <c r="E10" s="319">
        <v>57.5</v>
      </c>
      <c r="F10" s="319">
        <v>56.9</v>
      </c>
      <c r="G10" s="356">
        <v>56.7</v>
      </c>
      <c r="H10" s="82">
        <v>43.6</v>
      </c>
      <c r="I10" s="63">
        <v>33.5</v>
      </c>
      <c r="J10" s="63">
        <v>43.5</v>
      </c>
      <c r="K10" s="283">
        <v>48.1</v>
      </c>
      <c r="L10" s="63">
        <v>53.1</v>
      </c>
      <c r="M10" s="63">
        <v>54</v>
      </c>
      <c r="N10" s="63">
        <v>52.2</v>
      </c>
      <c r="O10" s="63">
        <v>52.8</v>
      </c>
      <c r="P10" s="63">
        <v>53.3</v>
      </c>
      <c r="Q10" s="283">
        <v>55.4</v>
      </c>
      <c r="R10" s="308">
        <v>41.8</v>
      </c>
      <c r="S10" s="63">
        <v>29.8</v>
      </c>
      <c r="T10" s="319">
        <v>60.4</v>
      </c>
      <c r="U10" s="319">
        <v>60.9</v>
      </c>
      <c r="V10" s="63">
        <v>57.6</v>
      </c>
      <c r="W10" s="283">
        <v>56</v>
      </c>
      <c r="X10" s="63">
        <v>49.4</v>
      </c>
      <c r="Y10" s="63">
        <v>50.2</v>
      </c>
      <c r="Z10" s="15">
        <v>57.7</v>
      </c>
      <c r="AA10" s="18">
        <v>60.8</v>
      </c>
      <c r="AB10" s="323">
        <v>62.1</v>
      </c>
      <c r="AC10" s="489">
        <v>8</v>
      </c>
      <c r="AD10" s="15">
        <v>19.899999999999999</v>
      </c>
      <c r="AE10" s="15">
        <v>49</v>
      </c>
      <c r="AF10" s="15">
        <v>52.5</v>
      </c>
      <c r="AG10" s="15">
        <v>64.7</v>
      </c>
      <c r="AH10" s="278">
        <v>67.5</v>
      </c>
      <c r="AI10" s="290">
        <f t="shared" si="0"/>
        <v>1566.4</v>
      </c>
      <c r="AJ10" s="118">
        <v>25</v>
      </c>
      <c r="AK10" s="121">
        <f t="shared" si="1"/>
        <v>5.2685185185185187E-3</v>
      </c>
      <c r="AL10" s="67">
        <f t="shared" si="13"/>
        <v>9.583333333333334E-2</v>
      </c>
      <c r="AM10" s="68">
        <f t="shared" si="13"/>
        <v>9.583333333333334E-2</v>
      </c>
      <c r="AN10" s="68">
        <f t="shared" si="13"/>
        <v>9.4833333333333325E-2</v>
      </c>
      <c r="AO10" s="68">
        <f t="shared" si="13"/>
        <v>9.4500000000000001E-2</v>
      </c>
      <c r="AP10" s="68">
        <f t="shared" si="13"/>
        <v>7.2666666666666671E-2</v>
      </c>
      <c r="AQ10" s="68">
        <f t="shared" si="13"/>
        <v>5.5833333333333332E-2</v>
      </c>
      <c r="AR10" s="68">
        <f t="shared" si="13"/>
        <v>7.2499999999999995E-2</v>
      </c>
      <c r="AS10" s="68">
        <f t="shared" si="13"/>
        <v>8.0166666666666664E-2</v>
      </c>
      <c r="AT10" s="68">
        <f t="shared" si="13"/>
        <v>8.8500000000000009E-2</v>
      </c>
      <c r="AU10" s="68">
        <f t="shared" si="13"/>
        <v>0.09</v>
      </c>
      <c r="AV10" s="68">
        <f t="shared" si="14"/>
        <v>8.7000000000000008E-2</v>
      </c>
      <c r="AW10" s="68">
        <f t="shared" si="14"/>
        <v>8.7999999999999995E-2</v>
      </c>
      <c r="AX10" s="68">
        <f t="shared" si="14"/>
        <v>8.8833333333333334E-2</v>
      </c>
      <c r="AY10" s="68">
        <f t="shared" si="14"/>
        <v>9.2333333333333337E-2</v>
      </c>
      <c r="AZ10" s="68">
        <f t="shared" si="14"/>
        <v>6.9666666666666668E-2</v>
      </c>
      <c r="BA10" s="68">
        <f t="shared" si="14"/>
        <v>4.9666666666666665E-2</v>
      </c>
      <c r="BB10" s="68">
        <f t="shared" si="14"/>
        <v>0.10066666666666667</v>
      </c>
      <c r="BC10" s="68">
        <f>IF(OR(U8="",U8="Sem monitoramento"),"VAZIO",IFERROR(U8/($AJ10*24),"-"))</f>
        <v>0.22300000000000003</v>
      </c>
      <c r="BD10" s="68">
        <f t="shared" si="15"/>
        <v>9.6000000000000002E-2</v>
      </c>
      <c r="BE10" s="68">
        <f t="shared" si="16"/>
        <v>9.3333333333333338E-2</v>
      </c>
      <c r="BF10" s="68">
        <f t="shared" si="17"/>
        <v>8.2333333333333328E-2</v>
      </c>
      <c r="BG10" s="68">
        <f t="shared" si="18"/>
        <v>8.3666666666666667E-2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0.10133333333333333</v>
      </c>
      <c r="BJ10" s="68">
        <f>IF(OR(AB10="",AB10="Sem monitoramento"),"VAZIO",IFERROR(AB10/($AJ10*24),"-"))</f>
        <v>0.10350000000000001</v>
      </c>
      <c r="BK10" s="68">
        <f>IF(OR(AC8="",AC8="Sem monitoramento"),"VAZIO",IFERROR(AC8/($AJ10*24),"-"))</f>
        <v>2.6166666666666664E-2</v>
      </c>
      <c r="BL10" s="68">
        <f t="shared" si="10"/>
        <v>3.3166666666666664E-2</v>
      </c>
      <c r="BM10" s="68">
        <f t="shared" si="11"/>
        <v>8.1666666666666665E-2</v>
      </c>
      <c r="BN10" s="68">
        <f t="shared" si="12"/>
        <v>8.7499999999999994E-2</v>
      </c>
      <c r="BO10" s="68">
        <f>IF(OR(AG8="",AG8="Sem monitoramento"),"VAZIO",IFERROR(AG8/($AJ10*24),"-"))</f>
        <v>0.17433333333333331</v>
      </c>
      <c r="BP10" s="70">
        <f t="shared" si="6"/>
        <v>8.7022222222222223E-2</v>
      </c>
      <c r="BQ10" s="180">
        <f>'FCs estimados em PVsyst'!Y8</f>
        <v>0.185</v>
      </c>
      <c r="BR10" s="72">
        <f t="shared" si="7"/>
        <v>4.625</v>
      </c>
      <c r="BS10" s="73">
        <f t="shared" si="8"/>
        <v>-9.0166666666666673E-2</v>
      </c>
      <c r="BT10" s="74">
        <f t="shared" si="9"/>
        <v>-9.7977777777777775E-2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374</v>
      </c>
      <c r="E11" s="63">
        <v>352.5</v>
      </c>
      <c r="F11" s="319">
        <v>352.9</v>
      </c>
      <c r="G11" s="319">
        <v>370.7</v>
      </c>
      <c r="H11" s="63">
        <v>302.7</v>
      </c>
      <c r="I11" s="283">
        <v>190</v>
      </c>
      <c r="J11" s="283">
        <v>247.7</v>
      </c>
      <c r="K11" s="283">
        <v>290.2</v>
      </c>
      <c r="L11" s="63">
        <v>313.10000000000002</v>
      </c>
      <c r="M11" s="355">
        <v>357.4</v>
      </c>
      <c r="N11" s="63">
        <v>322.3</v>
      </c>
      <c r="O11" s="63">
        <v>331.2</v>
      </c>
      <c r="P11" s="63">
        <v>352.9</v>
      </c>
      <c r="Q11" s="283">
        <v>343.8</v>
      </c>
      <c r="R11" s="63">
        <v>255.8</v>
      </c>
      <c r="S11" s="63">
        <v>170.6</v>
      </c>
      <c r="T11" s="319">
        <v>331.4</v>
      </c>
      <c r="U11" s="319">
        <v>334.7</v>
      </c>
      <c r="V11" s="283">
        <v>261.2</v>
      </c>
      <c r="W11" s="519">
        <v>289.5</v>
      </c>
      <c r="X11" s="63">
        <v>257.7</v>
      </c>
      <c r="Y11" s="63">
        <v>267.3</v>
      </c>
      <c r="Z11" s="15">
        <v>283</v>
      </c>
      <c r="AA11" s="18">
        <v>268.39999999999998</v>
      </c>
      <c r="AB11" s="323">
        <v>283.7</v>
      </c>
      <c r="AC11" s="221">
        <v>49.7</v>
      </c>
      <c r="AD11" s="15">
        <v>115.6</v>
      </c>
      <c r="AE11" s="15">
        <v>241</v>
      </c>
      <c r="AF11" s="15">
        <v>286.3</v>
      </c>
      <c r="AG11" s="15">
        <v>305.7</v>
      </c>
      <c r="AH11" s="278">
        <v>317</v>
      </c>
      <c r="AI11" s="290">
        <f t="shared" ref="AI11:AI16" si="19">SUM(D11:AH11)</f>
        <v>8820</v>
      </c>
      <c r="AJ11" s="118">
        <v>78</v>
      </c>
      <c r="AK11" s="121">
        <f t="shared" si="1"/>
        <v>1.0473053181386515E-2</v>
      </c>
      <c r="AL11" s="67">
        <f t="shared" si="13"/>
        <v>0.1997863247863248</v>
      </c>
      <c r="AM11" s="68">
        <f t="shared" si="13"/>
        <v>0.18830128205128205</v>
      </c>
      <c r="AN11" s="68">
        <f t="shared" si="13"/>
        <v>0.18851495726495726</v>
      </c>
      <c r="AO11" s="68">
        <f t="shared" si="13"/>
        <v>0.19802350427350426</v>
      </c>
      <c r="AP11" s="68">
        <f t="shared" si="13"/>
        <v>0.16169871794871793</v>
      </c>
      <c r="AQ11" s="68">
        <f t="shared" si="13"/>
        <v>0.1014957264957265</v>
      </c>
      <c r="AR11" s="68">
        <f t="shared" si="13"/>
        <v>0.13231837606837607</v>
      </c>
      <c r="AS11" s="68">
        <f t="shared" si="13"/>
        <v>0.15502136752136753</v>
      </c>
      <c r="AT11" s="68">
        <f t="shared" si="13"/>
        <v>0.16725427350427352</v>
      </c>
      <c r="AU11" s="68">
        <f t="shared" si="13"/>
        <v>0.19091880341880341</v>
      </c>
      <c r="AV11" s="68">
        <f t="shared" si="14"/>
        <v>0.17216880341880342</v>
      </c>
      <c r="AW11" s="68">
        <f t="shared" si="14"/>
        <v>0.17692307692307691</v>
      </c>
      <c r="AX11" s="68">
        <f t="shared" si="14"/>
        <v>0.18851495726495726</v>
      </c>
      <c r="AY11" s="68">
        <f t="shared" si="14"/>
        <v>0.18365384615384617</v>
      </c>
      <c r="AZ11" s="68">
        <f t="shared" si="14"/>
        <v>0.13664529914529916</v>
      </c>
      <c r="BA11" s="68">
        <f t="shared" si="14"/>
        <v>9.1132478632478628E-2</v>
      </c>
      <c r="BB11" s="68">
        <f t="shared" si="14"/>
        <v>0.17702991452991451</v>
      </c>
      <c r="BC11" s="68">
        <f t="shared" ref="BC11:BC31" si="20">IF(OR(U11="",U11="Sem monitoramento"),"VAZIO",IFERROR(U11/($AJ11*24),"-"))</f>
        <v>0.17879273504273505</v>
      </c>
      <c r="BD11" s="68">
        <f t="shared" si="15"/>
        <v>0.13952991452991453</v>
      </c>
      <c r="BE11" s="68">
        <f>IF(OR(W12="",W12="Sem monitoramento"),"VAZIO",IFERROR(W12/($AJ11*24),"-"))</f>
        <v>0.125</v>
      </c>
      <c r="BF11" s="68">
        <f t="shared" si="17"/>
        <v>0.13766025641025639</v>
      </c>
      <c r="BG11" s="68">
        <f t="shared" si="18"/>
        <v>0.14278846153846153</v>
      </c>
      <c r="BH11" s="68">
        <f t="shared" ref="BH11:BH31" si="21">IF(OR(Z11="",Z11="Sem monitoramento"),"VAZIO",IFERROR(Z11/($AJ11*24),"-"))</f>
        <v>0.15117521367521367</v>
      </c>
      <c r="BI11" s="68">
        <f t="shared" ref="BI11:BI31" si="22">IF(OR(AA11="",AA11="Sem monitoramento"),"VAZIO",IFERROR(AA11/($AJ11*24),"-"))</f>
        <v>0.14337606837606837</v>
      </c>
      <c r="BJ11" s="68">
        <f>IF(OR(AB9="",AB9="Sem monitoramento"),"VAZIO",IFERROR(AB9/($AJ11*24),"-"))</f>
        <v>2.7029914529914531E-2</v>
      </c>
      <c r="BK11" s="68">
        <f t="shared" ref="BK11:BK31" si="23">IF(OR(AC11="",AC11="Sem monitoramento"),"VAZIO",IFERROR(AC11/($AJ11*24),"-"))</f>
        <v>2.6549145299145302E-2</v>
      </c>
      <c r="BL11" s="68">
        <f t="shared" si="10"/>
        <v>6.1752136752136748E-2</v>
      </c>
      <c r="BM11" s="68">
        <f t="shared" si="11"/>
        <v>0.12873931623931623</v>
      </c>
      <c r="BN11" s="68">
        <f t="shared" si="12"/>
        <v>0.1529380341880342</v>
      </c>
      <c r="BO11" s="68">
        <f t="shared" ref="BO11:BO31" si="24">IF(OR(AG11="",AG11="Sem monitoramento"),"VAZIO",IFERROR(AG11/($AJ11*24),"-"))</f>
        <v>0.16330128205128205</v>
      </c>
      <c r="BP11" s="70">
        <f t="shared" si="6"/>
        <v>0.15705128205128205</v>
      </c>
      <c r="BQ11" s="198">
        <f>BQ19</f>
        <v>0.168125</v>
      </c>
      <c r="BR11" s="72">
        <f t="shared" si="7"/>
        <v>13.11375</v>
      </c>
      <c r="BS11" s="73">
        <f t="shared" si="8"/>
        <v>2.0389957264957265E-2</v>
      </c>
      <c r="BT11" s="74">
        <f t="shared" si="9"/>
        <v>-1.1073717948717948E-2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225</v>
      </c>
      <c r="E12" s="508">
        <v>277.5</v>
      </c>
      <c r="F12" s="356">
        <v>274.7</v>
      </c>
      <c r="G12" s="356">
        <v>280.39999999999998</v>
      </c>
      <c r="H12" s="82">
        <v>197.7</v>
      </c>
      <c r="I12" s="308">
        <v>164</v>
      </c>
      <c r="J12" s="82">
        <v>213.4</v>
      </c>
      <c r="K12" s="308">
        <v>239.1</v>
      </c>
      <c r="L12" s="82">
        <v>263.2</v>
      </c>
      <c r="M12" s="82">
        <v>261.60000000000002</v>
      </c>
      <c r="N12" s="82">
        <v>251</v>
      </c>
      <c r="O12" s="356">
        <v>270</v>
      </c>
      <c r="P12" s="82">
        <v>265.10000000000002</v>
      </c>
      <c r="Q12" s="308">
        <v>264</v>
      </c>
      <c r="R12" s="308">
        <v>177.1</v>
      </c>
      <c r="S12" s="82">
        <v>133</v>
      </c>
      <c r="T12" s="356">
        <v>266.10000000000002</v>
      </c>
      <c r="U12" s="356">
        <v>266.2</v>
      </c>
      <c r="V12" s="82">
        <v>252.5</v>
      </c>
      <c r="W12" s="283">
        <v>234</v>
      </c>
      <c r="X12" s="82">
        <v>197.8</v>
      </c>
      <c r="Y12" s="82">
        <v>186.7</v>
      </c>
      <c r="Z12" s="16">
        <v>236.7</v>
      </c>
      <c r="AA12" s="17">
        <v>246.8</v>
      </c>
      <c r="AB12" s="324">
        <v>246.9</v>
      </c>
      <c r="AC12" s="489">
        <v>32.799999999999997</v>
      </c>
      <c r="AD12" s="16">
        <v>74.599999999999994</v>
      </c>
      <c r="AE12" s="16">
        <v>198.1</v>
      </c>
      <c r="AF12" s="16">
        <v>203.2</v>
      </c>
      <c r="AG12" s="16">
        <v>258.2</v>
      </c>
      <c r="AH12" s="279">
        <v>250.2</v>
      </c>
      <c r="AI12" s="290">
        <f t="shared" si="19"/>
        <v>6907.5999999999995</v>
      </c>
      <c r="AJ12" s="123">
        <v>61</v>
      </c>
      <c r="AK12" s="121" t="s">
        <v>31</v>
      </c>
      <c r="AL12" s="67">
        <f t="shared" si="13"/>
        <v>0.15368852459016394</v>
      </c>
      <c r="AM12" s="68">
        <f t="shared" si="13"/>
        <v>0.18954918032786885</v>
      </c>
      <c r="AN12" s="68">
        <f t="shared" si="13"/>
        <v>0.18763661202185791</v>
      </c>
      <c r="AO12" s="68">
        <f t="shared" si="13"/>
        <v>0.19153005464480874</v>
      </c>
      <c r="AP12" s="68">
        <f t="shared" si="13"/>
        <v>0.13504098360655736</v>
      </c>
      <c r="AQ12" s="68">
        <f t="shared" si="13"/>
        <v>0.11202185792349727</v>
      </c>
      <c r="AR12" s="68">
        <f t="shared" si="13"/>
        <v>0.14576502732240437</v>
      </c>
      <c r="AS12" s="68">
        <f t="shared" si="13"/>
        <v>0.16331967213114754</v>
      </c>
      <c r="AT12" s="68">
        <f t="shared" si="13"/>
        <v>0.17978142076502732</v>
      </c>
      <c r="AU12" s="68">
        <f t="shared" si="13"/>
        <v>0.17868852459016396</v>
      </c>
      <c r="AV12" s="68">
        <f t="shared" si="14"/>
        <v>0.17144808743169399</v>
      </c>
      <c r="AW12" s="68">
        <f t="shared" si="14"/>
        <v>0.18442622950819673</v>
      </c>
      <c r="AX12" s="68">
        <f t="shared" si="14"/>
        <v>0.18107923497267761</v>
      </c>
      <c r="AY12" s="68">
        <f t="shared" si="14"/>
        <v>0.18032786885245902</v>
      </c>
      <c r="AZ12" s="68">
        <f t="shared" si="14"/>
        <v>0.12096994535519125</v>
      </c>
      <c r="BA12" s="68">
        <f t="shared" si="14"/>
        <v>9.0846994535519129E-2</v>
      </c>
      <c r="BB12" s="68">
        <f t="shared" si="14"/>
        <v>0.18176229508196723</v>
      </c>
      <c r="BC12" s="68">
        <f t="shared" si="20"/>
        <v>0.18183060109289617</v>
      </c>
      <c r="BD12" s="68">
        <f t="shared" si="15"/>
        <v>0.17247267759562843</v>
      </c>
      <c r="BE12" s="68" t="e">
        <f>IF(OR(#REF!="",#REF!="Sem monitoramento"),"VAZIO",IFERROR(#REF!/($AJ12*24),"-"))</f>
        <v>#REF!</v>
      </c>
      <c r="BF12" s="68">
        <f t="shared" si="17"/>
        <v>0.13510928961748633</v>
      </c>
      <c r="BG12" s="68">
        <f t="shared" si="18"/>
        <v>0.12752732240437159</v>
      </c>
      <c r="BH12" s="68">
        <f t="shared" si="21"/>
        <v>0.16168032786885245</v>
      </c>
      <c r="BI12" s="68">
        <f t="shared" si="22"/>
        <v>0.1685792349726776</v>
      </c>
      <c r="BJ12" s="68">
        <f t="shared" ref="BJ12:BJ20" si="25">IF(OR(AB12="",AB12="Sem monitoramento"),"VAZIO",IFERROR(AB12/($AJ12*24),"-"))</f>
        <v>0.16864754098360657</v>
      </c>
      <c r="BK12" s="68">
        <f t="shared" si="23"/>
        <v>2.2404371584699451E-2</v>
      </c>
      <c r="BL12" s="68">
        <f t="shared" si="10"/>
        <v>5.095628415300546E-2</v>
      </c>
      <c r="BM12" s="68">
        <f t="shared" si="11"/>
        <v>0.13531420765027322</v>
      </c>
      <c r="BN12" s="68">
        <f t="shared" si="12"/>
        <v>0.13879781420765028</v>
      </c>
      <c r="BO12" s="68">
        <f t="shared" si="24"/>
        <v>0.17636612021857923</v>
      </c>
      <c r="BP12" s="70">
        <f t="shared" si="6"/>
        <v>0.15727686703096538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9"/>
        <v>-2.7377049180327878E-2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305">
        <v>0</v>
      </c>
      <c r="E13" s="504">
        <v>0</v>
      </c>
      <c r="F13" s="282">
        <v>0</v>
      </c>
      <c r="G13" s="504">
        <v>0</v>
      </c>
      <c r="H13" s="282">
        <v>0</v>
      </c>
      <c r="I13" s="512">
        <v>0</v>
      </c>
      <c r="J13" s="359">
        <v>0</v>
      </c>
      <c r="K13" s="512">
        <v>0</v>
      </c>
      <c r="L13" s="513">
        <v>0</v>
      </c>
      <c r="M13" s="359">
        <v>0</v>
      </c>
      <c r="N13" s="282">
        <v>3.4</v>
      </c>
      <c r="O13" s="319">
        <f>382.4+101.9</f>
        <v>484.29999999999995</v>
      </c>
      <c r="P13" s="63">
        <f>100.7+349.3</f>
        <v>450</v>
      </c>
      <c r="Q13" s="283">
        <f>104.9+317.7</f>
        <v>422.6</v>
      </c>
      <c r="R13" s="308">
        <f>99.3+203.8</f>
        <v>303.10000000000002</v>
      </c>
      <c r="S13" s="63">
        <f>68.3+142.7</f>
        <v>211</v>
      </c>
      <c r="T13" s="319">
        <f>154.4+318.2</f>
        <v>472.6</v>
      </c>
      <c r="U13" s="319">
        <f>155.4+319.7</f>
        <v>475.1</v>
      </c>
      <c r="V13" s="63">
        <f>134.5+279.8</f>
        <v>414.3</v>
      </c>
      <c r="W13" s="283">
        <f>253+120.7</f>
        <v>373.7</v>
      </c>
      <c r="X13" s="63">
        <f>114.1+230.7</f>
        <v>344.79999999999995</v>
      </c>
      <c r="Y13" s="63">
        <f>211.2+103.8</f>
        <v>315</v>
      </c>
      <c r="Z13" s="15">
        <f>253.2+120.2</f>
        <v>373.4</v>
      </c>
      <c r="AA13" s="18">
        <f>50.3+291.5</f>
        <v>341.8</v>
      </c>
      <c r="AB13" s="323">
        <v>432.4</v>
      </c>
      <c r="AC13" s="489">
        <v>55</v>
      </c>
      <c r="AD13" s="15">
        <v>129.6</v>
      </c>
      <c r="AE13" s="15">
        <v>327.39999999999998</v>
      </c>
      <c r="AF13" s="15">
        <v>334.6</v>
      </c>
      <c r="AG13" s="15">
        <v>457</v>
      </c>
      <c r="AH13" s="278">
        <v>432.9</v>
      </c>
      <c r="AI13" s="290">
        <f t="shared" si="19"/>
        <v>7153.9999999999991</v>
      </c>
      <c r="AJ13" s="118">
        <v>100</v>
      </c>
      <c r="AK13" s="121">
        <f t="shared" ref="AK13:AK30" si="26">F13/(AJ13*432)</f>
        <v>0</v>
      </c>
      <c r="AL13" s="67">
        <f t="shared" si="13"/>
        <v>0</v>
      </c>
      <c r="AM13" s="68">
        <f t="shared" si="13"/>
        <v>0</v>
      </c>
      <c r="AN13" s="68">
        <f t="shared" si="13"/>
        <v>0</v>
      </c>
      <c r="AO13" s="68">
        <f t="shared" si="13"/>
        <v>0</v>
      </c>
      <c r="AP13" s="68">
        <f t="shared" si="13"/>
        <v>0</v>
      </c>
      <c r="AQ13" s="68">
        <f t="shared" si="13"/>
        <v>0</v>
      </c>
      <c r="AR13" s="68">
        <f t="shared" si="13"/>
        <v>0</v>
      </c>
      <c r="AS13" s="68">
        <f t="shared" si="13"/>
        <v>0</v>
      </c>
      <c r="AT13" s="68">
        <f t="shared" si="13"/>
        <v>0</v>
      </c>
      <c r="AU13" s="68">
        <f t="shared" si="13"/>
        <v>0</v>
      </c>
      <c r="AV13" s="68">
        <f t="shared" si="14"/>
        <v>1.4166666666666666E-3</v>
      </c>
      <c r="AW13" s="68">
        <f t="shared" si="14"/>
        <v>0.20179166666666665</v>
      </c>
      <c r="AX13" s="68">
        <f t="shared" si="14"/>
        <v>0.1875</v>
      </c>
      <c r="AY13" s="68">
        <f t="shared" si="14"/>
        <v>0.17608333333333334</v>
      </c>
      <c r="AZ13" s="68">
        <f t="shared" si="14"/>
        <v>0.12629166666666666</v>
      </c>
      <c r="BA13" s="68">
        <f t="shared" si="14"/>
        <v>8.7916666666666671E-2</v>
      </c>
      <c r="BB13" s="68">
        <f t="shared" si="14"/>
        <v>0.19691666666666668</v>
      </c>
      <c r="BC13" s="68">
        <f t="shared" si="20"/>
        <v>0.19795833333333335</v>
      </c>
      <c r="BD13" s="68">
        <f t="shared" si="15"/>
        <v>0.172625</v>
      </c>
      <c r="BE13" s="68">
        <f t="shared" si="16"/>
        <v>0.15570833333333334</v>
      </c>
      <c r="BF13" s="68">
        <f t="shared" si="17"/>
        <v>0.14366666666666664</v>
      </c>
      <c r="BG13" s="68">
        <f t="shared" si="18"/>
        <v>0.13125000000000001</v>
      </c>
      <c r="BH13" s="68">
        <f t="shared" si="21"/>
        <v>0.15558333333333332</v>
      </c>
      <c r="BI13" s="68">
        <f t="shared" si="22"/>
        <v>0.14241666666666666</v>
      </c>
      <c r="BJ13" s="68">
        <f t="shared" si="25"/>
        <v>0.18016666666666667</v>
      </c>
      <c r="BK13" s="68">
        <f t="shared" si="23"/>
        <v>2.2916666666666665E-2</v>
      </c>
      <c r="BL13" s="68">
        <f t="shared" si="10"/>
        <v>5.3999999999999999E-2</v>
      </c>
      <c r="BM13" s="68">
        <f t="shared" si="11"/>
        <v>0.13641666666666666</v>
      </c>
      <c r="BN13" s="68">
        <f t="shared" si="12"/>
        <v>0.13941666666666669</v>
      </c>
      <c r="BO13" s="68">
        <f t="shared" si="24"/>
        <v>0.19041666666666668</v>
      </c>
      <c r="BP13" s="70">
        <f t="shared" si="6"/>
        <v>9.9361111111111095E-2</v>
      </c>
      <c r="BQ13" s="198">
        <f>BQ19</f>
        <v>0.168125</v>
      </c>
      <c r="BR13" s="72">
        <f t="shared" ref="BR13:BR30" si="27">AJ13*BQ13</f>
        <v>16.8125</v>
      </c>
      <c r="BS13" s="73">
        <f t="shared" ref="BS13:BS30" si="28">AN13-BQ13</f>
        <v>-0.168125</v>
      </c>
      <c r="BT13" s="74">
        <f t="shared" si="9"/>
        <v>-6.8763888888888902E-2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524.29999999999995</v>
      </c>
      <c r="E14" s="63">
        <v>504.3</v>
      </c>
      <c r="F14" s="63">
        <v>500.5</v>
      </c>
      <c r="G14" s="319">
        <v>518.9</v>
      </c>
      <c r="H14" s="63">
        <v>412.6</v>
      </c>
      <c r="I14" s="283">
        <v>275.89999999999998</v>
      </c>
      <c r="J14" s="283">
        <v>356.9</v>
      </c>
      <c r="K14" s="283">
        <v>439.2</v>
      </c>
      <c r="L14" s="63">
        <v>446.2</v>
      </c>
      <c r="M14" s="355">
        <v>508.6</v>
      </c>
      <c r="N14" s="63">
        <v>452.1</v>
      </c>
      <c r="O14" s="63">
        <v>474.7</v>
      </c>
      <c r="P14" s="319">
        <v>499.5</v>
      </c>
      <c r="Q14" s="355">
        <v>492</v>
      </c>
      <c r="R14" s="63">
        <v>360.8</v>
      </c>
      <c r="S14" s="63">
        <v>234.2</v>
      </c>
      <c r="T14" s="63">
        <v>476</v>
      </c>
      <c r="U14" s="319">
        <v>482</v>
      </c>
      <c r="V14" s="283">
        <v>356</v>
      </c>
      <c r="W14" s="283">
        <v>409.3</v>
      </c>
      <c r="X14" s="63">
        <v>367.3</v>
      </c>
      <c r="Y14" s="63">
        <v>393.7</v>
      </c>
      <c r="Z14" s="15">
        <v>402.6</v>
      </c>
      <c r="AA14" s="18">
        <v>412</v>
      </c>
      <c r="AB14" s="323">
        <v>411.3</v>
      </c>
      <c r="AC14" s="221">
        <v>60.7</v>
      </c>
      <c r="AD14" s="15">
        <v>156.9</v>
      </c>
      <c r="AE14" s="15">
        <v>341</v>
      </c>
      <c r="AF14" s="15">
        <v>393.3</v>
      </c>
      <c r="AG14" s="15">
        <v>427.2</v>
      </c>
      <c r="AH14" s="278">
        <v>431.1</v>
      </c>
      <c r="AI14" s="290">
        <f t="shared" si="19"/>
        <v>12521.1</v>
      </c>
      <c r="AJ14" s="118">
        <v>100</v>
      </c>
      <c r="AK14" s="121">
        <f t="shared" si="26"/>
        <v>1.1585648148148149E-2</v>
      </c>
      <c r="AL14" s="67">
        <f t="shared" si="13"/>
        <v>0.21845833333333331</v>
      </c>
      <c r="AM14" s="68">
        <f t="shared" si="13"/>
        <v>0.21012500000000001</v>
      </c>
      <c r="AN14" s="68">
        <f t="shared" si="13"/>
        <v>0.20854166666666665</v>
      </c>
      <c r="AO14" s="68">
        <f t="shared" si="13"/>
        <v>0.21620833333333334</v>
      </c>
      <c r="AP14" s="68">
        <f t="shared" si="13"/>
        <v>0.17191666666666669</v>
      </c>
      <c r="AQ14" s="68">
        <f t="shared" si="13"/>
        <v>0.11495833333333333</v>
      </c>
      <c r="AR14" s="68">
        <f t="shared" si="13"/>
        <v>0.14870833333333333</v>
      </c>
      <c r="AS14" s="68">
        <f t="shared" si="13"/>
        <v>0.183</v>
      </c>
      <c r="AT14" s="68">
        <f t="shared" si="13"/>
        <v>0.18591666666666667</v>
      </c>
      <c r="AU14" s="68">
        <f t="shared" si="13"/>
        <v>0.21191666666666667</v>
      </c>
      <c r="AV14" s="68">
        <f t="shared" si="14"/>
        <v>0.18837500000000001</v>
      </c>
      <c r="AW14" s="68">
        <f t="shared" si="14"/>
        <v>0.19779166666666667</v>
      </c>
      <c r="AX14" s="68">
        <f t="shared" si="14"/>
        <v>0.208125</v>
      </c>
      <c r="AY14" s="68">
        <f t="shared" si="14"/>
        <v>0.20499999999999999</v>
      </c>
      <c r="AZ14" s="68">
        <f t="shared" si="14"/>
        <v>0.15033333333333335</v>
      </c>
      <c r="BA14" s="68">
        <f t="shared" si="14"/>
        <v>9.7583333333333327E-2</v>
      </c>
      <c r="BB14" s="68">
        <f t="shared" si="14"/>
        <v>0.19833333333333333</v>
      </c>
      <c r="BC14" s="68">
        <f t="shared" si="20"/>
        <v>0.20083333333333334</v>
      </c>
      <c r="BD14" s="68">
        <f t="shared" si="15"/>
        <v>0.14833333333333334</v>
      </c>
      <c r="BE14" s="68">
        <f t="shared" si="16"/>
        <v>0.17054166666666667</v>
      </c>
      <c r="BF14" s="68">
        <f t="shared" si="17"/>
        <v>0.15304166666666666</v>
      </c>
      <c r="BG14" s="68">
        <f t="shared" si="18"/>
        <v>0.16404166666666667</v>
      </c>
      <c r="BH14" s="68">
        <f t="shared" si="21"/>
        <v>0.16775000000000001</v>
      </c>
      <c r="BI14" s="68">
        <f t="shared" si="22"/>
        <v>0.17166666666666666</v>
      </c>
      <c r="BJ14" s="68">
        <f t="shared" si="25"/>
        <v>0.171375</v>
      </c>
      <c r="BK14" s="68">
        <f t="shared" si="23"/>
        <v>2.5291666666666667E-2</v>
      </c>
      <c r="BL14" s="68">
        <f t="shared" si="10"/>
        <v>6.5375000000000003E-2</v>
      </c>
      <c r="BM14" s="68">
        <f t="shared" si="11"/>
        <v>0.14208333333333334</v>
      </c>
      <c r="BN14" s="68">
        <f t="shared" si="12"/>
        <v>0.16387499999999999</v>
      </c>
      <c r="BO14" s="68">
        <f t="shared" si="24"/>
        <v>0.17799999999999999</v>
      </c>
      <c r="BP14" s="70">
        <f t="shared" si="6"/>
        <v>0.17390416666666667</v>
      </c>
      <c r="BQ14" s="198">
        <f>$BQ$19</f>
        <v>0.168125</v>
      </c>
      <c r="BR14" s="72">
        <f t="shared" si="27"/>
        <v>16.8125</v>
      </c>
      <c r="BS14" s="73">
        <f t="shared" si="28"/>
        <v>4.0416666666666656E-2</v>
      </c>
      <c r="BT14" s="74">
        <f t="shared" si="9"/>
        <v>5.7791666666666686E-3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138.69999999999999</v>
      </c>
      <c r="E15" s="63">
        <v>133.6</v>
      </c>
      <c r="F15" s="63">
        <v>130.9</v>
      </c>
      <c r="G15" s="319">
        <v>137.69999999999999</v>
      </c>
      <c r="H15" s="63">
        <v>113.4</v>
      </c>
      <c r="I15" s="283">
        <v>71.400000000000006</v>
      </c>
      <c r="J15" s="283">
        <v>98.9</v>
      </c>
      <c r="K15" s="283">
        <v>120.6</v>
      </c>
      <c r="L15" s="63">
        <v>116.6</v>
      </c>
      <c r="M15" s="355">
        <v>133.5</v>
      </c>
      <c r="N15" s="63">
        <v>121.3</v>
      </c>
      <c r="O15" s="63">
        <v>123.3</v>
      </c>
      <c r="P15" s="319">
        <v>131.5</v>
      </c>
      <c r="Q15" s="355">
        <v>127.9</v>
      </c>
      <c r="R15" s="63">
        <v>100.6</v>
      </c>
      <c r="S15" s="63">
        <v>64.2</v>
      </c>
      <c r="T15" s="63">
        <v>123.4</v>
      </c>
      <c r="U15" s="319">
        <v>125.4</v>
      </c>
      <c r="V15" s="283">
        <v>98.3</v>
      </c>
      <c r="W15" s="283">
        <v>110.2</v>
      </c>
      <c r="X15" s="63">
        <v>97.6</v>
      </c>
      <c r="Y15" s="63">
        <v>104.3</v>
      </c>
      <c r="Z15" s="31">
        <v>109.5</v>
      </c>
      <c r="AA15" s="18">
        <v>106.1</v>
      </c>
      <c r="AB15" s="323">
        <v>107.6</v>
      </c>
      <c r="AC15" s="221">
        <v>15.2</v>
      </c>
      <c r="AD15" s="221">
        <v>40.9</v>
      </c>
      <c r="AE15" s="15">
        <v>92.4</v>
      </c>
      <c r="AF15" s="15">
        <v>110.5</v>
      </c>
      <c r="AG15" s="15">
        <v>117.6</v>
      </c>
      <c r="AH15" s="278">
        <v>121.1</v>
      </c>
      <c r="AI15" s="290">
        <f t="shared" si="19"/>
        <v>3344.1999999999994</v>
      </c>
      <c r="AJ15" s="118">
        <v>29</v>
      </c>
      <c r="AK15" s="121">
        <f t="shared" si="26"/>
        <v>1.044859514687101E-2</v>
      </c>
      <c r="AL15" s="67">
        <f t="shared" si="13"/>
        <v>0.19928160919540228</v>
      </c>
      <c r="AM15" s="68">
        <f t="shared" si="13"/>
        <v>0.19195402298850575</v>
      </c>
      <c r="AN15" s="68">
        <f t="shared" si="13"/>
        <v>0.18807471264367817</v>
      </c>
      <c r="AO15" s="68">
        <f t="shared" si="13"/>
        <v>0.19784482758620689</v>
      </c>
      <c r="AP15" s="68">
        <f t="shared" si="13"/>
        <v>0.16293103448275864</v>
      </c>
      <c r="AQ15" s="68">
        <f t="shared" si="13"/>
        <v>0.10258620689655173</v>
      </c>
      <c r="AR15" s="68">
        <f t="shared" si="13"/>
        <v>0.1420977011494253</v>
      </c>
      <c r="AS15" s="68">
        <f t="shared" si="13"/>
        <v>0.1732758620689655</v>
      </c>
      <c r="AT15" s="68">
        <f t="shared" si="13"/>
        <v>0.1675287356321839</v>
      </c>
      <c r="AU15" s="68">
        <f t="shared" si="13"/>
        <v>0.19181034482758622</v>
      </c>
      <c r="AV15" s="68">
        <f t="shared" si="14"/>
        <v>0.17428160919540228</v>
      </c>
      <c r="AW15" s="68">
        <f t="shared" si="14"/>
        <v>0.17715517241379311</v>
      </c>
      <c r="AX15" s="68">
        <f t="shared" si="14"/>
        <v>0.18893678160919541</v>
      </c>
      <c r="AY15" s="68">
        <f t="shared" si="14"/>
        <v>0.18376436781609196</v>
      </c>
      <c r="AZ15" s="68">
        <f t="shared" si="14"/>
        <v>0.14454022988505746</v>
      </c>
      <c r="BA15" s="68">
        <f t="shared" si="14"/>
        <v>9.2241379310344832E-2</v>
      </c>
      <c r="BB15" s="68">
        <f t="shared" si="14"/>
        <v>0.17729885057471265</v>
      </c>
      <c r="BC15" s="68">
        <f t="shared" si="20"/>
        <v>0.18017241379310345</v>
      </c>
      <c r="BD15" s="68">
        <f t="shared" si="15"/>
        <v>0.14123563218390806</v>
      </c>
      <c r="BE15" s="68">
        <f t="shared" si="16"/>
        <v>0.15833333333333333</v>
      </c>
      <c r="BF15" s="68">
        <f t="shared" si="17"/>
        <v>0.14022988505747125</v>
      </c>
      <c r="BG15" s="68">
        <f t="shared" si="18"/>
        <v>0.14985632183908046</v>
      </c>
      <c r="BH15" s="68">
        <f>IF(OR(Z16="",Z16="Sem monitoramento"),"VAZIO",IFERROR(Z16/($AJ15*24),"-"))</f>
        <v>0.5704022988505747</v>
      </c>
      <c r="BI15" s="68">
        <f t="shared" si="22"/>
        <v>0.15244252873563219</v>
      </c>
      <c r="BJ15" s="68">
        <f t="shared" si="25"/>
        <v>0.15459770114942528</v>
      </c>
      <c r="BK15" s="68">
        <f t="shared" si="23"/>
        <v>2.1839080459770115E-2</v>
      </c>
      <c r="BL15" s="68">
        <f t="shared" si="10"/>
        <v>5.8764367816091949E-2</v>
      </c>
      <c r="BM15" s="68">
        <f t="shared" si="11"/>
        <v>0.13275862068965519</v>
      </c>
      <c r="BN15" s="68">
        <f t="shared" si="12"/>
        <v>0.15876436781609196</v>
      </c>
      <c r="BO15" s="68">
        <f t="shared" si="24"/>
        <v>0.16896551724137931</v>
      </c>
      <c r="BP15" s="70">
        <f t="shared" si="6"/>
        <v>0.16016283524904212</v>
      </c>
      <c r="BQ15" s="180">
        <f>'FCs estimados em PVsyst'!Y13</f>
        <v>0.1850095785440613</v>
      </c>
      <c r="BR15" s="72">
        <f t="shared" si="27"/>
        <v>5.365277777777778</v>
      </c>
      <c r="BS15" s="73">
        <f t="shared" si="28"/>
        <v>3.0651340996168674E-3</v>
      </c>
      <c r="BT15" s="74">
        <f t="shared" si="9"/>
        <v>-2.484674329501918E-2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483.4</v>
      </c>
      <c r="E16" s="319">
        <v>509.7</v>
      </c>
      <c r="F16" s="63">
        <v>492</v>
      </c>
      <c r="G16" s="319">
        <v>542.70000000000005</v>
      </c>
      <c r="H16" s="319">
        <v>541.20000000000005</v>
      </c>
      <c r="I16" s="63">
        <v>282.3</v>
      </c>
      <c r="J16" s="63">
        <v>376.2</v>
      </c>
      <c r="K16" s="63">
        <v>476.9</v>
      </c>
      <c r="L16" s="63">
        <v>479</v>
      </c>
      <c r="M16" s="319">
        <v>508.3</v>
      </c>
      <c r="N16" s="63">
        <v>501.2</v>
      </c>
      <c r="O16" s="63">
        <v>490.3</v>
      </c>
      <c r="P16" s="355">
        <v>528</v>
      </c>
      <c r="Q16" s="355">
        <v>507</v>
      </c>
      <c r="R16" s="63">
        <v>343.5</v>
      </c>
      <c r="S16" s="63">
        <v>252.4</v>
      </c>
      <c r="T16" s="141">
        <v>502.9</v>
      </c>
      <c r="U16" s="319">
        <v>492.6</v>
      </c>
      <c r="V16" s="283">
        <v>467.1</v>
      </c>
      <c r="W16" s="283">
        <v>446.6</v>
      </c>
      <c r="X16" s="63">
        <v>370.4</v>
      </c>
      <c r="Y16" s="63">
        <v>338.5</v>
      </c>
      <c r="Z16" s="15">
        <v>397</v>
      </c>
      <c r="AA16" s="61">
        <v>403.3</v>
      </c>
      <c r="AB16" s="323">
        <v>418.5</v>
      </c>
      <c r="AC16" s="15">
        <v>49.4</v>
      </c>
      <c r="AD16" s="15">
        <v>141.80000000000001</v>
      </c>
      <c r="AE16" s="15">
        <v>364.8</v>
      </c>
      <c r="AF16" s="15">
        <v>426.6</v>
      </c>
      <c r="AG16" s="15">
        <v>337.2</v>
      </c>
      <c r="AH16" s="278">
        <v>462.5</v>
      </c>
      <c r="AI16" s="290">
        <f t="shared" si="19"/>
        <v>12933.299999999997</v>
      </c>
      <c r="AJ16" s="118">
        <v>100</v>
      </c>
      <c r="AK16" s="121">
        <f t="shared" si="26"/>
        <v>1.1388888888888889E-2</v>
      </c>
      <c r="AL16" s="67">
        <f t="shared" ref="AL16:BA17" si="29">IF(OR(D16="",D16="Sem monitoramento"),"VAZIO",IFERROR(D16/($AJ16*24),"-"))</f>
        <v>0.20141666666666666</v>
      </c>
      <c r="AM16" s="68">
        <f t="shared" si="29"/>
        <v>0.21237500000000001</v>
      </c>
      <c r="AN16" s="68">
        <f t="shared" si="29"/>
        <v>0.20499999999999999</v>
      </c>
      <c r="AO16" s="68">
        <f t="shared" si="29"/>
        <v>0.22612500000000002</v>
      </c>
      <c r="AP16" s="68">
        <f t="shared" si="29"/>
        <v>0.22550000000000001</v>
      </c>
      <c r="AQ16" s="68">
        <f t="shared" si="29"/>
        <v>0.11762500000000001</v>
      </c>
      <c r="AR16" s="68">
        <f t="shared" si="29"/>
        <v>0.15675</v>
      </c>
      <c r="AS16" s="68">
        <f t="shared" si="29"/>
        <v>0.19870833333333332</v>
      </c>
      <c r="AT16" s="68">
        <f t="shared" si="29"/>
        <v>0.19958333333333333</v>
      </c>
      <c r="AU16" s="68">
        <f t="shared" si="29"/>
        <v>0.21179166666666668</v>
      </c>
      <c r="AV16" s="68">
        <f t="shared" si="29"/>
        <v>0.20883333333333332</v>
      </c>
      <c r="AW16" s="68">
        <f t="shared" si="29"/>
        <v>0.20429166666666668</v>
      </c>
      <c r="AX16" s="68">
        <f t="shared" si="29"/>
        <v>0.22</v>
      </c>
      <c r="AY16" s="68">
        <f t="shared" si="29"/>
        <v>0.21124999999999999</v>
      </c>
      <c r="AZ16" s="68">
        <f t="shared" si="29"/>
        <v>0.143125</v>
      </c>
      <c r="BA16" s="68">
        <f t="shared" si="29"/>
        <v>0.10516666666666667</v>
      </c>
      <c r="BB16" s="68">
        <f>IF(OR(T14="",T14="Sem monitoramento"),"VAZIO",IFERROR(T14/($AJ16*24),"-"))</f>
        <v>0.19833333333333333</v>
      </c>
      <c r="BC16" s="68">
        <f t="shared" si="20"/>
        <v>0.20525000000000002</v>
      </c>
      <c r="BD16" s="68">
        <f t="shared" si="15"/>
        <v>0.19462500000000002</v>
      </c>
      <c r="BE16" s="68">
        <f t="shared" si="16"/>
        <v>0.18608333333333335</v>
      </c>
      <c r="BF16" s="68">
        <f t="shared" si="17"/>
        <v>0.15433333333333332</v>
      </c>
      <c r="BG16" s="68">
        <f t="shared" si="18"/>
        <v>0.14104166666666668</v>
      </c>
      <c r="BH16" s="68" t="e">
        <f>IF(OR(#REF!="",#REF!="Sem monitoramento"),"VAZIO",IFERROR(#REF!/($AJ16*24),"-"))</f>
        <v>#REF!</v>
      </c>
      <c r="BI16" s="68">
        <f t="shared" si="22"/>
        <v>0.16804166666666667</v>
      </c>
      <c r="BJ16" s="68">
        <f t="shared" si="25"/>
        <v>0.174375</v>
      </c>
      <c r="BK16" s="68">
        <f t="shared" si="23"/>
        <v>2.0583333333333332E-2</v>
      </c>
      <c r="BL16" s="68">
        <f t="shared" si="10"/>
        <v>5.9083333333333335E-2</v>
      </c>
      <c r="BM16" s="68">
        <f t="shared" si="11"/>
        <v>0.152</v>
      </c>
      <c r="BN16" s="68">
        <f t="shared" si="12"/>
        <v>0.17775000000000002</v>
      </c>
      <c r="BO16" s="68">
        <f t="shared" si="24"/>
        <v>0.14049999999999999</v>
      </c>
      <c r="BP16" s="70">
        <f t="shared" si="6"/>
        <v>0.17962916666666662</v>
      </c>
      <c r="BQ16" s="180">
        <f>'FCs estimados em PVsyst'!Y14</f>
        <v>0.16425000000000001</v>
      </c>
      <c r="BR16" s="72">
        <f t="shared" si="27"/>
        <v>16.425000000000001</v>
      </c>
      <c r="BS16" s="73">
        <f t="shared" si="28"/>
        <v>4.0749999999999981E-2</v>
      </c>
      <c r="BT16" s="74">
        <f t="shared" si="9"/>
        <v>1.537916666666661E-2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465.6</v>
      </c>
      <c r="E17" s="319">
        <v>465.1</v>
      </c>
      <c r="F17" s="508">
        <v>464.9</v>
      </c>
      <c r="G17" s="355">
        <v>491.7</v>
      </c>
      <c r="H17" s="283">
        <v>452.6</v>
      </c>
      <c r="I17" s="82">
        <v>302.60000000000002</v>
      </c>
      <c r="J17" s="82">
        <v>449.8</v>
      </c>
      <c r="K17" s="63">
        <v>419.9</v>
      </c>
      <c r="L17" s="63">
        <v>435.2</v>
      </c>
      <c r="M17" s="319">
        <v>476.5</v>
      </c>
      <c r="N17" s="63">
        <v>397.3</v>
      </c>
      <c r="O17" s="63">
        <v>453.5</v>
      </c>
      <c r="P17" s="355">
        <v>470.2</v>
      </c>
      <c r="Q17" s="355">
        <v>464.7</v>
      </c>
      <c r="R17" s="63">
        <v>334.2</v>
      </c>
      <c r="S17" s="283">
        <v>239.9</v>
      </c>
      <c r="T17" s="63">
        <v>445.9</v>
      </c>
      <c r="U17" s="319">
        <v>459.1</v>
      </c>
      <c r="V17" s="319">
        <v>456.6</v>
      </c>
      <c r="W17" s="283">
        <v>395.6</v>
      </c>
      <c r="X17" s="63">
        <v>218.2</v>
      </c>
      <c r="Y17" s="63">
        <v>241.3</v>
      </c>
      <c r="Z17" s="45">
        <v>369.9</v>
      </c>
      <c r="AA17" s="18">
        <v>513.79999999999995</v>
      </c>
      <c r="AB17" s="526">
        <v>415.9</v>
      </c>
      <c r="AC17" s="388">
        <v>65</v>
      </c>
      <c r="AD17" s="221">
        <v>172.1</v>
      </c>
      <c r="AE17" s="15">
        <v>349.6</v>
      </c>
      <c r="AF17" s="15">
        <v>426</v>
      </c>
      <c r="AG17" s="45">
        <v>460</v>
      </c>
      <c r="AH17" s="528">
        <v>475</v>
      </c>
      <c r="AI17" s="290">
        <f t="shared" ref="AI17:AI31" si="30">SUM(D17:AG17)</f>
        <v>11772.699999999999</v>
      </c>
      <c r="AJ17" s="118">
        <v>100</v>
      </c>
      <c r="AK17" s="122">
        <f t="shared" si="26"/>
        <v>1.0761574074074073E-2</v>
      </c>
      <c r="AL17" s="67">
        <f t="shared" si="29"/>
        <v>0.19400000000000001</v>
      </c>
      <c r="AM17" s="68">
        <f t="shared" si="29"/>
        <v>0.19379166666666667</v>
      </c>
      <c r="AN17" s="68">
        <f t="shared" si="29"/>
        <v>0.19370833333333332</v>
      </c>
      <c r="AO17" s="68">
        <f t="shared" si="29"/>
        <v>0.204875</v>
      </c>
      <c r="AP17" s="68">
        <f t="shared" si="29"/>
        <v>0.18858333333333335</v>
      </c>
      <c r="AQ17" s="68">
        <f t="shared" si="29"/>
        <v>0.12608333333333335</v>
      </c>
      <c r="AR17" s="68">
        <f t="shared" si="29"/>
        <v>0.18741666666666668</v>
      </c>
      <c r="AS17" s="68" t="e">
        <f>IF(OR(#REF!="",#REF!="Sem monitoramento"),"VAZIO",IFERROR(#REF!/($AJ17*24),"-"))</f>
        <v>#REF!</v>
      </c>
      <c r="AT17" s="68">
        <f t="shared" si="29"/>
        <v>0.18133333333333332</v>
      </c>
      <c r="AU17" s="68">
        <f t="shared" si="29"/>
        <v>0.19854166666666667</v>
      </c>
      <c r="AV17" s="68">
        <f t="shared" si="29"/>
        <v>0.16554166666666667</v>
      </c>
      <c r="AW17" s="68">
        <f t="shared" si="29"/>
        <v>0.18895833333333334</v>
      </c>
      <c r="AX17" s="68">
        <f t="shared" si="29"/>
        <v>0.19591666666666666</v>
      </c>
      <c r="AY17" s="68">
        <f t="shared" si="29"/>
        <v>0.19362499999999999</v>
      </c>
      <c r="AZ17" s="68">
        <f t="shared" si="29"/>
        <v>0.13924999999999998</v>
      </c>
      <c r="BA17" s="68">
        <f t="shared" si="29"/>
        <v>9.995833333333333E-2</v>
      </c>
      <c r="BB17" s="68">
        <f t="shared" ref="BB17:BB31" si="31">IF(OR(T17="",T17="Sem monitoramento"),"VAZIO",IFERROR(T17/($AJ17*24),"-"))</f>
        <v>0.18579166666666666</v>
      </c>
      <c r="BC17" s="68">
        <f t="shared" si="20"/>
        <v>0.19129166666666667</v>
      </c>
      <c r="BD17" s="68">
        <f t="shared" si="15"/>
        <v>0.19025</v>
      </c>
      <c r="BE17" s="68">
        <f t="shared" si="16"/>
        <v>0.16483333333333333</v>
      </c>
      <c r="BF17" s="68">
        <f t="shared" si="17"/>
        <v>9.091666666666666E-2</v>
      </c>
      <c r="BG17" s="68">
        <f t="shared" si="18"/>
        <v>0.10054166666666667</v>
      </c>
      <c r="BH17" s="68">
        <f t="shared" si="21"/>
        <v>0.15412499999999998</v>
      </c>
      <c r="BI17" s="68">
        <f t="shared" si="22"/>
        <v>0.21408333333333332</v>
      </c>
      <c r="BJ17" s="68">
        <f t="shared" si="25"/>
        <v>0.17329166666666665</v>
      </c>
      <c r="BK17" s="68">
        <f>IF(OR(AC17="",AC17="Sem monitoramento"),"VAZIO",IFERROR(AC17/($AJ17*24),"-"))</f>
        <v>2.7083333333333334E-2</v>
      </c>
      <c r="BL17" s="68">
        <f t="shared" si="10"/>
        <v>7.1708333333333332E-2</v>
      </c>
      <c r="BM17" s="68">
        <f t="shared" si="11"/>
        <v>0.14566666666666667</v>
      </c>
      <c r="BN17" s="68">
        <f t="shared" si="12"/>
        <v>0.17749999999999999</v>
      </c>
      <c r="BO17" s="68">
        <f t="shared" si="24"/>
        <v>0.19166666666666668</v>
      </c>
      <c r="BP17" s="70">
        <f t="shared" si="6"/>
        <v>0.16350972222222221</v>
      </c>
      <c r="BQ17" s="198">
        <f>$BQ$19</f>
        <v>0.168125</v>
      </c>
      <c r="BR17" s="90">
        <f t="shared" si="27"/>
        <v>16.8125</v>
      </c>
      <c r="BS17" s="73">
        <f t="shared" si="28"/>
        <v>2.5583333333333319E-2</v>
      </c>
      <c r="BT17" s="74">
        <f t="shared" si="9"/>
        <v>-4.6152777777777876E-3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480.9</v>
      </c>
      <c r="E18" s="319">
        <v>481.5</v>
      </c>
      <c r="F18" s="508">
        <v>483.2</v>
      </c>
      <c r="G18" s="355">
        <v>491.6</v>
      </c>
      <c r="H18" s="63">
        <v>457.6</v>
      </c>
      <c r="I18" s="63">
        <v>301.8</v>
      </c>
      <c r="J18" s="63">
        <v>452</v>
      </c>
      <c r="K18" s="63">
        <v>404.3</v>
      </c>
      <c r="L18" s="63">
        <v>416.4</v>
      </c>
      <c r="M18" s="511">
        <v>464.1</v>
      </c>
      <c r="N18" s="63">
        <v>384.3</v>
      </c>
      <c r="O18" s="63">
        <v>442.3</v>
      </c>
      <c r="P18" s="319">
        <v>459.5</v>
      </c>
      <c r="Q18" s="355">
        <v>454</v>
      </c>
      <c r="R18" s="63">
        <v>339.5</v>
      </c>
      <c r="S18" s="283">
        <v>245.9</v>
      </c>
      <c r="T18" s="63">
        <v>434</v>
      </c>
      <c r="U18" s="355">
        <v>448.4</v>
      </c>
      <c r="V18" s="355">
        <v>445.8</v>
      </c>
      <c r="W18" s="283">
        <v>397.3</v>
      </c>
      <c r="X18" s="63">
        <v>214.1</v>
      </c>
      <c r="Y18" s="63">
        <v>242.9</v>
      </c>
      <c r="Z18" s="15">
        <v>367.2</v>
      </c>
      <c r="AA18" s="18">
        <v>430.6</v>
      </c>
      <c r="AB18" s="20">
        <v>413.1</v>
      </c>
      <c r="AC18" s="221">
        <v>63.1</v>
      </c>
      <c r="AD18" s="221">
        <v>166.9</v>
      </c>
      <c r="AE18" s="15">
        <v>358.5</v>
      </c>
      <c r="AF18" s="15">
        <v>412.4</v>
      </c>
      <c r="AG18" s="15">
        <v>455.5</v>
      </c>
      <c r="AH18" s="528">
        <v>462.6</v>
      </c>
      <c r="AI18" s="290">
        <f>SUM(D18:AH18)</f>
        <v>12071.300000000001</v>
      </c>
      <c r="AJ18" s="118">
        <v>100</v>
      </c>
      <c r="AK18" s="122">
        <f t="shared" si="26"/>
        <v>1.1185185185185185E-2</v>
      </c>
      <c r="AL18" s="67">
        <f t="shared" ref="AL18:AT18" si="32">IF(OR(D18="",D18="Sem monitoramento"),"VAZIO",IFERROR(D18/($AJ18*24),"-"))</f>
        <v>0.200375</v>
      </c>
      <c r="AM18" s="68">
        <f t="shared" si="32"/>
        <v>0.200625</v>
      </c>
      <c r="AN18" s="68">
        <f t="shared" si="32"/>
        <v>0.20133333333333334</v>
      </c>
      <c r="AO18" s="68">
        <f t="shared" si="32"/>
        <v>0.20483333333333334</v>
      </c>
      <c r="AP18" s="68">
        <f t="shared" si="32"/>
        <v>0.19066666666666668</v>
      </c>
      <c r="AQ18" s="68">
        <f t="shared" si="32"/>
        <v>0.12575</v>
      </c>
      <c r="AR18" s="68">
        <f t="shared" si="32"/>
        <v>0.18833333333333332</v>
      </c>
      <c r="AS18" s="68">
        <f t="shared" si="32"/>
        <v>0.16845833333333335</v>
      </c>
      <c r="AT18" s="68">
        <f t="shared" si="32"/>
        <v>0.17349999999999999</v>
      </c>
      <c r="AU18" s="68">
        <f>IF(OR(M19="",M19="Sem monitoramento"),"VAZIO",IFERROR(M19/($AJ18*24),"-"))</f>
        <v>0.16287499999999999</v>
      </c>
      <c r="AV18" s="68">
        <f t="shared" ref="AV18:BA19" si="33">IF(OR(N18="",N18="Sem monitoramento"),"VAZIO",IFERROR(N18/($AJ18*24),"-"))</f>
        <v>0.16012500000000002</v>
      </c>
      <c r="AW18" s="68">
        <f t="shared" si="33"/>
        <v>0.18429166666666666</v>
      </c>
      <c r="AX18" s="68">
        <f t="shared" si="33"/>
        <v>0.19145833333333334</v>
      </c>
      <c r="AY18" s="68">
        <f t="shared" si="33"/>
        <v>0.18916666666666668</v>
      </c>
      <c r="AZ18" s="68">
        <f t="shared" si="33"/>
        <v>0.14145833333333332</v>
      </c>
      <c r="BA18" s="68">
        <f t="shared" si="33"/>
        <v>0.10245833333333333</v>
      </c>
      <c r="BB18" s="68">
        <f t="shared" si="31"/>
        <v>0.18083333333333335</v>
      </c>
      <c r="BC18" s="68">
        <f t="shared" si="20"/>
        <v>0.18683333333333332</v>
      </c>
      <c r="BD18" s="68">
        <f t="shared" si="15"/>
        <v>0.18575</v>
      </c>
      <c r="BE18" s="68">
        <f t="shared" si="16"/>
        <v>0.16554166666666667</v>
      </c>
      <c r="BF18" s="68">
        <f t="shared" si="17"/>
        <v>8.9208333333333334E-2</v>
      </c>
      <c r="BG18" s="68">
        <f t="shared" si="18"/>
        <v>0.10120833333333333</v>
      </c>
      <c r="BH18" s="68">
        <f t="shared" si="21"/>
        <v>0.153</v>
      </c>
      <c r="BI18" s="68">
        <f t="shared" si="22"/>
        <v>0.17941666666666667</v>
      </c>
      <c r="BJ18" s="68">
        <f t="shared" si="25"/>
        <v>0.172125</v>
      </c>
      <c r="BK18" s="68">
        <f>IF(OR(AC18="",AC18="Sem monitoramento"),"VAZIO",IFERROR(AC18/($AJ18*24),"-"))</f>
        <v>2.6291666666666668E-2</v>
      </c>
      <c r="BL18" s="68">
        <f t="shared" si="10"/>
        <v>6.9541666666666668E-2</v>
      </c>
      <c r="BM18" s="68">
        <f t="shared" si="11"/>
        <v>0.14937500000000001</v>
      </c>
      <c r="BN18" s="68">
        <f t="shared" si="12"/>
        <v>0.17183333333333331</v>
      </c>
      <c r="BO18" s="68">
        <f t="shared" si="24"/>
        <v>0.18979166666666666</v>
      </c>
      <c r="BP18" s="70">
        <f t="shared" si="6"/>
        <v>0.16765694444444446</v>
      </c>
      <c r="BQ18" s="198">
        <f>$BQ$19</f>
        <v>0.168125</v>
      </c>
      <c r="BR18" s="90">
        <f t="shared" si="27"/>
        <v>16.8125</v>
      </c>
      <c r="BS18" s="73">
        <f t="shared" si="28"/>
        <v>3.320833333333334E-2</v>
      </c>
      <c r="BT18" s="74">
        <f t="shared" si="9"/>
        <v>-4.6805555555554101E-4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410.4</v>
      </c>
      <c r="E19" s="319">
        <v>410.6</v>
      </c>
      <c r="F19" s="319">
        <v>410</v>
      </c>
      <c r="G19" s="355">
        <v>416.5</v>
      </c>
      <c r="H19" s="283">
        <v>368.5</v>
      </c>
      <c r="I19" s="63">
        <v>256.89999999999998</v>
      </c>
      <c r="J19" s="283">
        <v>364.2</v>
      </c>
      <c r="K19" s="63">
        <v>354</v>
      </c>
      <c r="L19" s="63">
        <v>359.2</v>
      </c>
      <c r="M19" s="319">
        <v>390.9</v>
      </c>
      <c r="N19" s="514">
        <v>350</v>
      </c>
      <c r="O19" s="514">
        <v>360</v>
      </c>
      <c r="P19" s="514">
        <v>410</v>
      </c>
      <c r="Q19" s="517">
        <v>405</v>
      </c>
      <c r="R19" s="514">
        <v>305</v>
      </c>
      <c r="S19" s="514">
        <v>204</v>
      </c>
      <c r="T19" s="514">
        <v>365.2</v>
      </c>
      <c r="U19" s="514">
        <v>372.2</v>
      </c>
      <c r="V19" s="517">
        <v>368</v>
      </c>
      <c r="W19" s="517">
        <v>350</v>
      </c>
      <c r="X19" s="515">
        <v>198</v>
      </c>
      <c r="Y19" s="515">
        <v>204</v>
      </c>
      <c r="Z19" s="514">
        <v>350</v>
      </c>
      <c r="AA19" s="522">
        <v>392</v>
      </c>
      <c r="AB19" s="524">
        <v>359.2</v>
      </c>
      <c r="AC19" s="45">
        <v>57</v>
      </c>
      <c r="AD19" s="283">
        <v>146.69999999999999</v>
      </c>
      <c r="AE19" s="221">
        <v>274.39999999999998</v>
      </c>
      <c r="AF19" s="15">
        <v>366.2</v>
      </c>
      <c r="AG19" s="15">
        <v>393.5</v>
      </c>
      <c r="AH19" s="528">
        <v>395.5</v>
      </c>
      <c r="AI19" s="290">
        <f t="shared" si="30"/>
        <v>9971.6</v>
      </c>
      <c r="AJ19" s="118">
        <v>80</v>
      </c>
      <c r="AK19" s="121">
        <f t="shared" si="26"/>
        <v>1.1863425925925927E-2</v>
      </c>
      <c r="AL19" s="67">
        <f t="shared" ref="AL19:AS25" si="34">IF(OR(D19="",D19="Sem monitoramento"),"VAZIO",IFERROR(D19/($AJ19*24),"-"))</f>
        <v>0.21375</v>
      </c>
      <c r="AM19" s="68">
        <f t="shared" si="34"/>
        <v>0.21385416666666668</v>
      </c>
      <c r="AN19" s="68">
        <f t="shared" si="34"/>
        <v>0.21354166666666666</v>
      </c>
      <c r="AO19" s="68">
        <f t="shared" si="34"/>
        <v>0.21692708333333333</v>
      </c>
      <c r="AP19" s="68">
        <f t="shared" si="34"/>
        <v>0.19192708333333333</v>
      </c>
      <c r="AQ19" s="68">
        <f t="shared" si="34"/>
        <v>0.13380208333333332</v>
      </c>
      <c r="AR19" s="68">
        <f t="shared" si="34"/>
        <v>0.18968749999999998</v>
      </c>
      <c r="AS19" s="68">
        <f t="shared" si="34"/>
        <v>0.18437500000000001</v>
      </c>
      <c r="AT19" s="68">
        <f>IF(OR(L21="",L21="Sem monitoramento"),"VAZIO",IFERROR(L21/($AJ19*24),"-"))</f>
        <v>0.21427083333333333</v>
      </c>
      <c r="AU19" s="68" t="e">
        <f>IF(OR(#REF!="",#REF!="Sem monitoramento"),"VAZIO",IFERROR(#REF!/($AJ19*24),"-"))</f>
        <v>#REF!</v>
      </c>
      <c r="AV19" s="68">
        <f t="shared" si="33"/>
        <v>0.18229166666666666</v>
      </c>
      <c r="AW19" s="68">
        <f t="shared" si="33"/>
        <v>0.1875</v>
      </c>
      <c r="AX19" s="68">
        <f t="shared" si="33"/>
        <v>0.21354166666666666</v>
      </c>
      <c r="AY19" s="68">
        <f t="shared" si="33"/>
        <v>0.2109375</v>
      </c>
      <c r="AZ19" s="68">
        <f t="shared" si="33"/>
        <v>0.15885416666666666</v>
      </c>
      <c r="BA19" s="68">
        <f t="shared" si="33"/>
        <v>0.10625</v>
      </c>
      <c r="BB19" s="68">
        <f t="shared" si="31"/>
        <v>0.19020833333333334</v>
      </c>
      <c r="BC19" s="68">
        <f t="shared" si="20"/>
        <v>0.19385416666666666</v>
      </c>
      <c r="BD19" s="68" t="e">
        <f>IF(OR(#REF!="",#REF!="Sem monitoramento"),"VAZIO",IFERROR(#REF!/($AJ19*24),"-"))</f>
        <v>#REF!</v>
      </c>
      <c r="BE19" s="68">
        <f t="shared" ref="BD19:BE23" si="35">IF(OR(W19="",W19="Sem monitoramento"),"VAZIO",IFERROR(W19/($AJ19*24),"-"))</f>
        <v>0.18229166666666666</v>
      </c>
      <c r="BF19" s="68">
        <f>IF(OR(X21="",X21="Sem monitoramento"),"VAZIO",IFERROR(X21/($AJ19*24),"-"))</f>
        <v>9.3229166666666669E-2</v>
      </c>
      <c r="BG19" s="68">
        <f>IF(OR(Y17="",Y17="Sem monitoramento"),"VAZIO",IFERROR(Y17/($AJ19*24),"-"))</f>
        <v>0.12567708333333333</v>
      </c>
      <c r="BH19" s="68">
        <f t="shared" si="21"/>
        <v>0.18229166666666666</v>
      </c>
      <c r="BI19" s="68">
        <f t="shared" si="22"/>
        <v>0.20416666666666666</v>
      </c>
      <c r="BJ19" s="68">
        <f t="shared" si="25"/>
        <v>0.18708333333333332</v>
      </c>
      <c r="BK19" s="68">
        <f t="shared" si="23"/>
        <v>2.9687499999999999E-2</v>
      </c>
      <c r="BL19" s="68">
        <f t="shared" si="10"/>
        <v>7.6406249999999995E-2</v>
      </c>
      <c r="BM19" s="68">
        <f t="shared" si="11"/>
        <v>0.14291666666666666</v>
      </c>
      <c r="BN19" s="68">
        <f t="shared" si="12"/>
        <v>0.19072916666666667</v>
      </c>
      <c r="BO19" s="68">
        <f t="shared" si="24"/>
        <v>0.20494791666666667</v>
      </c>
      <c r="BP19" s="70">
        <f t="shared" si="6"/>
        <v>0.17311805555555557</v>
      </c>
      <c r="BQ19" s="180">
        <f>'FCs estimados em PVsyst'!Y17</f>
        <v>0.168125</v>
      </c>
      <c r="BR19" s="72">
        <f t="shared" si="27"/>
        <v>13.45</v>
      </c>
      <c r="BS19" s="73">
        <f t="shared" si="28"/>
        <v>4.5416666666666661E-2</v>
      </c>
      <c r="BT19" s="74">
        <f t="shared" si="9"/>
        <v>4.99305555555557E-3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223">
        <v>559.79999999999995</v>
      </c>
      <c r="E20" s="319">
        <v>558.6</v>
      </c>
      <c r="F20" s="319">
        <v>559.4</v>
      </c>
      <c r="G20" s="319">
        <v>560.70000000000005</v>
      </c>
      <c r="H20" s="283">
        <v>462.6</v>
      </c>
      <c r="I20" s="63">
        <v>354.8</v>
      </c>
      <c r="J20" s="283">
        <v>454.3</v>
      </c>
      <c r="K20" s="316">
        <v>471.7</v>
      </c>
      <c r="L20" s="63">
        <v>491.5</v>
      </c>
      <c r="M20" s="319">
        <v>534.6</v>
      </c>
      <c r="N20" s="515">
        <v>450</v>
      </c>
      <c r="O20" s="514">
        <v>477</v>
      </c>
      <c r="P20" s="514">
        <v>544</v>
      </c>
      <c r="Q20" s="517">
        <v>510</v>
      </c>
      <c r="R20" s="514">
        <v>410</v>
      </c>
      <c r="S20" s="514">
        <v>305</v>
      </c>
      <c r="T20" s="514">
        <v>495</v>
      </c>
      <c r="U20" s="514">
        <v>501</v>
      </c>
      <c r="V20" s="520">
        <v>492</v>
      </c>
      <c r="W20" s="517">
        <v>450</v>
      </c>
      <c r="X20" s="517">
        <v>295</v>
      </c>
      <c r="Y20" s="514">
        <v>305</v>
      </c>
      <c r="Z20" s="515">
        <v>470</v>
      </c>
      <c r="AA20" s="522">
        <v>460</v>
      </c>
      <c r="AB20" s="524">
        <v>491.5</v>
      </c>
      <c r="AC20" s="45">
        <v>66</v>
      </c>
      <c r="AD20" s="283">
        <v>252.3</v>
      </c>
      <c r="AE20" s="221">
        <v>381.9</v>
      </c>
      <c r="AF20" s="15">
        <v>519.6</v>
      </c>
      <c r="AG20" s="15">
        <v>520.9</v>
      </c>
      <c r="AH20" s="529">
        <v>529.29999999999995</v>
      </c>
      <c r="AI20" s="290">
        <f t="shared" si="30"/>
        <v>13404.199999999999</v>
      </c>
      <c r="AJ20" s="118">
        <v>100</v>
      </c>
      <c r="AK20" s="121">
        <f t="shared" si="26"/>
        <v>1.2949074074074073E-2</v>
      </c>
      <c r="AL20" s="67">
        <f t="shared" si="34"/>
        <v>0.23324999999999999</v>
      </c>
      <c r="AM20" s="68">
        <f t="shared" si="34"/>
        <v>0.23275000000000001</v>
      </c>
      <c r="AN20" s="68">
        <f t="shared" si="34"/>
        <v>0.23308333333333334</v>
      </c>
      <c r="AO20" s="68">
        <f t="shared" si="34"/>
        <v>0.23362500000000003</v>
      </c>
      <c r="AP20" s="68">
        <f t="shared" si="34"/>
        <v>0.19275</v>
      </c>
      <c r="AQ20" s="68">
        <f t="shared" si="34"/>
        <v>0.14783333333333334</v>
      </c>
      <c r="AR20" s="68">
        <f t="shared" si="34"/>
        <v>0.18929166666666666</v>
      </c>
      <c r="AS20" s="68">
        <f>IF(OR(K17="",K17="Sem monitoramento"),"VAZIO",IFERROR(K17/($AJ20*24),"-"))</f>
        <v>0.17495833333333333</v>
      </c>
      <c r="AT20" s="68">
        <f>IF(OR(L20="",L20="Sem monitoramento"),"VAZIO",IFERROR(L20/($AJ20*24),"-"))</f>
        <v>0.20479166666666668</v>
      </c>
      <c r="AU20" s="68">
        <f>IF(OR(M20="",M20="Sem monitoramento"),"VAZIO",IFERROR(M20/($AJ20*24),"-"))</f>
        <v>0.22275</v>
      </c>
      <c r="AV20" s="68">
        <f>IF(OR(N21="",N21="Sem monitoramento"),"VAZIO",IFERROR(N21/($AJ20*24),"-"))</f>
        <v>0.16041666666666668</v>
      </c>
      <c r="AW20" s="68">
        <f t="shared" ref="AW20:AZ22" si="36">IF(OR(O20="",O20="Sem monitoramento"),"VAZIO",IFERROR(O20/($AJ20*24),"-"))</f>
        <v>0.19875000000000001</v>
      </c>
      <c r="AX20" s="68">
        <f t="shared" si="36"/>
        <v>0.22666666666666666</v>
      </c>
      <c r="AY20" s="68">
        <f t="shared" si="36"/>
        <v>0.21249999999999999</v>
      </c>
      <c r="AZ20" s="68">
        <f t="shared" si="36"/>
        <v>0.17083333333333334</v>
      </c>
      <c r="BA20" s="68">
        <f>IF(OR(S21="",S21="Sem monitoramento"),"VAZIO",IFERROR(S21/($AJ20*24),"-"))</f>
        <v>8.3750000000000005E-2</v>
      </c>
      <c r="BB20" s="68">
        <f t="shared" si="31"/>
        <v>0.20624999999999999</v>
      </c>
      <c r="BC20" s="68">
        <f t="shared" si="20"/>
        <v>0.20874999999999999</v>
      </c>
      <c r="BD20" s="68">
        <f>IF(OR(V19="",V19="Sem monitoramento"),"VAZIO",IFERROR(V19/($AJ20*24),"-"))</f>
        <v>0.15333333333333332</v>
      </c>
      <c r="BE20" s="68">
        <f t="shared" si="35"/>
        <v>0.1875</v>
      </c>
      <c r="BF20" s="68">
        <f>IF(OR(X22="",X22="Sem monitoramento"),"VAZIO",IFERROR(X22/($AJ20*24),"-"))</f>
        <v>0.16704166666666664</v>
      </c>
      <c r="BG20" s="68">
        <f>IF(OR(Y18="",Y18="Sem monitoramento"),"VAZIO",IFERROR(Y18/($AJ20*24),"-"))</f>
        <v>0.10120833333333333</v>
      </c>
      <c r="BH20" s="68">
        <f t="shared" si="21"/>
        <v>0.19583333333333333</v>
      </c>
      <c r="BI20" s="68">
        <f t="shared" si="22"/>
        <v>0.19166666666666668</v>
      </c>
      <c r="BJ20" s="68">
        <f t="shared" si="25"/>
        <v>0.20479166666666668</v>
      </c>
      <c r="BK20" s="68">
        <f t="shared" si="23"/>
        <v>2.75E-2</v>
      </c>
      <c r="BL20" s="68">
        <f t="shared" si="10"/>
        <v>0.10512500000000001</v>
      </c>
      <c r="BM20" s="68">
        <f t="shared" si="11"/>
        <v>0.15912499999999999</v>
      </c>
      <c r="BN20" s="68">
        <f t="shared" si="12"/>
        <v>0.2165</v>
      </c>
      <c r="BO20" s="68">
        <f t="shared" si="24"/>
        <v>0.21704166666666666</v>
      </c>
      <c r="BP20" s="70">
        <f t="shared" si="6"/>
        <v>0.18616944444444444</v>
      </c>
      <c r="BQ20" s="198">
        <f t="shared" ref="BQ20:BQ30" si="37">$BQ$19</f>
        <v>0.168125</v>
      </c>
      <c r="BR20" s="72">
        <f t="shared" si="27"/>
        <v>16.8125</v>
      </c>
      <c r="BS20" s="73">
        <f t="shared" si="28"/>
        <v>6.495833333333334E-2</v>
      </c>
      <c r="BT20" s="74">
        <f t="shared" si="9"/>
        <v>1.8044444444444446E-2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223">
        <v>462.5</v>
      </c>
      <c r="E21" s="355">
        <v>460.3</v>
      </c>
      <c r="F21" s="355">
        <v>456.3</v>
      </c>
      <c r="G21" s="355">
        <v>460.8</v>
      </c>
      <c r="H21" s="283">
        <v>383.1</v>
      </c>
      <c r="I21" s="63">
        <v>292.7</v>
      </c>
      <c r="J21" s="283">
        <v>375.1</v>
      </c>
      <c r="K21" s="63">
        <v>391.1</v>
      </c>
      <c r="L21" s="283">
        <v>411.4</v>
      </c>
      <c r="M21" s="511">
        <v>430.9</v>
      </c>
      <c r="N21" s="514">
        <v>385</v>
      </c>
      <c r="O21" s="514">
        <v>400</v>
      </c>
      <c r="P21" s="514">
        <v>415</v>
      </c>
      <c r="Q21" s="517">
        <v>405</v>
      </c>
      <c r="R21" s="514">
        <v>304</v>
      </c>
      <c r="S21" s="514">
        <v>201</v>
      </c>
      <c r="T21" s="517">
        <v>415</v>
      </c>
      <c r="U21" s="517">
        <v>420</v>
      </c>
      <c r="V21" s="517">
        <v>412</v>
      </c>
      <c r="W21" s="517">
        <v>385</v>
      </c>
      <c r="X21" s="517">
        <v>179</v>
      </c>
      <c r="Y21" s="517">
        <v>201</v>
      </c>
      <c r="Z21" s="514">
        <v>375</v>
      </c>
      <c r="AA21" s="523">
        <v>378</v>
      </c>
      <c r="AB21" s="525">
        <v>411.4</v>
      </c>
      <c r="AC21" s="527">
        <v>57</v>
      </c>
      <c r="AD21" s="283">
        <v>161.19999999999999</v>
      </c>
      <c r="AE21" s="221">
        <v>282.10000000000002</v>
      </c>
      <c r="AF21" s="221">
        <v>372.5</v>
      </c>
      <c r="AG21" s="221">
        <v>395.1</v>
      </c>
      <c r="AH21" s="530">
        <v>401.6</v>
      </c>
      <c r="AI21" s="290">
        <f>SUM(D21:AH21)</f>
        <v>11080.100000000002</v>
      </c>
      <c r="AJ21" s="118">
        <v>100</v>
      </c>
      <c r="AK21" s="121">
        <f t="shared" si="26"/>
        <v>1.0562500000000001E-2</v>
      </c>
      <c r="AL21" s="67">
        <f t="shared" si="34"/>
        <v>0.19270833333333334</v>
      </c>
      <c r="AM21" s="68">
        <f t="shared" si="34"/>
        <v>0.19179166666666667</v>
      </c>
      <c r="AN21" s="68">
        <f t="shared" si="34"/>
        <v>0.19012500000000002</v>
      </c>
      <c r="AO21" s="68">
        <f t="shared" si="34"/>
        <v>0.192</v>
      </c>
      <c r="AP21" s="68">
        <f t="shared" si="34"/>
        <v>0.15962500000000002</v>
      </c>
      <c r="AQ21" s="68">
        <f t="shared" si="34"/>
        <v>0.12195833333333334</v>
      </c>
      <c r="AR21" s="68">
        <f t="shared" si="34"/>
        <v>0.15629166666666669</v>
      </c>
      <c r="AS21" s="68">
        <f t="shared" si="34"/>
        <v>0.16295833333333334</v>
      </c>
      <c r="AT21" s="68">
        <f t="shared" ref="AT21:AT31" si="38">IF(OR(L21="",L21="Sem monitoramento"),"VAZIO",IFERROR(L21/($AJ21*24),"-"))</f>
        <v>0.17141666666666666</v>
      </c>
      <c r="AU21" s="68">
        <f>IF(OR(M19="",M19="Sem monitoramento"),"VAZIO",IFERROR(M19/($AJ21*24),"-"))</f>
        <v>0.16287499999999999</v>
      </c>
      <c r="AV21" s="68">
        <f>IF(OR(N22="",N22="Sem monitoramento"),"VAZIO",IFERROR(N22/($AJ21*24),"-"))</f>
        <v>0.21687500000000001</v>
      </c>
      <c r="AW21" s="68">
        <f t="shared" si="36"/>
        <v>0.16666666666666666</v>
      </c>
      <c r="AX21" s="68">
        <f t="shared" si="36"/>
        <v>0.17291666666666666</v>
      </c>
      <c r="AY21" s="68">
        <f t="shared" si="36"/>
        <v>0.16875000000000001</v>
      </c>
      <c r="AZ21" s="68">
        <f t="shared" si="36"/>
        <v>0.12666666666666668</v>
      </c>
      <c r="BA21" s="68">
        <f>IF(OR(S22="",S22="Sem monitoramento"),"VAZIO",IFERROR(S22/($AJ21*24),"-"))</f>
        <v>0.1265</v>
      </c>
      <c r="BB21" s="68">
        <f t="shared" si="31"/>
        <v>0.17291666666666666</v>
      </c>
      <c r="BC21" s="68">
        <f t="shared" si="20"/>
        <v>0.17499999999999999</v>
      </c>
      <c r="BD21" s="68">
        <f t="shared" si="35"/>
        <v>0.17166666666666666</v>
      </c>
      <c r="BE21" s="68">
        <f t="shared" si="35"/>
        <v>0.16041666666666668</v>
      </c>
      <c r="BF21" s="68">
        <f>IF(OR(X23="",X23="Sem monitoramento"),"VAZIO",IFERROR(X23/($AJ21*24),"-"))</f>
        <v>0.14320833333333333</v>
      </c>
      <c r="BG21" s="68">
        <f t="shared" ref="BG21:BG31" si="39">IF(OR(Y21="",Y21="Sem monitoramento"),"VAZIO",IFERROR(Y21/($AJ21*24),"-"))</f>
        <v>8.3750000000000005E-2</v>
      </c>
      <c r="BH21" s="68">
        <f t="shared" si="21"/>
        <v>0.15625</v>
      </c>
      <c r="BI21" s="68">
        <f t="shared" si="22"/>
        <v>0.1575</v>
      </c>
      <c r="BJ21" s="68">
        <f>IF(OR(AB20="",AB20="Sem monitoramento"),"VAZIO",IFERROR(AB20/($AJ21*24),"-"))</f>
        <v>0.20479166666666668</v>
      </c>
      <c r="BK21" s="68">
        <f t="shared" si="23"/>
        <v>2.375E-2</v>
      </c>
      <c r="BL21" s="68">
        <f t="shared" si="10"/>
        <v>6.7166666666666666E-2</v>
      </c>
      <c r="BM21" s="68">
        <f t="shared" si="11"/>
        <v>0.11754166666666667</v>
      </c>
      <c r="BN21" s="68">
        <f t="shared" si="12"/>
        <v>0.15520833333333334</v>
      </c>
      <c r="BO21" s="68">
        <f t="shared" si="24"/>
        <v>0.16462500000000002</v>
      </c>
      <c r="BP21" s="70">
        <f t="shared" si="6"/>
        <v>0.15389027777777781</v>
      </c>
      <c r="BQ21" s="198">
        <f t="shared" si="37"/>
        <v>0.168125</v>
      </c>
      <c r="BR21" s="72">
        <f t="shared" si="27"/>
        <v>16.8125</v>
      </c>
      <c r="BS21" s="73">
        <f t="shared" si="28"/>
        <v>2.200000000000002E-2</v>
      </c>
      <c r="BT21" s="74">
        <f t="shared" si="9"/>
        <v>-1.423472222222219E-2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62">
        <v>576.79999999999995</v>
      </c>
      <c r="E22" s="319">
        <v>576.9</v>
      </c>
      <c r="F22" s="63">
        <v>567</v>
      </c>
      <c r="G22" s="319">
        <v>567.5</v>
      </c>
      <c r="H22" s="63">
        <v>495.8</v>
      </c>
      <c r="I22" s="63">
        <v>353.9</v>
      </c>
      <c r="J22" s="63">
        <v>395.3</v>
      </c>
      <c r="K22" s="63">
        <v>485.9</v>
      </c>
      <c r="L22" s="63">
        <v>531.6</v>
      </c>
      <c r="M22" s="319">
        <v>557.29999999999995</v>
      </c>
      <c r="N22" s="63">
        <v>520.5</v>
      </c>
      <c r="O22" s="63">
        <v>547.20000000000005</v>
      </c>
      <c r="P22" s="319">
        <v>563.70000000000005</v>
      </c>
      <c r="Q22" s="355">
        <v>555.5</v>
      </c>
      <c r="R22" s="283">
        <v>361.4</v>
      </c>
      <c r="S22" s="283">
        <v>303.60000000000002</v>
      </c>
      <c r="T22" s="319">
        <v>546</v>
      </c>
      <c r="U22" s="319">
        <v>556.79999999999995</v>
      </c>
      <c r="V22" s="63">
        <v>416.5</v>
      </c>
      <c r="W22" s="283">
        <v>518.79999999999995</v>
      </c>
      <c r="X22" s="63">
        <v>400.9</v>
      </c>
      <c r="Y22" s="63">
        <v>474.8</v>
      </c>
      <c r="Z22" s="15">
        <v>409.6</v>
      </c>
      <c r="AA22" s="18">
        <v>511.7</v>
      </c>
      <c r="AB22" s="20">
        <v>479.3</v>
      </c>
      <c r="AC22" s="15">
        <v>75.7</v>
      </c>
      <c r="AD22" s="221">
        <v>153</v>
      </c>
      <c r="AE22" s="15">
        <v>397.2</v>
      </c>
      <c r="AF22" s="15">
        <v>403.1</v>
      </c>
      <c r="AG22" s="15">
        <v>543.79999999999995</v>
      </c>
      <c r="AH22" s="278">
        <v>517.9</v>
      </c>
      <c r="AI22" s="290">
        <f>SUM(D22:AH22)</f>
        <v>14365</v>
      </c>
      <c r="AJ22" s="118">
        <v>100</v>
      </c>
      <c r="AK22" s="121">
        <f t="shared" si="26"/>
        <v>1.3125E-2</v>
      </c>
      <c r="AL22" s="67">
        <f t="shared" si="34"/>
        <v>0.24033333333333332</v>
      </c>
      <c r="AM22" s="68">
        <f t="shared" si="34"/>
        <v>0.24037499999999998</v>
      </c>
      <c r="AN22" s="68">
        <f t="shared" si="34"/>
        <v>0.23624999999999999</v>
      </c>
      <c r="AO22" s="68">
        <f t="shared" si="34"/>
        <v>0.23645833333333333</v>
      </c>
      <c r="AP22" s="68">
        <f t="shared" si="34"/>
        <v>0.20658333333333334</v>
      </c>
      <c r="AQ22" s="68">
        <f t="shared" si="34"/>
        <v>0.14745833333333333</v>
      </c>
      <c r="AR22" s="68">
        <f t="shared" si="34"/>
        <v>0.16470833333333335</v>
      </c>
      <c r="AS22" s="68">
        <f t="shared" si="34"/>
        <v>0.20245833333333332</v>
      </c>
      <c r="AT22" s="68">
        <f t="shared" si="38"/>
        <v>0.2215</v>
      </c>
      <c r="AU22" s="68" t="e">
        <f>IF(OR(#REF!="",#REF!="Sem monitoramento"),"VAZIO",IFERROR(#REF!/($AJ22*24),"-"))</f>
        <v>#REF!</v>
      </c>
      <c r="AV22" s="68">
        <f t="shared" ref="AV22:AV31" si="40">IF(OR(N22="",N22="Sem monitoramento"),"VAZIO",IFERROR(N22/($AJ22*24),"-"))</f>
        <v>0.21687500000000001</v>
      </c>
      <c r="AW22" s="68">
        <f t="shared" si="36"/>
        <v>0.22800000000000001</v>
      </c>
      <c r="AX22" s="68">
        <f t="shared" si="36"/>
        <v>0.23487500000000003</v>
      </c>
      <c r="AY22" s="68">
        <f t="shared" si="36"/>
        <v>0.23145833333333332</v>
      </c>
      <c r="AZ22" s="68">
        <f t="shared" si="36"/>
        <v>0.15058333333333332</v>
      </c>
      <c r="BA22" s="68">
        <f t="shared" ref="BA22:BA31" si="41">IF(OR(S22="",S22="Sem monitoramento"),"VAZIO",IFERROR(S22/($AJ22*24),"-"))</f>
        <v>0.1265</v>
      </c>
      <c r="BB22" s="68">
        <f t="shared" si="31"/>
        <v>0.22750000000000001</v>
      </c>
      <c r="BC22" s="68">
        <f t="shared" si="20"/>
        <v>0.23199999999999998</v>
      </c>
      <c r="BD22" s="68">
        <f t="shared" si="35"/>
        <v>0.17354166666666668</v>
      </c>
      <c r="BE22" s="68">
        <f t="shared" si="35"/>
        <v>0.21616666666666665</v>
      </c>
      <c r="BF22" s="68">
        <f>IF(OR(X22="",X22="Sem monitoramento"),"VAZIO",IFERROR(X22/($AJ22*24),"-"))</f>
        <v>0.16704166666666664</v>
      </c>
      <c r="BG22" s="68">
        <f t="shared" si="39"/>
        <v>0.19783333333333333</v>
      </c>
      <c r="BH22" s="68">
        <f t="shared" si="21"/>
        <v>0.17066666666666669</v>
      </c>
      <c r="BI22" s="68">
        <f t="shared" si="22"/>
        <v>0.21320833333333333</v>
      </c>
      <c r="BJ22" s="68">
        <f>IF(OR(AB21="",AB21="Sem monitoramento"),"VAZIO",IFERROR(AB21/($AJ22*24),"-"))</f>
        <v>0.17141666666666666</v>
      </c>
      <c r="BK22" s="68">
        <f t="shared" si="23"/>
        <v>3.1541666666666669E-2</v>
      </c>
      <c r="BL22" s="68">
        <f t="shared" si="10"/>
        <v>6.3750000000000001E-2</v>
      </c>
      <c r="BM22" s="68">
        <f t="shared" si="11"/>
        <v>0.16550000000000001</v>
      </c>
      <c r="BN22" s="68">
        <f t="shared" si="12"/>
        <v>0.16795833333333335</v>
      </c>
      <c r="BO22" s="68">
        <f t="shared" si="24"/>
        <v>0.2265833333333333</v>
      </c>
      <c r="BP22" s="70">
        <f t="shared" si="6"/>
        <v>0.19951388888888888</v>
      </c>
      <c r="BQ22" s="198">
        <f t="shared" si="37"/>
        <v>0.168125</v>
      </c>
      <c r="BR22" s="72">
        <f t="shared" si="27"/>
        <v>16.8125</v>
      </c>
      <c r="BS22" s="73">
        <f t="shared" si="28"/>
        <v>6.8124999999999991E-2</v>
      </c>
      <c r="BT22" s="74">
        <f t="shared" si="9"/>
        <v>3.1388888888888883E-2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490.2</v>
      </c>
      <c r="E23" s="319">
        <v>497.6</v>
      </c>
      <c r="F23" s="283">
        <v>483.7</v>
      </c>
      <c r="G23" s="319">
        <v>490</v>
      </c>
      <c r="H23" s="63">
        <v>435.8</v>
      </c>
      <c r="I23" s="63">
        <v>288.5</v>
      </c>
      <c r="J23" s="63">
        <v>331.1</v>
      </c>
      <c r="K23" s="63">
        <v>418.1</v>
      </c>
      <c r="L23" s="63">
        <v>456.1</v>
      </c>
      <c r="M23" s="511">
        <v>472.4</v>
      </c>
      <c r="N23" s="63">
        <v>441.2</v>
      </c>
      <c r="O23" s="316">
        <v>462.4</v>
      </c>
      <c r="P23" s="319">
        <v>476.7</v>
      </c>
      <c r="Q23" s="355">
        <v>465.7</v>
      </c>
      <c r="R23" s="63">
        <v>301.2</v>
      </c>
      <c r="S23" s="63">
        <v>245.1</v>
      </c>
      <c r="T23" s="319">
        <v>463.7</v>
      </c>
      <c r="U23" s="319">
        <v>470</v>
      </c>
      <c r="V23" s="63">
        <v>353</v>
      </c>
      <c r="W23" s="283">
        <v>439.1</v>
      </c>
      <c r="X23" s="63">
        <v>343.7</v>
      </c>
      <c r="Y23" s="63">
        <v>411.6</v>
      </c>
      <c r="Z23" s="15">
        <v>353.8</v>
      </c>
      <c r="AA23" s="18">
        <v>432.5</v>
      </c>
      <c r="AB23" s="20">
        <v>408.5</v>
      </c>
      <c r="AC23" s="15">
        <v>58.9</v>
      </c>
      <c r="AD23" s="15">
        <v>119.2</v>
      </c>
      <c r="AE23" s="15">
        <v>334.5</v>
      </c>
      <c r="AF23" s="15">
        <v>348.9</v>
      </c>
      <c r="AG23" s="15">
        <v>475.4</v>
      </c>
      <c r="AH23" s="278">
        <v>446.7</v>
      </c>
      <c r="AI23" s="290">
        <f>SUM(D23:AH23)</f>
        <v>12215.3</v>
      </c>
      <c r="AJ23" s="118">
        <v>100</v>
      </c>
      <c r="AK23" s="121">
        <f t="shared" si="26"/>
        <v>1.1196759259259259E-2</v>
      </c>
      <c r="AL23" s="67">
        <f t="shared" si="34"/>
        <v>0.20424999999999999</v>
      </c>
      <c r="AM23" s="68">
        <f t="shared" si="34"/>
        <v>0.20733333333333334</v>
      </c>
      <c r="AN23" s="68">
        <f t="shared" si="34"/>
        <v>0.20154166666666667</v>
      </c>
      <c r="AO23" s="68">
        <f t="shared" si="34"/>
        <v>0.20416666666666666</v>
      </c>
      <c r="AP23" s="68">
        <f t="shared" si="34"/>
        <v>0.18158333333333335</v>
      </c>
      <c r="AQ23" s="68">
        <f t="shared" si="34"/>
        <v>0.12020833333333333</v>
      </c>
      <c r="AR23" s="68">
        <f t="shared" si="34"/>
        <v>0.13795833333333335</v>
      </c>
      <c r="AS23" s="68">
        <f t="shared" si="34"/>
        <v>0.17420833333333335</v>
      </c>
      <c r="AT23" s="68">
        <f t="shared" si="38"/>
        <v>0.19004166666666666</v>
      </c>
      <c r="AU23" s="68">
        <f>IF(OR(M22="",M22="Sem monitoramento"),"VAZIO",IFERROR(M22/($AJ23*24),"-"))</f>
        <v>0.23220833333333332</v>
      </c>
      <c r="AV23" s="68">
        <f t="shared" si="40"/>
        <v>0.18383333333333332</v>
      </c>
      <c r="AW23" s="68">
        <f>IF(OR(O20="",O20="Sem monitoramento"),"VAZIO",IFERROR(O20/($AJ23*24),"-"))</f>
        <v>0.19875000000000001</v>
      </c>
      <c r="AX23" s="68">
        <f t="shared" ref="AX23:AX31" si="42">IF(OR(P23="",P23="Sem monitoramento"),"VAZIO",IFERROR(P23/($AJ23*24),"-"))</f>
        <v>0.198625</v>
      </c>
      <c r="AY23" s="68">
        <f t="shared" ref="AY23:AY31" si="43">IF(OR(Q23="",Q23="Sem monitoramento"),"VAZIO",IFERROR(Q23/($AJ23*24),"-"))</f>
        <v>0.19404166666666667</v>
      </c>
      <c r="AZ23" s="68">
        <f t="shared" ref="AZ23:AZ31" si="44">IF(OR(R23="",R23="Sem monitoramento"),"VAZIO",IFERROR(R23/($AJ23*24),"-"))</f>
        <v>0.1255</v>
      </c>
      <c r="BA23" s="68">
        <f t="shared" si="41"/>
        <v>0.10212499999999999</v>
      </c>
      <c r="BB23" s="68">
        <f t="shared" si="31"/>
        <v>0.19320833333333332</v>
      </c>
      <c r="BC23" s="68">
        <f t="shared" si="20"/>
        <v>0.19583333333333333</v>
      </c>
      <c r="BD23" s="68">
        <f t="shared" si="35"/>
        <v>0.14708333333333334</v>
      </c>
      <c r="BE23" s="68">
        <f t="shared" si="35"/>
        <v>0.18295833333333333</v>
      </c>
      <c r="BF23" s="68">
        <f>IF(OR(X23="",X23="Sem monitoramento"),"VAZIO",IFERROR(X23/($AJ23*24),"-"))</f>
        <v>0.14320833333333333</v>
      </c>
      <c r="BG23" s="68">
        <f t="shared" si="39"/>
        <v>0.17150000000000001</v>
      </c>
      <c r="BH23" s="68">
        <f t="shared" si="21"/>
        <v>0.14741666666666667</v>
      </c>
      <c r="BI23" s="68">
        <f t="shared" si="22"/>
        <v>0.18020833333333333</v>
      </c>
      <c r="BJ23" s="68">
        <f t="shared" ref="BJ23:BJ31" si="45">IF(OR(AB23="",AB23="Sem monitoramento"),"VAZIO",IFERROR(AB23/($AJ23*24),"-"))</f>
        <v>0.17020833333333332</v>
      </c>
      <c r="BK23" s="68">
        <f t="shared" si="23"/>
        <v>2.4541666666666666E-2</v>
      </c>
      <c r="BL23" s="68">
        <f t="shared" si="10"/>
        <v>4.9666666666666665E-2</v>
      </c>
      <c r="BM23" s="68">
        <f t="shared" si="11"/>
        <v>0.139375</v>
      </c>
      <c r="BN23" s="68">
        <f t="shared" si="12"/>
        <v>0.145375</v>
      </c>
      <c r="BO23" s="68">
        <f t="shared" si="24"/>
        <v>0.19808333333333333</v>
      </c>
      <c r="BP23" s="70">
        <f t="shared" si="6"/>
        <v>0.16965694444444443</v>
      </c>
      <c r="BQ23" s="198">
        <f t="shared" si="37"/>
        <v>0.168125</v>
      </c>
      <c r="BR23" s="72">
        <f t="shared" si="27"/>
        <v>16.8125</v>
      </c>
      <c r="BS23" s="73">
        <f t="shared" si="28"/>
        <v>3.3416666666666678E-2</v>
      </c>
      <c r="BT23" s="74">
        <f t="shared" si="9"/>
        <v>1.531944444444433E-3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f>714.4+524.7+684.2</f>
        <v>1923.3</v>
      </c>
      <c r="E24" s="319">
        <f>678+530.4+695.2</f>
        <v>1903.6000000000001</v>
      </c>
      <c r="F24" s="63">
        <v>1859.4</v>
      </c>
      <c r="G24" s="319">
        <f>676.5+522.2+682.7</f>
        <v>1881.4</v>
      </c>
      <c r="H24" s="63">
        <v>1660.9</v>
      </c>
      <c r="I24" s="63">
        <v>1133.5</v>
      </c>
      <c r="J24" s="63">
        <v>1287</v>
      </c>
      <c r="K24" s="63">
        <v>1632.8</v>
      </c>
      <c r="L24" s="63">
        <f>664.6+483.8+637.4</f>
        <v>1785.8000000000002</v>
      </c>
      <c r="M24" s="319">
        <v>1832.1</v>
      </c>
      <c r="N24" s="283">
        <v>1712.2</v>
      </c>
      <c r="O24" s="283">
        <v>1822.2</v>
      </c>
      <c r="P24" s="355">
        <v>1841</v>
      </c>
      <c r="Q24" s="355">
        <f>681.7+499.7+651.1</f>
        <v>1832.5</v>
      </c>
      <c r="R24" s="63">
        <v>1185.4000000000001</v>
      </c>
      <c r="S24" s="63">
        <v>966</v>
      </c>
      <c r="T24" s="319">
        <v>1790.6</v>
      </c>
      <c r="U24" s="319">
        <v>1840</v>
      </c>
      <c r="V24" s="31">
        <f>503.4+381.9+493.6</f>
        <v>1378.9</v>
      </c>
      <c r="W24" s="283">
        <v>1705.4</v>
      </c>
      <c r="X24" s="316">
        <v>1337.3</v>
      </c>
      <c r="Y24" s="63">
        <v>1590.9</v>
      </c>
      <c r="Z24" s="15">
        <v>1365.9</v>
      </c>
      <c r="AA24" s="18">
        <f>617.7+461.8+607.1</f>
        <v>1686.6</v>
      </c>
      <c r="AB24" s="323">
        <v>1590.4</v>
      </c>
      <c r="AC24" s="221">
        <v>232.2</v>
      </c>
      <c r="AD24" s="15">
        <v>467.4</v>
      </c>
      <c r="AE24" s="15">
        <v>1318.1</v>
      </c>
      <c r="AF24" s="15">
        <v>1350</v>
      </c>
      <c r="AG24" s="15">
        <v>1846.9</v>
      </c>
      <c r="AH24" s="278">
        <v>1733.7</v>
      </c>
      <c r="AI24" s="290">
        <f>SUM(D24:AH24)</f>
        <v>47493.4</v>
      </c>
      <c r="AJ24" s="118">
        <v>383</v>
      </c>
      <c r="AK24" s="121">
        <f t="shared" si="26"/>
        <v>1.1238033072236728E-2</v>
      </c>
      <c r="AL24" s="67">
        <f t="shared" si="34"/>
        <v>0.20923629242819844</v>
      </c>
      <c r="AM24" s="68">
        <f t="shared" si="34"/>
        <v>0.20709312445604874</v>
      </c>
      <c r="AN24" s="68">
        <f t="shared" si="34"/>
        <v>0.20228459530026111</v>
      </c>
      <c r="AO24" s="68">
        <f t="shared" si="34"/>
        <v>0.20467798085291558</v>
      </c>
      <c r="AP24" s="68">
        <f t="shared" si="34"/>
        <v>0.18068973020017406</v>
      </c>
      <c r="AQ24" s="68">
        <f t="shared" si="34"/>
        <v>0.12331375108790252</v>
      </c>
      <c r="AR24" s="68">
        <f t="shared" si="34"/>
        <v>0.1400130548302872</v>
      </c>
      <c r="AS24" s="68">
        <f t="shared" si="34"/>
        <v>0.17763272410791991</v>
      </c>
      <c r="AT24" s="68">
        <f t="shared" si="38"/>
        <v>0.19427763272410795</v>
      </c>
      <c r="AU24" s="68">
        <f t="shared" ref="AU24:AU31" si="46">IF(OR(M24="",M24="Sem monitoramento"),"VAZIO",IFERROR(M24/($AJ24*24),"-"))</f>
        <v>0.19931462140992165</v>
      </c>
      <c r="AV24" s="68">
        <f t="shared" si="40"/>
        <v>0.18627067014795476</v>
      </c>
      <c r="AW24" s="68">
        <f t="shared" ref="AW24:AW31" si="47">IF(OR(O24="",O24="Sem monitoramento"),"VAZIO",IFERROR(O24/($AJ24*24),"-"))</f>
        <v>0.19823759791122716</v>
      </c>
      <c r="AX24" s="68">
        <f t="shared" si="42"/>
        <v>0.20028285465622281</v>
      </c>
      <c r="AY24" s="68">
        <f t="shared" si="43"/>
        <v>0.19935813751087902</v>
      </c>
      <c r="AZ24" s="68">
        <f t="shared" si="44"/>
        <v>0.12895996518711925</v>
      </c>
      <c r="BA24" s="68">
        <f t="shared" si="41"/>
        <v>0.10509138381201044</v>
      </c>
      <c r="BB24" s="68">
        <f t="shared" si="31"/>
        <v>0.19479982593559617</v>
      </c>
      <c r="BC24" s="68">
        <f t="shared" si="20"/>
        <v>0.20017406440382943</v>
      </c>
      <c r="BD24" s="68" t="e">
        <f>IF(OR(#REF!="",#REF!="Sem monitoramento"),"VAZIO",IFERROR(#REF!/($AJ24*24),"-"))</f>
        <v>#REF!</v>
      </c>
      <c r="BE24" s="68">
        <f t="shared" ref="BE24:BE31" si="48">IF(OR(W24="",W24="Sem monitoramento"),"VAZIO",IFERROR(W24/($AJ24*24),"-"))</f>
        <v>0.18553089643167972</v>
      </c>
      <c r="BF24" s="68" t="e">
        <f>IF(OR(#REF!="",#REF!="Sem monitoramento"),"VAZIO",IFERROR(#REF!/($AJ24*24),"-"))</f>
        <v>#REF!</v>
      </c>
      <c r="BG24" s="68">
        <f t="shared" si="39"/>
        <v>0.17307441253263708</v>
      </c>
      <c r="BH24" s="68">
        <f t="shared" si="21"/>
        <v>0.14859660574412534</v>
      </c>
      <c r="BI24" s="68">
        <f t="shared" si="22"/>
        <v>0.18348563968668408</v>
      </c>
      <c r="BJ24" s="68">
        <f t="shared" si="45"/>
        <v>0.17302001740644038</v>
      </c>
      <c r="BK24" s="68">
        <f t="shared" si="23"/>
        <v>2.5261096605744125E-2</v>
      </c>
      <c r="BL24" s="68">
        <f t="shared" si="10"/>
        <v>5.0848563968668402E-2</v>
      </c>
      <c r="BM24" s="68">
        <f t="shared" si="11"/>
        <v>0.14339643167972149</v>
      </c>
      <c r="BN24" s="68">
        <f t="shared" si="12"/>
        <v>0.14686684073107051</v>
      </c>
      <c r="BO24" s="68">
        <f t="shared" si="24"/>
        <v>0.2009247171453438</v>
      </c>
      <c r="BP24" s="70">
        <f t="shared" si="6"/>
        <v>0.17222729910066725</v>
      </c>
      <c r="BQ24" s="198">
        <f t="shared" si="37"/>
        <v>0.168125</v>
      </c>
      <c r="BR24" s="72">
        <f>AJ24*BQ24</f>
        <v>64.391874999999999</v>
      </c>
      <c r="BS24" s="73">
        <f t="shared" si="28"/>
        <v>3.4159595300261109E-2</v>
      </c>
      <c r="BT24" s="74">
        <f t="shared" si="9"/>
        <v>4.102299100667256E-3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546.6</v>
      </c>
      <c r="E25" s="319">
        <v>581.79999999999995</v>
      </c>
      <c r="F25" s="63">
        <v>556.9</v>
      </c>
      <c r="G25" s="63">
        <v>508.5</v>
      </c>
      <c r="H25" s="319">
        <v>586.29999999999995</v>
      </c>
      <c r="I25" s="319">
        <v>582.70000000000005</v>
      </c>
      <c r="J25" s="319">
        <v>566.1</v>
      </c>
      <c r="K25" s="319">
        <v>576.1</v>
      </c>
      <c r="L25" s="63">
        <v>532.70000000000005</v>
      </c>
      <c r="M25" s="319">
        <v>547.79999999999995</v>
      </c>
      <c r="N25" s="63">
        <v>473.3</v>
      </c>
      <c r="O25" s="319">
        <v>560.29999999999995</v>
      </c>
      <c r="P25" s="319">
        <v>564.20000000000005</v>
      </c>
      <c r="Q25" s="355">
        <v>490.3</v>
      </c>
      <c r="R25" s="63">
        <v>160.6</v>
      </c>
      <c r="S25" s="63">
        <v>369.3</v>
      </c>
      <c r="T25" s="319">
        <v>546.4</v>
      </c>
      <c r="U25" s="319">
        <v>553.1</v>
      </c>
      <c r="V25" s="283">
        <v>440.7</v>
      </c>
      <c r="W25" s="283">
        <v>446.7</v>
      </c>
      <c r="X25" s="63">
        <v>174.1</v>
      </c>
      <c r="Y25" s="63">
        <v>494.4</v>
      </c>
      <c r="Z25" s="521">
        <v>559.20000000000005</v>
      </c>
      <c r="AA25" s="18">
        <v>511.1</v>
      </c>
      <c r="AB25" s="20">
        <v>292.10000000000002</v>
      </c>
      <c r="AC25" s="15">
        <v>94.6</v>
      </c>
      <c r="AD25" s="15">
        <v>83.3</v>
      </c>
      <c r="AE25" s="15">
        <v>482.6</v>
      </c>
      <c r="AF25" s="15">
        <v>112.6</v>
      </c>
      <c r="AG25" s="15">
        <v>552.6</v>
      </c>
      <c r="AH25" s="278">
        <v>464.4</v>
      </c>
      <c r="AI25" s="290">
        <f>SUM(D25:AH25)</f>
        <v>14011.400000000003</v>
      </c>
      <c r="AJ25" s="118">
        <v>100</v>
      </c>
      <c r="AK25" s="121">
        <f t="shared" si="26"/>
        <v>1.2891203703703703E-2</v>
      </c>
      <c r="AL25" s="67">
        <f t="shared" si="34"/>
        <v>0.22775000000000001</v>
      </c>
      <c r="AM25" s="68">
        <f t="shared" si="34"/>
        <v>0.24241666666666664</v>
      </c>
      <c r="AN25" s="68">
        <f t="shared" si="34"/>
        <v>0.23204166666666665</v>
      </c>
      <c r="AO25" s="68">
        <f t="shared" si="34"/>
        <v>0.21187500000000001</v>
      </c>
      <c r="AP25" s="68">
        <f t="shared" si="34"/>
        <v>0.24429166666666666</v>
      </c>
      <c r="AQ25" s="68">
        <f t="shared" si="34"/>
        <v>0.24279166666666668</v>
      </c>
      <c r="AR25" s="68">
        <f t="shared" si="34"/>
        <v>0.235875</v>
      </c>
      <c r="AS25" s="68">
        <f t="shared" si="34"/>
        <v>0.24004166666666668</v>
      </c>
      <c r="AT25" s="68">
        <f t="shared" si="38"/>
        <v>0.22195833333333334</v>
      </c>
      <c r="AU25" s="68">
        <f t="shared" si="46"/>
        <v>0.22824999999999998</v>
      </c>
      <c r="AV25" s="68" t="e">
        <f>IF(OR(#REF!="",#REF!="Sem monitoramento"),"VAZIO",IFERROR(#REF!/($AJ25*24),"-"))</f>
        <v>#REF!</v>
      </c>
      <c r="AW25" s="68">
        <f t="shared" si="47"/>
        <v>0.23345833333333332</v>
      </c>
      <c r="AX25" s="68">
        <f t="shared" si="42"/>
        <v>0.23508333333333334</v>
      </c>
      <c r="AY25" s="68">
        <f t="shared" si="43"/>
        <v>0.20429166666666668</v>
      </c>
      <c r="AZ25" s="68">
        <f t="shared" si="44"/>
        <v>6.6916666666666666E-2</v>
      </c>
      <c r="BA25" s="68">
        <f t="shared" si="41"/>
        <v>0.15387500000000001</v>
      </c>
      <c r="BB25" s="68">
        <f t="shared" si="31"/>
        <v>0.22766666666666666</v>
      </c>
      <c r="BC25" s="68">
        <f t="shared" si="20"/>
        <v>0.23045833333333335</v>
      </c>
      <c r="BD25" s="68">
        <f t="shared" ref="BD25:BD31" si="49">IF(OR(V25="",V25="Sem monitoramento"),"VAZIO",IFERROR(V25/($AJ25*24),"-"))</f>
        <v>0.18362499999999998</v>
      </c>
      <c r="BE25" s="68" t="e">
        <f>IF(OR(#REF!="",#REF!="Sem monitoramento"),"VAZIO",IFERROR(#REF!/($AJ25*24),"-"))</f>
        <v>#REF!</v>
      </c>
      <c r="BF25" s="68">
        <f t="shared" ref="BF25:BF31" si="50">IF(OR(X25="",X25="Sem monitoramento"),"VAZIO",IFERROR(X25/($AJ25*24),"-"))</f>
        <v>7.2541666666666671E-2</v>
      </c>
      <c r="BG25" s="68">
        <f t="shared" si="39"/>
        <v>0.20599999999999999</v>
      </c>
      <c r="BH25" s="68">
        <f>IF(OR(Z26="",Z26="Sem monitoramento"),"VAZIO",IFERROR(Z26/($AJ25*24),"-"))</f>
        <v>0.17708333333333334</v>
      </c>
      <c r="BI25" s="68">
        <f t="shared" si="22"/>
        <v>0.21295833333333333</v>
      </c>
      <c r="BJ25" s="68">
        <f t="shared" si="45"/>
        <v>0.12170833333333335</v>
      </c>
      <c r="BK25" s="68">
        <f t="shared" si="23"/>
        <v>3.9416666666666662E-2</v>
      </c>
      <c r="BL25" s="68">
        <f t="shared" si="10"/>
        <v>3.4708333333333334E-2</v>
      </c>
      <c r="BM25" s="68">
        <f t="shared" si="11"/>
        <v>0.20108333333333334</v>
      </c>
      <c r="BN25" s="68">
        <f t="shared" si="12"/>
        <v>4.6916666666666662E-2</v>
      </c>
      <c r="BO25" s="68">
        <f t="shared" si="24"/>
        <v>0.23025000000000001</v>
      </c>
      <c r="BP25" s="70">
        <f t="shared" si="6"/>
        <v>0.19460277777777782</v>
      </c>
      <c r="BQ25" s="198">
        <f t="shared" si="37"/>
        <v>0.168125</v>
      </c>
      <c r="BR25" s="72">
        <f t="shared" si="27"/>
        <v>16.8125</v>
      </c>
      <c r="BS25" s="73">
        <f t="shared" si="28"/>
        <v>6.3916666666666649E-2</v>
      </c>
      <c r="BT25" s="74">
        <f t="shared" si="9"/>
        <v>2.6477777777777822E-2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473.3</v>
      </c>
      <c r="E26" s="355">
        <v>490.7</v>
      </c>
      <c r="F26" s="63">
        <v>475.9</v>
      </c>
      <c r="G26" s="319">
        <v>499.4</v>
      </c>
      <c r="H26" s="319">
        <v>511.2</v>
      </c>
      <c r="I26" s="283">
        <v>267.3</v>
      </c>
      <c r="J26" s="63">
        <v>404.3</v>
      </c>
      <c r="K26" s="513">
        <v>418</v>
      </c>
      <c r="L26" s="513">
        <v>84.3</v>
      </c>
      <c r="M26" s="319">
        <v>481.7</v>
      </c>
      <c r="N26" s="316">
        <v>474.9</v>
      </c>
      <c r="O26" s="63">
        <v>458.1</v>
      </c>
      <c r="P26" s="319">
        <v>490.5</v>
      </c>
      <c r="Q26" s="283">
        <v>450.3</v>
      </c>
      <c r="R26" s="63">
        <v>346.1</v>
      </c>
      <c r="S26" s="63">
        <v>355.3</v>
      </c>
      <c r="T26" s="63">
        <v>461.6</v>
      </c>
      <c r="U26" s="63">
        <v>471.6</v>
      </c>
      <c r="V26" s="283">
        <v>385.3</v>
      </c>
      <c r="W26" s="519">
        <v>445.7</v>
      </c>
      <c r="X26" s="63">
        <v>323.60000000000002</v>
      </c>
      <c r="Y26" s="63">
        <v>366.3</v>
      </c>
      <c r="Z26" s="221">
        <v>425</v>
      </c>
      <c r="AA26" s="320">
        <v>398.4</v>
      </c>
      <c r="AB26" s="20">
        <v>221.5</v>
      </c>
      <c r="AC26" s="15">
        <v>39.1</v>
      </c>
      <c r="AD26" s="221">
        <v>169.4</v>
      </c>
      <c r="AE26" s="15">
        <v>397.8</v>
      </c>
      <c r="AF26" s="283">
        <v>419.3</v>
      </c>
      <c r="AG26" s="221">
        <v>412.1</v>
      </c>
      <c r="AH26" s="507">
        <v>484.6</v>
      </c>
      <c r="AI26" s="290">
        <f t="shared" si="30"/>
        <v>11618</v>
      </c>
      <c r="AJ26" s="118">
        <v>100</v>
      </c>
      <c r="AK26" s="121">
        <f t="shared" si="26"/>
        <v>1.1016203703703703E-2</v>
      </c>
      <c r="AL26" s="67">
        <f t="shared" ref="AL26:AO31" si="51">IF(OR(D26="",D26="Sem monitoramento"),"VAZIO",IFERROR(D26/($AJ26*24),"-"))</f>
        <v>0.19720833333333335</v>
      </c>
      <c r="AM26" s="68">
        <f t="shared" si="51"/>
        <v>0.20445833333333333</v>
      </c>
      <c r="AN26" s="68">
        <f t="shared" si="51"/>
        <v>0.19829166666666664</v>
      </c>
      <c r="AO26" s="68">
        <f t="shared" si="51"/>
        <v>0.20808333333333331</v>
      </c>
      <c r="AP26" s="68" t="e">
        <f>IF(OR(#REF!="",#REF!="Sem monitoramento"),"VAZIO",IFERROR(#REF!/($AJ26*24),"-"))</f>
        <v>#REF!</v>
      </c>
      <c r="AQ26" s="68">
        <f t="shared" ref="AQ26:AS31" si="52">IF(OR(I26="",I26="Sem monitoramento"),"VAZIO",IFERROR(I26/($AJ26*24),"-"))</f>
        <v>0.111375</v>
      </c>
      <c r="AR26" s="68">
        <f t="shared" si="52"/>
        <v>0.16845833333333335</v>
      </c>
      <c r="AS26" s="68">
        <f t="shared" si="52"/>
        <v>0.17416666666666666</v>
      </c>
      <c r="AT26" s="68">
        <f t="shared" si="38"/>
        <v>3.5124999999999997E-2</v>
      </c>
      <c r="AU26" s="68">
        <f t="shared" si="46"/>
        <v>0.20070833333333332</v>
      </c>
      <c r="AV26" s="68">
        <f>IF(OR(N25="",N25="Sem monitoramento"),"VAZIO",IFERROR(N25/($AJ26*24),"-"))</f>
        <v>0.19720833333333335</v>
      </c>
      <c r="AW26" s="68">
        <f t="shared" si="47"/>
        <v>0.19087500000000002</v>
      </c>
      <c r="AX26" s="68">
        <f t="shared" si="42"/>
        <v>0.204375</v>
      </c>
      <c r="AY26" s="68">
        <f t="shared" si="43"/>
        <v>0.18762500000000001</v>
      </c>
      <c r="AZ26" s="68">
        <f t="shared" si="44"/>
        <v>0.14420833333333336</v>
      </c>
      <c r="BA26" s="68">
        <f t="shared" si="41"/>
        <v>0.14804166666666668</v>
      </c>
      <c r="BB26" s="68">
        <f t="shared" si="31"/>
        <v>0.19233333333333336</v>
      </c>
      <c r="BC26" s="68">
        <f t="shared" si="20"/>
        <v>0.19650000000000001</v>
      </c>
      <c r="BD26" s="68">
        <f t="shared" si="49"/>
        <v>0.16054166666666667</v>
      </c>
      <c r="BE26" s="68">
        <f>IF(OR(W25="",W25="Sem monitoramento"),"VAZIO",IFERROR(W25/($AJ26*24),"-"))</f>
        <v>0.18612499999999998</v>
      </c>
      <c r="BF26" s="68">
        <f t="shared" si="50"/>
        <v>0.13483333333333333</v>
      </c>
      <c r="BG26" s="68">
        <f t="shared" si="39"/>
        <v>0.15262500000000001</v>
      </c>
      <c r="BH26" s="68" t="e">
        <f>IF(OR(#REF!="",#REF!="Sem monitoramento"),"VAZIO",IFERROR(#REF!/($AJ26*24),"-"))</f>
        <v>#REF!</v>
      </c>
      <c r="BI26" s="68">
        <f t="shared" si="22"/>
        <v>0.16599999999999998</v>
      </c>
      <c r="BJ26" s="68">
        <f t="shared" si="45"/>
        <v>9.2291666666666661E-2</v>
      </c>
      <c r="BK26" s="68">
        <f t="shared" si="23"/>
        <v>1.6291666666666666E-2</v>
      </c>
      <c r="BL26" s="68">
        <f t="shared" si="10"/>
        <v>7.0583333333333331E-2</v>
      </c>
      <c r="BM26" s="68">
        <f t="shared" si="11"/>
        <v>0.16575000000000001</v>
      </c>
      <c r="BN26" s="68">
        <f t="shared" si="12"/>
        <v>0.17470833333333333</v>
      </c>
      <c r="BO26" s="68">
        <f t="shared" si="24"/>
        <v>0.17170833333333335</v>
      </c>
      <c r="BP26" s="70">
        <f t="shared" si="6"/>
        <v>0.16136111111111112</v>
      </c>
      <c r="BQ26" s="198">
        <f t="shared" si="37"/>
        <v>0.168125</v>
      </c>
      <c r="BR26" s="72">
        <f t="shared" si="27"/>
        <v>16.8125</v>
      </c>
      <c r="BS26" s="73">
        <f t="shared" si="28"/>
        <v>3.0166666666666647E-2</v>
      </c>
      <c r="BT26" s="74">
        <f t="shared" si="9"/>
        <v>-6.7638888888888749E-3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495.6</v>
      </c>
      <c r="E27" s="319">
        <v>494.1</v>
      </c>
      <c r="F27" s="319">
        <v>489.3</v>
      </c>
      <c r="G27" s="508">
        <v>493.3</v>
      </c>
      <c r="H27" s="511">
        <v>508.5</v>
      </c>
      <c r="I27" s="283">
        <v>478.8</v>
      </c>
      <c r="J27" s="283">
        <v>502.8</v>
      </c>
      <c r="K27" s="283">
        <v>482.9</v>
      </c>
      <c r="L27" s="63">
        <v>377.4</v>
      </c>
      <c r="M27" s="63">
        <v>459.7</v>
      </c>
      <c r="N27" s="63">
        <v>475.7</v>
      </c>
      <c r="O27" s="63">
        <v>426.1</v>
      </c>
      <c r="P27" s="319">
        <v>475.3</v>
      </c>
      <c r="Q27" s="283">
        <v>411.9</v>
      </c>
      <c r="R27" s="63">
        <v>184</v>
      </c>
      <c r="S27" s="63">
        <v>337.5</v>
      </c>
      <c r="T27" s="355">
        <v>454</v>
      </c>
      <c r="U27" s="355">
        <v>448.1</v>
      </c>
      <c r="V27" s="283">
        <v>372.6</v>
      </c>
      <c r="W27" s="283">
        <v>428.2</v>
      </c>
      <c r="X27" s="283">
        <v>85.4</v>
      </c>
      <c r="Y27" s="283">
        <v>431.6</v>
      </c>
      <c r="Z27" s="388">
        <v>457.4</v>
      </c>
      <c r="AA27" s="320">
        <v>403.2</v>
      </c>
      <c r="AB27" s="323">
        <v>258.3</v>
      </c>
      <c r="AC27" s="283">
        <v>47.3</v>
      </c>
      <c r="AD27" s="221">
        <v>113.5</v>
      </c>
      <c r="AE27" s="221">
        <v>357.3</v>
      </c>
      <c r="AF27" s="15">
        <v>251.6</v>
      </c>
      <c r="AG27" s="15">
        <v>364.9</v>
      </c>
      <c r="AH27" s="278">
        <v>331.3</v>
      </c>
      <c r="AI27" s="290">
        <f t="shared" si="30"/>
        <v>11566.3</v>
      </c>
      <c r="AJ27" s="118">
        <v>100</v>
      </c>
      <c r="AK27" s="121">
        <f t="shared" si="26"/>
        <v>1.1326388888888889E-2</v>
      </c>
      <c r="AL27" s="67">
        <f t="shared" si="51"/>
        <v>0.20650000000000002</v>
      </c>
      <c r="AM27" s="68">
        <f t="shared" si="51"/>
        <v>0.205875</v>
      </c>
      <c r="AN27" s="68">
        <f t="shared" si="51"/>
        <v>0.203875</v>
      </c>
      <c r="AO27" s="68">
        <f t="shared" si="51"/>
        <v>0.20554166666666668</v>
      </c>
      <c r="AP27" s="68">
        <f>IF(OR(H26="",H26="Sem monitoramento"),"VAZIO",IFERROR(H26/($AJ27*24),"-"))</f>
        <v>0.21299999999999999</v>
      </c>
      <c r="AQ27" s="68">
        <f t="shared" si="52"/>
        <v>0.19950000000000001</v>
      </c>
      <c r="AR27" s="68">
        <f t="shared" si="52"/>
        <v>0.20949999999999999</v>
      </c>
      <c r="AS27" s="68">
        <f t="shared" si="52"/>
        <v>0.20120833333333332</v>
      </c>
      <c r="AT27" s="68">
        <f t="shared" si="38"/>
        <v>0.15725</v>
      </c>
      <c r="AU27" s="68">
        <f t="shared" si="46"/>
        <v>0.19154166666666667</v>
      </c>
      <c r="AV27" s="68">
        <f t="shared" si="40"/>
        <v>0.19820833333333332</v>
      </c>
      <c r="AW27" s="68">
        <f t="shared" si="47"/>
        <v>0.17754166666666668</v>
      </c>
      <c r="AX27" s="68">
        <f t="shared" si="42"/>
        <v>0.19804166666666667</v>
      </c>
      <c r="AY27" s="68">
        <f t="shared" si="43"/>
        <v>0.171625</v>
      </c>
      <c r="AZ27" s="68">
        <f t="shared" si="44"/>
        <v>7.6666666666666661E-2</v>
      </c>
      <c r="BA27" s="68">
        <f t="shared" si="41"/>
        <v>0.140625</v>
      </c>
      <c r="BB27" s="68">
        <f t="shared" si="31"/>
        <v>0.18916666666666668</v>
      </c>
      <c r="BC27" s="68">
        <f t="shared" si="20"/>
        <v>0.18670833333333334</v>
      </c>
      <c r="BD27" s="68">
        <f t="shared" si="49"/>
        <v>0.15525</v>
      </c>
      <c r="BE27" s="68">
        <f t="shared" si="48"/>
        <v>0.17841666666666667</v>
      </c>
      <c r="BF27" s="68">
        <f t="shared" si="50"/>
        <v>3.5583333333333335E-2</v>
      </c>
      <c r="BG27" s="68">
        <f t="shared" si="39"/>
        <v>0.17983333333333335</v>
      </c>
      <c r="BH27" s="68">
        <f t="shared" si="21"/>
        <v>0.19058333333333333</v>
      </c>
      <c r="BI27" s="68">
        <f t="shared" si="22"/>
        <v>0.16799999999999998</v>
      </c>
      <c r="BJ27" s="68">
        <f t="shared" si="45"/>
        <v>0.107625</v>
      </c>
      <c r="BK27" s="68">
        <f t="shared" si="23"/>
        <v>1.9708333333333331E-2</v>
      </c>
      <c r="BL27" s="68">
        <f t="shared" si="10"/>
        <v>4.7291666666666669E-2</v>
      </c>
      <c r="BM27" s="68">
        <f t="shared" si="11"/>
        <v>0.14887500000000001</v>
      </c>
      <c r="BN27" s="68">
        <f t="shared" si="12"/>
        <v>0.10483333333333333</v>
      </c>
      <c r="BO27" s="68">
        <f t="shared" si="24"/>
        <v>0.15204166666666666</v>
      </c>
      <c r="BP27" s="70">
        <f t="shared" si="6"/>
        <v>0.16064305555555555</v>
      </c>
      <c r="BQ27" s="198">
        <f t="shared" si="37"/>
        <v>0.168125</v>
      </c>
      <c r="BR27" s="72">
        <f t="shared" si="27"/>
        <v>16.8125</v>
      </c>
      <c r="BS27" s="73">
        <f t="shared" si="28"/>
        <v>3.5750000000000004E-2</v>
      </c>
      <c r="BT27" s="74">
        <f t="shared" si="9"/>
        <v>-7.4819444444444438E-3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478.8</v>
      </c>
      <c r="E28" s="63">
        <v>477.6</v>
      </c>
      <c r="F28" s="319">
        <v>472.5</v>
      </c>
      <c r="G28" s="508">
        <v>476.2</v>
      </c>
      <c r="H28" s="319">
        <v>485.4</v>
      </c>
      <c r="I28" s="283">
        <v>460.8</v>
      </c>
      <c r="J28" s="283">
        <v>485.6</v>
      </c>
      <c r="K28" s="283">
        <v>467.7</v>
      </c>
      <c r="L28" s="63">
        <v>424</v>
      </c>
      <c r="M28" s="63">
        <v>364.6</v>
      </c>
      <c r="N28" s="63">
        <v>454.6</v>
      </c>
      <c r="O28" s="63">
        <v>418.5</v>
      </c>
      <c r="P28" s="319">
        <v>455.7</v>
      </c>
      <c r="Q28" s="283">
        <v>390.2</v>
      </c>
      <c r="R28" s="63">
        <v>174.1</v>
      </c>
      <c r="S28" s="63">
        <v>290.3</v>
      </c>
      <c r="T28" s="355">
        <v>433.7</v>
      </c>
      <c r="U28" s="355">
        <v>425.3</v>
      </c>
      <c r="V28" s="283">
        <v>303.10000000000002</v>
      </c>
      <c r="W28" s="283">
        <v>404.3</v>
      </c>
      <c r="X28" s="283">
        <v>81.5</v>
      </c>
      <c r="Y28" s="283">
        <v>404.1</v>
      </c>
      <c r="Z28" s="388">
        <v>432.6</v>
      </c>
      <c r="AA28" s="320">
        <v>386.2</v>
      </c>
      <c r="AB28" s="323">
        <v>261.10000000000002</v>
      </c>
      <c r="AC28" s="283">
        <v>48.6</v>
      </c>
      <c r="AD28" s="221">
        <v>105.8</v>
      </c>
      <c r="AE28" s="221">
        <v>343.3</v>
      </c>
      <c r="AF28" s="15">
        <v>217.8</v>
      </c>
      <c r="AG28" s="15">
        <v>295.2</v>
      </c>
      <c r="AH28" s="278">
        <v>309.60000000000002</v>
      </c>
      <c r="AI28" s="290">
        <f t="shared" si="30"/>
        <v>10919.200000000003</v>
      </c>
      <c r="AJ28" s="301">
        <v>100</v>
      </c>
      <c r="AK28" s="121">
        <f t="shared" si="26"/>
        <v>1.0937499999999999E-2</v>
      </c>
      <c r="AL28" s="302">
        <f t="shared" si="51"/>
        <v>0.19950000000000001</v>
      </c>
      <c r="AM28" s="303">
        <f t="shared" si="51"/>
        <v>0.19900000000000001</v>
      </c>
      <c r="AN28" s="303">
        <f t="shared" si="51"/>
        <v>0.19687499999999999</v>
      </c>
      <c r="AO28" s="303">
        <f t="shared" si="51"/>
        <v>0.19841666666666666</v>
      </c>
      <c r="AP28" s="303">
        <f>IF(OR(H28="",H28="Sem monitoramento"),"VAZIO",IFERROR(H28/($AJ28*24),"-"))</f>
        <v>0.20224999999999999</v>
      </c>
      <c r="AQ28" s="303">
        <f t="shared" si="52"/>
        <v>0.192</v>
      </c>
      <c r="AR28" s="303">
        <f t="shared" si="52"/>
        <v>0.20233333333333334</v>
      </c>
      <c r="AS28" s="303">
        <f t="shared" si="52"/>
        <v>0.19487499999999999</v>
      </c>
      <c r="AT28" s="303">
        <f t="shared" si="38"/>
        <v>0.17666666666666667</v>
      </c>
      <c r="AU28" s="303">
        <f t="shared" si="46"/>
        <v>0.15191666666666667</v>
      </c>
      <c r="AV28" s="303">
        <f t="shared" si="40"/>
        <v>0.18941666666666668</v>
      </c>
      <c r="AW28" s="303">
        <f t="shared" si="47"/>
        <v>0.174375</v>
      </c>
      <c r="AX28" s="303">
        <f t="shared" si="42"/>
        <v>0.18987499999999999</v>
      </c>
      <c r="AY28" s="303">
        <f t="shared" si="43"/>
        <v>0.16258333333333333</v>
      </c>
      <c r="AZ28" s="303">
        <f t="shared" si="44"/>
        <v>7.2541666666666671E-2</v>
      </c>
      <c r="BA28" s="303">
        <f t="shared" si="41"/>
        <v>0.12095833333333333</v>
      </c>
      <c r="BB28" s="303">
        <f t="shared" si="31"/>
        <v>0.18070833333333333</v>
      </c>
      <c r="BC28" s="303">
        <f t="shared" si="20"/>
        <v>0.17720833333333333</v>
      </c>
      <c r="BD28" s="303">
        <f t="shared" si="49"/>
        <v>0.12629166666666666</v>
      </c>
      <c r="BE28" s="303">
        <f t="shared" si="48"/>
        <v>0.16845833333333335</v>
      </c>
      <c r="BF28" s="303">
        <f t="shared" si="50"/>
        <v>3.3958333333333333E-2</v>
      </c>
      <c r="BG28" s="303">
        <f t="shared" si="39"/>
        <v>0.168375</v>
      </c>
      <c r="BH28" s="303">
        <f t="shared" si="21"/>
        <v>0.18025000000000002</v>
      </c>
      <c r="BI28" s="303">
        <f t="shared" si="22"/>
        <v>0.16091666666666665</v>
      </c>
      <c r="BJ28" s="303">
        <f t="shared" si="45"/>
        <v>0.10879166666666668</v>
      </c>
      <c r="BK28" s="303">
        <f t="shared" si="23"/>
        <v>2.0250000000000001E-2</v>
      </c>
      <c r="BL28" s="303">
        <f t="shared" si="10"/>
        <v>4.4083333333333335E-2</v>
      </c>
      <c r="BM28" s="303">
        <f t="shared" si="11"/>
        <v>0.14304166666666668</v>
      </c>
      <c r="BN28" s="303">
        <f t="shared" si="12"/>
        <v>9.0750000000000011E-2</v>
      </c>
      <c r="BO28" s="303">
        <f t="shared" si="24"/>
        <v>0.123</v>
      </c>
      <c r="BP28" s="304">
        <f t="shared" si="6"/>
        <v>0.1516555555555556</v>
      </c>
      <c r="BQ28" s="198">
        <f t="shared" si="37"/>
        <v>0.168125</v>
      </c>
      <c r="BR28" s="72">
        <f t="shared" si="27"/>
        <v>16.8125</v>
      </c>
      <c r="BS28" s="73">
        <f t="shared" si="28"/>
        <v>2.8749999999999998E-2</v>
      </c>
      <c r="BT28" s="74">
        <f>BP28-BQ28</f>
        <v>-1.6469444444444398E-2</v>
      </c>
      <c r="BU28" s="15" t="s">
        <v>440</v>
      </c>
      <c r="BV28" s="3"/>
      <c r="BW28" s="2"/>
      <c r="BX28" s="2"/>
    </row>
    <row r="29" spans="2:76" ht="15" thickBot="1" x14ac:dyDescent="0.35">
      <c r="B29" s="775"/>
      <c r="C29" s="326" t="s">
        <v>289</v>
      </c>
      <c r="D29" s="305">
        <v>172.8</v>
      </c>
      <c r="E29" s="282">
        <v>87.9</v>
      </c>
      <c r="F29" s="504">
        <v>151.1</v>
      </c>
      <c r="G29" s="510">
        <v>0</v>
      </c>
      <c r="H29" s="504">
        <v>0</v>
      </c>
      <c r="I29" s="312">
        <v>0</v>
      </c>
      <c r="J29" s="312">
        <v>0</v>
      </c>
      <c r="K29" s="282">
        <v>0</v>
      </c>
      <c r="L29" s="282">
        <v>120.1</v>
      </c>
      <c r="M29" s="283">
        <v>412</v>
      </c>
      <c r="N29" s="283">
        <v>447.5</v>
      </c>
      <c r="O29" s="283">
        <v>420.4</v>
      </c>
      <c r="P29" s="355">
        <v>448.7</v>
      </c>
      <c r="Q29" s="283">
        <v>391.6</v>
      </c>
      <c r="R29" s="283">
        <v>168.2</v>
      </c>
      <c r="S29" s="283">
        <v>294.8</v>
      </c>
      <c r="T29" s="355">
        <v>436.1</v>
      </c>
      <c r="U29" s="355">
        <v>432.6</v>
      </c>
      <c r="V29" s="518">
        <v>347.3</v>
      </c>
      <c r="W29" s="283">
        <v>411.3</v>
      </c>
      <c r="X29" s="283">
        <v>81.400000000000006</v>
      </c>
      <c r="Y29" s="283">
        <v>417.7</v>
      </c>
      <c r="Z29" s="388">
        <v>440</v>
      </c>
      <c r="AA29" s="320">
        <v>392.2</v>
      </c>
      <c r="AB29" s="323">
        <v>259.8</v>
      </c>
      <c r="AC29" s="283">
        <v>44.9</v>
      </c>
      <c r="AD29" s="221">
        <v>108</v>
      </c>
      <c r="AE29" s="221">
        <v>370.9</v>
      </c>
      <c r="AF29" s="221">
        <v>231.2</v>
      </c>
      <c r="AG29" s="527">
        <v>350</v>
      </c>
      <c r="AH29" s="507">
        <v>350</v>
      </c>
      <c r="AI29" s="290">
        <f>SUM(D29:AH29)</f>
        <v>7788.4999999999982</v>
      </c>
      <c r="AJ29" s="119">
        <v>100</v>
      </c>
      <c r="AK29" s="121">
        <f t="shared" si="26"/>
        <v>3.4976851851851848E-3</v>
      </c>
      <c r="AL29" s="98">
        <f t="shared" si="51"/>
        <v>7.2000000000000008E-2</v>
      </c>
      <c r="AM29" s="99">
        <f t="shared" si="51"/>
        <v>3.6625000000000005E-2</v>
      </c>
      <c r="AN29" s="99">
        <f t="shared" si="51"/>
        <v>6.2958333333333324E-2</v>
      </c>
      <c r="AO29" s="99">
        <f t="shared" si="51"/>
        <v>0</v>
      </c>
      <c r="AP29" s="99">
        <f>IF(OR(H29="",H29="Sem monitoramento"),"VAZIO",IFERROR(H29/($AJ29*24),"-"))</f>
        <v>0</v>
      </c>
      <c r="AQ29" s="99">
        <f t="shared" si="52"/>
        <v>0</v>
      </c>
      <c r="AR29" s="99">
        <f>IF(OR(J30="",J30="Sem monitoramento"),"VAZIO",IFERROR(J30/($AJ29*24),"-"))</f>
        <v>0.13816666666666669</v>
      </c>
      <c r="AS29" s="99">
        <f t="shared" si="52"/>
        <v>0</v>
      </c>
      <c r="AT29" s="99">
        <f t="shared" si="38"/>
        <v>5.0041666666666665E-2</v>
      </c>
      <c r="AU29" s="99">
        <f t="shared" si="46"/>
        <v>0.17166666666666666</v>
      </c>
      <c r="AV29" s="99">
        <f t="shared" si="40"/>
        <v>0.18645833333333334</v>
      </c>
      <c r="AW29" s="99">
        <f t="shared" si="47"/>
        <v>0.17516666666666666</v>
      </c>
      <c r="AX29" s="99">
        <f t="shared" si="42"/>
        <v>0.18695833333333334</v>
      </c>
      <c r="AY29" s="99">
        <f t="shared" si="43"/>
        <v>0.16316666666666668</v>
      </c>
      <c r="AZ29" s="99">
        <f t="shared" si="44"/>
        <v>7.0083333333333331E-2</v>
      </c>
      <c r="BA29" s="99">
        <f t="shared" si="41"/>
        <v>0.12283333333333334</v>
      </c>
      <c r="BB29" s="99">
        <f t="shared" si="31"/>
        <v>0.18170833333333333</v>
      </c>
      <c r="BC29" s="99">
        <f t="shared" si="20"/>
        <v>0.18025000000000002</v>
      </c>
      <c r="BD29" s="99">
        <f t="shared" si="49"/>
        <v>0.14470833333333333</v>
      </c>
      <c r="BE29" s="99">
        <f t="shared" si="48"/>
        <v>0.171375</v>
      </c>
      <c r="BF29" s="99">
        <f t="shared" si="50"/>
        <v>3.3916666666666671E-2</v>
      </c>
      <c r="BG29" s="99">
        <f t="shared" si="39"/>
        <v>0.17404166666666665</v>
      </c>
      <c r="BH29" s="99">
        <f t="shared" si="21"/>
        <v>0.18333333333333332</v>
      </c>
      <c r="BI29" s="99">
        <f t="shared" si="22"/>
        <v>0.16341666666666665</v>
      </c>
      <c r="BJ29" s="99">
        <f t="shared" si="45"/>
        <v>0.10825</v>
      </c>
      <c r="BK29" s="99">
        <f t="shared" si="23"/>
        <v>1.8708333333333334E-2</v>
      </c>
      <c r="BL29" s="99">
        <f t="shared" si="10"/>
        <v>4.4999999999999998E-2</v>
      </c>
      <c r="BM29" s="99">
        <f t="shared" si="11"/>
        <v>0.15454166666666666</v>
      </c>
      <c r="BN29" s="99">
        <f t="shared" si="12"/>
        <v>9.6333333333333326E-2</v>
      </c>
      <c r="BO29" s="99">
        <f t="shared" si="24"/>
        <v>0.14583333333333334</v>
      </c>
      <c r="BP29" s="101">
        <f t="shared" si="6"/>
        <v>0.10817361111111108</v>
      </c>
      <c r="BQ29" s="198">
        <f t="shared" si="37"/>
        <v>0.168125</v>
      </c>
      <c r="BR29" s="72">
        <f t="shared" si="27"/>
        <v>16.8125</v>
      </c>
      <c r="BS29" s="73">
        <f t="shared" si="28"/>
        <v>-0.10516666666666667</v>
      </c>
      <c r="BT29" s="74">
        <f t="shared" si="9"/>
        <v>-5.9951388888888915E-2</v>
      </c>
      <c r="BU29" s="15" t="s">
        <v>112</v>
      </c>
      <c r="BV29" s="3"/>
      <c r="BW29" s="2"/>
      <c r="BX29" s="2"/>
    </row>
    <row r="30" spans="2:76" ht="15" thickBot="1" x14ac:dyDescent="0.35">
      <c r="B30" s="773" t="s">
        <v>290</v>
      </c>
      <c r="C30" s="326" t="s">
        <v>291</v>
      </c>
      <c r="D30" s="223">
        <v>416.5</v>
      </c>
      <c r="E30" s="378">
        <v>419.4</v>
      </c>
      <c r="F30" s="319">
        <v>417.4</v>
      </c>
      <c r="G30" s="319">
        <v>418.9</v>
      </c>
      <c r="H30" s="319">
        <v>424.3</v>
      </c>
      <c r="I30" s="470">
        <v>285.3</v>
      </c>
      <c r="J30" s="308">
        <v>331.6</v>
      </c>
      <c r="K30" s="283">
        <v>357.5</v>
      </c>
      <c r="L30" s="283">
        <v>366.1</v>
      </c>
      <c r="M30" s="283">
        <v>397</v>
      </c>
      <c r="N30" s="283">
        <v>371.3</v>
      </c>
      <c r="O30" s="283">
        <v>391.3</v>
      </c>
      <c r="P30" s="355">
        <v>397.6</v>
      </c>
      <c r="Q30" s="283">
        <v>388</v>
      </c>
      <c r="R30" s="283">
        <v>236.9</v>
      </c>
      <c r="S30" s="283">
        <v>191.9</v>
      </c>
      <c r="T30" s="283">
        <v>382.5</v>
      </c>
      <c r="U30" s="355">
        <v>388.2</v>
      </c>
      <c r="V30" s="283">
        <v>387.8</v>
      </c>
      <c r="W30" s="283">
        <v>349.2</v>
      </c>
      <c r="X30" s="63">
        <v>326.89999999999998</v>
      </c>
      <c r="Y30" s="320">
        <v>257</v>
      </c>
      <c r="Z30" s="320">
        <v>313.5</v>
      </c>
      <c r="AA30" s="320">
        <v>344.3</v>
      </c>
      <c r="AB30" s="323">
        <v>290.5</v>
      </c>
      <c r="AC30" s="15">
        <v>44.4</v>
      </c>
      <c r="AD30" s="221">
        <v>132.9</v>
      </c>
      <c r="AE30" s="221">
        <v>298.60000000000002</v>
      </c>
      <c r="AF30" s="15">
        <v>214.6</v>
      </c>
      <c r="AG30" s="15">
        <v>363.9</v>
      </c>
      <c r="AH30" s="278">
        <v>354.5</v>
      </c>
      <c r="AI30" s="290">
        <f>SUM(D30:AH30)</f>
        <v>10259.799999999997</v>
      </c>
      <c r="AJ30" s="2">
        <v>100</v>
      </c>
      <c r="AK30" s="285">
        <f t="shared" si="26"/>
        <v>9.6620370370370367E-3</v>
      </c>
      <c r="AL30" s="98">
        <f t="shared" si="51"/>
        <v>0.17354166666666668</v>
      </c>
      <c r="AM30" s="99">
        <f t="shared" si="51"/>
        <v>0.17474999999999999</v>
      </c>
      <c r="AN30" s="99">
        <f t="shared" si="51"/>
        <v>0.17391666666666666</v>
      </c>
      <c r="AO30" s="99">
        <f t="shared" si="51"/>
        <v>0.17454166666666665</v>
      </c>
      <c r="AP30" s="99">
        <f>IF(OR(H30="",H30="Sem monitoramento"),"VAZIO",IFERROR(H30/($AJ30*24),"-"))</f>
        <v>0.17679166666666668</v>
      </c>
      <c r="AQ30" s="99">
        <f t="shared" si="52"/>
        <v>0.11887500000000001</v>
      </c>
      <c r="AR30" s="99" t="e">
        <f>IF(OR(#REF!="",#REF!="Sem monitoramento"),"VAZIO",IFERROR(#REF!/($AJ30*24),"-"))</f>
        <v>#REF!</v>
      </c>
      <c r="AS30" s="99">
        <f t="shared" si="52"/>
        <v>0.14895833333333333</v>
      </c>
      <c r="AT30" s="99">
        <f t="shared" si="38"/>
        <v>0.15254166666666669</v>
      </c>
      <c r="AU30" s="99">
        <f t="shared" si="46"/>
        <v>0.16541666666666666</v>
      </c>
      <c r="AV30" s="99">
        <f t="shared" si="40"/>
        <v>0.15470833333333334</v>
      </c>
      <c r="AW30" s="99">
        <f t="shared" si="47"/>
        <v>0.16304166666666667</v>
      </c>
      <c r="AX30" s="99">
        <f t="shared" si="42"/>
        <v>0.16566666666666668</v>
      </c>
      <c r="AY30" s="99">
        <f t="shared" si="43"/>
        <v>0.16166666666666665</v>
      </c>
      <c r="AZ30" s="99">
        <f t="shared" si="44"/>
        <v>9.8708333333333342E-2</v>
      </c>
      <c r="BA30" s="99">
        <f t="shared" si="41"/>
        <v>7.995833333333334E-2</v>
      </c>
      <c r="BB30" s="99">
        <f t="shared" si="31"/>
        <v>0.15937499999999999</v>
      </c>
      <c r="BC30" s="99">
        <f t="shared" si="20"/>
        <v>0.16175</v>
      </c>
      <c r="BD30" s="99">
        <f t="shared" si="49"/>
        <v>0.16158333333333333</v>
      </c>
      <c r="BE30" s="99">
        <f t="shared" si="48"/>
        <v>0.14549999999999999</v>
      </c>
      <c r="BF30" s="99">
        <f t="shared" si="50"/>
        <v>0.13620833333333332</v>
      </c>
      <c r="BG30" s="99">
        <f t="shared" si="39"/>
        <v>0.10708333333333334</v>
      </c>
      <c r="BH30" s="99">
        <f t="shared" si="21"/>
        <v>0.13062499999999999</v>
      </c>
      <c r="BI30" s="99">
        <f t="shared" si="22"/>
        <v>0.14345833333333333</v>
      </c>
      <c r="BJ30" s="99">
        <f t="shared" si="45"/>
        <v>0.12104166666666667</v>
      </c>
      <c r="BK30" s="99">
        <f t="shared" si="23"/>
        <v>1.8499999999999999E-2</v>
      </c>
      <c r="BL30" s="99">
        <f t="shared" si="10"/>
        <v>5.5375000000000001E-2</v>
      </c>
      <c r="BM30" s="99">
        <f t="shared" si="11"/>
        <v>0.12441666666666668</v>
      </c>
      <c r="BN30" s="286">
        <f t="shared" si="12"/>
        <v>8.9416666666666658E-2</v>
      </c>
      <c r="BO30" s="286">
        <f t="shared" si="24"/>
        <v>0.15162499999999998</v>
      </c>
      <c r="BP30" s="286">
        <f t="shared" si="6"/>
        <v>0.14249722222222219</v>
      </c>
      <c r="BQ30" s="198">
        <f t="shared" si="37"/>
        <v>0.168125</v>
      </c>
      <c r="BR30" s="72">
        <f t="shared" si="27"/>
        <v>16.8125</v>
      </c>
      <c r="BS30" s="73">
        <f t="shared" si="28"/>
        <v>5.7916666666666672E-3</v>
      </c>
      <c r="BT30" s="74">
        <f t="shared" si="9"/>
        <v>-2.5627777777777805E-2</v>
      </c>
      <c r="BU30" s="2"/>
      <c r="BV30" s="3"/>
      <c r="BW30" s="2"/>
      <c r="BX30" s="2"/>
    </row>
    <row r="31" spans="2:76" ht="15" thickBot="1" x14ac:dyDescent="0.35">
      <c r="B31" s="777"/>
      <c r="C31" s="329"/>
      <c r="D31" s="224"/>
      <c r="E31" s="93"/>
      <c r="F31" s="93"/>
      <c r="G31" s="115"/>
      <c r="H31" s="284"/>
      <c r="I31" s="115"/>
      <c r="J31" s="115"/>
      <c r="K31" s="93"/>
      <c r="L31" s="93"/>
      <c r="M31" s="93"/>
      <c r="N31" s="93"/>
      <c r="O31" s="93"/>
      <c r="P31" s="93"/>
      <c r="Q31" s="318"/>
      <c r="R31" s="93"/>
      <c r="S31" s="93"/>
      <c r="T31" s="93"/>
      <c r="U31" s="22"/>
      <c r="V31" s="22"/>
      <c r="W31" s="292"/>
      <c r="X31" s="22"/>
      <c r="Y31" s="93"/>
      <c r="Z31" s="22"/>
      <c r="AA31" s="322"/>
      <c r="AB31" s="21"/>
      <c r="AC31" s="22"/>
      <c r="AD31" s="277"/>
      <c r="AE31" s="22"/>
      <c r="AF31" s="22"/>
      <c r="AG31" s="22"/>
      <c r="AH31" s="22"/>
      <c r="AI31" s="290">
        <f t="shared" si="30"/>
        <v>0</v>
      </c>
      <c r="AJ31" s="2"/>
      <c r="AK31" s="285"/>
      <c r="AL31" s="286" t="str">
        <f t="shared" si="51"/>
        <v>VAZIO</v>
      </c>
      <c r="AM31" s="286" t="str">
        <f t="shared" si="51"/>
        <v>VAZIO</v>
      </c>
      <c r="AN31" s="286" t="str">
        <f t="shared" si="51"/>
        <v>VAZIO</v>
      </c>
      <c r="AO31" s="286" t="str">
        <f t="shared" si="51"/>
        <v>VAZIO</v>
      </c>
      <c r="AP31" s="286" t="str">
        <f>IF(OR(H31="",H31="Sem monitoramento"),"VAZIO",IFERROR(H31/($AJ31*24),"-"))</f>
        <v>VAZIO</v>
      </c>
      <c r="AQ31" s="286" t="str">
        <f t="shared" si="52"/>
        <v>VAZIO</v>
      </c>
      <c r="AR31" s="286" t="str">
        <f t="shared" si="52"/>
        <v>VAZIO</v>
      </c>
      <c r="AS31" s="286" t="str">
        <f t="shared" si="52"/>
        <v>VAZIO</v>
      </c>
      <c r="AT31" s="286" t="str">
        <f t="shared" si="38"/>
        <v>VAZIO</v>
      </c>
      <c r="AU31" s="286" t="str">
        <f t="shared" si="46"/>
        <v>VAZIO</v>
      </c>
      <c r="AV31" s="286" t="str">
        <f t="shared" si="40"/>
        <v>VAZIO</v>
      </c>
      <c r="AW31" s="286" t="str">
        <f t="shared" si="47"/>
        <v>VAZIO</v>
      </c>
      <c r="AX31" s="286" t="str">
        <f t="shared" si="42"/>
        <v>VAZIO</v>
      </c>
      <c r="AY31" s="286" t="str">
        <f t="shared" si="43"/>
        <v>VAZIO</v>
      </c>
      <c r="AZ31" s="286" t="str">
        <f t="shared" si="44"/>
        <v>VAZIO</v>
      </c>
      <c r="BA31" s="286" t="str">
        <f t="shared" si="41"/>
        <v>VAZIO</v>
      </c>
      <c r="BB31" s="286" t="str">
        <f t="shared" si="31"/>
        <v>VAZIO</v>
      </c>
      <c r="BC31" s="286" t="str">
        <f t="shared" si="20"/>
        <v>VAZIO</v>
      </c>
      <c r="BD31" s="286" t="str">
        <f t="shared" si="49"/>
        <v>VAZIO</v>
      </c>
      <c r="BE31" s="286" t="str">
        <f t="shared" si="48"/>
        <v>VAZIO</v>
      </c>
      <c r="BF31" s="286" t="str">
        <f t="shared" si="50"/>
        <v>VAZIO</v>
      </c>
      <c r="BG31" s="286" t="str">
        <f t="shared" si="39"/>
        <v>VAZIO</v>
      </c>
      <c r="BH31" s="286" t="str">
        <f t="shared" si="21"/>
        <v>VAZIO</v>
      </c>
      <c r="BI31" s="286" t="str">
        <f t="shared" si="22"/>
        <v>VAZIO</v>
      </c>
      <c r="BJ31" s="286" t="str">
        <f t="shared" si="45"/>
        <v>VAZIO</v>
      </c>
      <c r="BK31" s="286" t="str">
        <f t="shared" si="23"/>
        <v>VAZIO</v>
      </c>
      <c r="BL31" s="286" t="str">
        <f t="shared" si="10"/>
        <v>VAZIO</v>
      </c>
      <c r="BM31" s="286" t="str">
        <f t="shared" si="11"/>
        <v>VAZIO</v>
      </c>
      <c r="BN31" s="286" t="str">
        <f t="shared" si="12"/>
        <v>VAZIO</v>
      </c>
      <c r="BO31" s="286" t="str">
        <f t="shared" si="24"/>
        <v>VAZIO</v>
      </c>
      <c r="BP31" s="286" t="e">
        <f t="shared" si="6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10493.899999999998</v>
      </c>
      <c r="E32" s="103">
        <f>SUM(E5:E30)</f>
        <v>10564.800000000001</v>
      </c>
      <c r="F32" s="103">
        <f>SUM(F5:F30)</f>
        <v>10393.999999999998</v>
      </c>
      <c r="G32" s="103">
        <f t="shared" ref="G32:AH32" si="53">SUM(G5:G30)</f>
        <v>10497.699999999999</v>
      </c>
      <c r="H32" s="103">
        <f t="shared" si="53"/>
        <v>9485.9</v>
      </c>
      <c r="I32" s="103">
        <f t="shared" si="53"/>
        <v>6864.9000000000005</v>
      </c>
      <c r="J32" s="103">
        <f>SUM(J5:J30)</f>
        <v>8383.9000000000015</v>
      </c>
      <c r="K32" s="103">
        <f t="shared" si="53"/>
        <v>9272.6000000000022</v>
      </c>
      <c r="L32" s="103">
        <f t="shared" si="53"/>
        <v>9235.1000000000022</v>
      </c>
      <c r="M32" s="103">
        <f t="shared" si="53"/>
        <v>10393.5</v>
      </c>
      <c r="N32" s="103">
        <f t="shared" si="53"/>
        <v>9730.4</v>
      </c>
      <c r="O32" s="103">
        <f t="shared" si="53"/>
        <v>10576.199999999999</v>
      </c>
      <c r="P32" s="103">
        <f t="shared" si="53"/>
        <v>11029.7</v>
      </c>
      <c r="Q32" s="103">
        <f t="shared" si="53"/>
        <v>10574.6</v>
      </c>
      <c r="R32" s="103">
        <f t="shared" si="53"/>
        <v>6917.0999999999995</v>
      </c>
      <c r="S32" s="103">
        <f t="shared" si="53"/>
        <v>6001.6</v>
      </c>
      <c r="T32" s="103">
        <f t="shared" si="53"/>
        <v>10692.1</v>
      </c>
      <c r="U32" s="103">
        <f t="shared" si="53"/>
        <v>10820.900000000001</v>
      </c>
      <c r="V32" s="103">
        <f t="shared" si="53"/>
        <v>9232.1999999999989</v>
      </c>
      <c r="W32" s="103">
        <f t="shared" si="53"/>
        <v>9738.8000000000011</v>
      </c>
      <c r="X32" s="103">
        <f t="shared" si="53"/>
        <v>6465.8999999999987</v>
      </c>
      <c r="Y32" s="103">
        <f t="shared" si="53"/>
        <v>8265.6</v>
      </c>
      <c r="Z32" s="103">
        <f t="shared" si="53"/>
        <v>9273.7999999999993</v>
      </c>
      <c r="AA32" s="103">
        <f t="shared" si="53"/>
        <v>9780.6</v>
      </c>
      <c r="AB32" s="103">
        <f t="shared" si="53"/>
        <v>8825.5</v>
      </c>
      <c r="AC32" s="103">
        <f>SUM(AC5:AC30)</f>
        <v>1352.8999999999999</v>
      </c>
      <c r="AD32" s="103">
        <f t="shared" si="53"/>
        <v>3243.7000000000007</v>
      </c>
      <c r="AE32" s="103">
        <f t="shared" si="53"/>
        <v>8145.0000000000009</v>
      </c>
      <c r="AF32" s="103">
        <f t="shared" si="53"/>
        <v>8039.2000000000016</v>
      </c>
      <c r="AG32" s="103">
        <f t="shared" si="53"/>
        <v>10071.200000000001</v>
      </c>
      <c r="AH32" s="103">
        <f t="shared" si="53"/>
        <v>10101.799999999999</v>
      </c>
      <c r="AI32" s="189">
        <f>SUM(AI5:AI31)</f>
        <v>271939.8</v>
      </c>
      <c r="AJ32" s="104">
        <f>SUM(AJ5:AJ31)</f>
        <v>2329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271,94 MWh</v>
      </c>
      <c r="AJ33" s="2"/>
      <c r="AW33">
        <v>1000</v>
      </c>
      <c r="AX33">
        <v>1000</v>
      </c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9064,66 kWh</v>
      </c>
      <c r="AJ34" s="2"/>
      <c r="AK34" s="2"/>
      <c r="AL34" s="2"/>
      <c r="AM34" s="2"/>
      <c r="AV34">
        <v>900</v>
      </c>
      <c r="AW34">
        <v>100</v>
      </c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271939,8 kWh</v>
      </c>
      <c r="AJ35" s="2"/>
      <c r="AK35" s="2"/>
      <c r="AL35" s="2"/>
      <c r="AM35" s="2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271,94 MWh</v>
      </c>
    </row>
    <row r="37" spans="2:76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</row>
    <row r="38" spans="2:76" x14ac:dyDescent="0.3">
      <c r="AC38">
        <v>60.6</v>
      </c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6" x14ac:dyDescent="0.3">
      <c r="N40">
        <v>91151.5</v>
      </c>
      <c r="O40">
        <f>N41-N40</f>
        <v>734</v>
      </c>
      <c r="X40" s="102"/>
      <c r="AF40">
        <f>AF39-20.4</f>
        <v>53905.2</v>
      </c>
    </row>
    <row r="41" spans="2:76" x14ac:dyDescent="0.3">
      <c r="N41">
        <v>91885.5</v>
      </c>
      <c r="X41" s="102"/>
      <c r="AF41">
        <f>AF40-AD39</f>
        <v>263.19999999999709</v>
      </c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</row>
    <row r="44" spans="2:76" x14ac:dyDescent="0.3">
      <c r="B44" s="751" t="s">
        <v>6</v>
      </c>
      <c r="C44" s="18" t="s">
        <v>7</v>
      </c>
      <c r="D44" s="163">
        <f>D5+Agosto23!AF41</f>
        <v>48890.400000000001</v>
      </c>
      <c r="E44" s="164">
        <f t="shared" ref="E44:F59" si="54">D44+E5</f>
        <v>48943.4</v>
      </c>
      <c r="F44" s="164">
        <f t="shared" si="54"/>
        <v>48996</v>
      </c>
      <c r="G44" s="165">
        <v>49036.4</v>
      </c>
      <c r="H44" s="166">
        <v>49076</v>
      </c>
      <c r="I44" s="163">
        <f t="shared" ref="I44:V59" si="55">H44+I5</f>
        <v>49108.2</v>
      </c>
      <c r="J44" s="163">
        <f t="shared" si="55"/>
        <v>49153.899999999994</v>
      </c>
      <c r="K44" s="163">
        <f t="shared" si="55"/>
        <v>49201.2</v>
      </c>
      <c r="L44" s="163">
        <f t="shared" si="55"/>
        <v>49244.2</v>
      </c>
      <c r="M44" s="163">
        <f t="shared" si="55"/>
        <v>49290.6</v>
      </c>
      <c r="N44" s="163">
        <f t="shared" si="55"/>
        <v>49337</v>
      </c>
      <c r="O44" s="163">
        <f t="shared" si="55"/>
        <v>49384.3</v>
      </c>
      <c r="P44" s="163">
        <f t="shared" si="55"/>
        <v>49433.600000000006</v>
      </c>
      <c r="Q44" s="163">
        <f t="shared" si="55"/>
        <v>49482.900000000009</v>
      </c>
      <c r="R44" s="163">
        <f t="shared" si="55"/>
        <v>49514.000000000007</v>
      </c>
      <c r="S44" s="163">
        <f t="shared" si="55"/>
        <v>49536.400000000009</v>
      </c>
      <c r="T44" s="163">
        <f t="shared" si="55"/>
        <v>49585.30000000001</v>
      </c>
      <c r="U44" s="163">
        <f t="shared" si="55"/>
        <v>49634.900000000009</v>
      </c>
      <c r="V44" s="163">
        <f t="shared" si="55"/>
        <v>49684.500000000007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</row>
    <row r="45" spans="2:76" x14ac:dyDescent="0.3">
      <c r="B45" s="752"/>
      <c r="C45" s="18" t="s">
        <v>8</v>
      </c>
      <c r="D45" s="163">
        <f>D6+Agosto23!AF42</f>
        <v>99073.900000000009</v>
      </c>
      <c r="E45" s="164">
        <f t="shared" si="54"/>
        <v>99402.8</v>
      </c>
      <c r="F45" s="164">
        <f t="shared" si="54"/>
        <v>99651</v>
      </c>
      <c r="G45" s="165">
        <f>21775+78123.8</f>
        <v>99898.8</v>
      </c>
      <c r="H45" s="166">
        <f>21823+78322.8</f>
        <v>100145.8</v>
      </c>
      <c r="I45" s="163">
        <f t="shared" si="55"/>
        <v>100343.40000000001</v>
      </c>
      <c r="J45" s="163">
        <f t="shared" si="55"/>
        <v>100584.8</v>
      </c>
      <c r="K45" s="163">
        <f t="shared" si="55"/>
        <v>100924.40000000001</v>
      </c>
      <c r="L45" s="163">
        <f t="shared" si="55"/>
        <v>101236.3</v>
      </c>
      <c r="M45" s="163">
        <f t="shared" si="55"/>
        <v>101547.2</v>
      </c>
      <c r="N45" s="163">
        <f t="shared" si="55"/>
        <v>101827.5</v>
      </c>
      <c r="O45" s="163">
        <f t="shared" si="55"/>
        <v>102091.8</v>
      </c>
      <c r="P45" s="163">
        <f t="shared" si="55"/>
        <v>102359.1</v>
      </c>
      <c r="Q45" s="163">
        <f t="shared" si="55"/>
        <v>102641.3</v>
      </c>
      <c r="R45" s="163">
        <f t="shared" si="55"/>
        <v>102847.1</v>
      </c>
      <c r="S45" s="163">
        <f t="shared" si="55"/>
        <v>102991.90000000001</v>
      </c>
      <c r="T45" s="163">
        <f t="shared" si="55"/>
        <v>103312.6</v>
      </c>
      <c r="U45" s="163">
        <f t="shared" si="55"/>
        <v>103636.20000000001</v>
      </c>
      <c r="V45" s="163">
        <f t="shared" si="55"/>
        <v>103946.40000000001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</row>
    <row r="46" spans="2:76" x14ac:dyDescent="0.3">
      <c r="B46" s="752"/>
      <c r="C46" s="18" t="s">
        <v>9</v>
      </c>
      <c r="D46" s="163">
        <f>D7+Agosto23!AF43</f>
        <v>69877</v>
      </c>
      <c r="E46" s="164">
        <f t="shared" si="54"/>
        <v>70123.100000000006</v>
      </c>
      <c r="F46" s="164">
        <f t="shared" si="54"/>
        <v>70367.3</v>
      </c>
      <c r="G46" s="165">
        <v>70458.2</v>
      </c>
      <c r="H46" s="166">
        <v>70615.5</v>
      </c>
      <c r="I46" s="163">
        <f t="shared" si="55"/>
        <v>70760.800000000003</v>
      </c>
      <c r="J46" s="163">
        <f t="shared" si="55"/>
        <v>70962.5</v>
      </c>
      <c r="K46" s="163">
        <f t="shared" si="55"/>
        <v>71183.7</v>
      </c>
      <c r="L46" s="163">
        <f t="shared" si="55"/>
        <v>71392.800000000003</v>
      </c>
      <c r="M46" s="163">
        <f t="shared" si="55"/>
        <v>71608.800000000003</v>
      </c>
      <c r="N46" s="163">
        <f t="shared" si="55"/>
        <v>71808.600000000006</v>
      </c>
      <c r="O46" s="163">
        <f t="shared" si="55"/>
        <v>72030</v>
      </c>
      <c r="P46" s="163">
        <f t="shared" si="55"/>
        <v>72264.899999999994</v>
      </c>
      <c r="Q46" s="163">
        <f t="shared" si="55"/>
        <v>72496.399999999994</v>
      </c>
      <c r="R46" s="163">
        <f t="shared" si="55"/>
        <v>72656</v>
      </c>
      <c r="S46" s="163">
        <f t="shared" si="55"/>
        <v>72759.399999999994</v>
      </c>
      <c r="T46" s="163">
        <f t="shared" si="55"/>
        <v>72992.799999999988</v>
      </c>
      <c r="U46" s="163" t="e">
        <f>T46+#REF!</f>
        <v>#REF!</v>
      </c>
      <c r="V46" s="163" t="e">
        <f t="shared" si="55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</row>
    <row r="47" spans="2:76" x14ac:dyDescent="0.3">
      <c r="B47" s="752"/>
      <c r="C47" s="18" t="s">
        <v>10</v>
      </c>
      <c r="D47" s="163">
        <f>D8+Agosto23!AF44</f>
        <v>95740.9</v>
      </c>
      <c r="E47" s="164">
        <f t="shared" si="54"/>
        <v>95880</v>
      </c>
      <c r="F47" s="164">
        <f t="shared" si="54"/>
        <v>96017.5</v>
      </c>
      <c r="G47" s="165">
        <v>96154</v>
      </c>
      <c r="H47" s="166">
        <v>96261.9</v>
      </c>
      <c r="I47" s="163">
        <f t="shared" si="55"/>
        <v>96344</v>
      </c>
      <c r="J47" s="163">
        <f t="shared" si="55"/>
        <v>96460</v>
      </c>
      <c r="K47" s="163">
        <f t="shared" si="55"/>
        <v>96582.5</v>
      </c>
      <c r="L47" s="163">
        <f t="shared" si="55"/>
        <v>96738.4</v>
      </c>
      <c r="M47" s="163">
        <f t="shared" si="55"/>
        <v>96859.7</v>
      </c>
      <c r="N47" s="163">
        <f t="shared" si="55"/>
        <v>96970.9</v>
      </c>
      <c r="O47" s="163">
        <f t="shared" si="55"/>
        <v>97095.4</v>
      </c>
      <c r="P47" s="163">
        <f t="shared" si="55"/>
        <v>97227.299999999988</v>
      </c>
      <c r="Q47" s="163">
        <f t="shared" si="55"/>
        <v>97357.699999999983</v>
      </c>
      <c r="R47" s="163">
        <f t="shared" si="55"/>
        <v>97445.699999999983</v>
      </c>
      <c r="S47" s="163">
        <f t="shared" si="55"/>
        <v>97504.699999999983</v>
      </c>
      <c r="T47" s="163">
        <f t="shared" si="55"/>
        <v>97636.599999999977</v>
      </c>
      <c r="U47" s="163" t="e">
        <f>T47+#REF!</f>
        <v>#REF!</v>
      </c>
      <c r="V47" s="163" t="e">
        <f t="shared" si="55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</row>
    <row r="48" spans="2:76" x14ac:dyDescent="0.3">
      <c r="B48" s="752"/>
      <c r="C48" s="18" t="s">
        <v>11</v>
      </c>
      <c r="D48" s="163">
        <f>D9+Agosto23!AF45</f>
        <v>18811.400000000001</v>
      </c>
      <c r="E48" s="164">
        <f t="shared" si="54"/>
        <v>18868.300000000003</v>
      </c>
      <c r="F48" s="164">
        <f t="shared" si="54"/>
        <v>18924.900000000001</v>
      </c>
      <c r="G48" s="165">
        <v>18957</v>
      </c>
      <c r="H48" s="166">
        <v>18998</v>
      </c>
      <c r="I48" s="163">
        <f t="shared" si="55"/>
        <v>19029</v>
      </c>
      <c r="J48" s="163">
        <f t="shared" si="55"/>
        <v>19072.3</v>
      </c>
      <c r="K48" s="163">
        <f t="shared" si="55"/>
        <v>19120.2</v>
      </c>
      <c r="L48" s="163">
        <f t="shared" si="55"/>
        <v>19172.400000000001</v>
      </c>
      <c r="M48" s="163">
        <f t="shared" si="55"/>
        <v>19226.300000000003</v>
      </c>
      <c r="N48" s="163">
        <f t="shared" si="55"/>
        <v>19277.700000000004</v>
      </c>
      <c r="O48" s="163">
        <f t="shared" si="55"/>
        <v>19330.500000000004</v>
      </c>
      <c r="P48" s="163">
        <f t="shared" si="55"/>
        <v>19384.400000000005</v>
      </c>
      <c r="Q48" s="163">
        <f t="shared" si="55"/>
        <v>19438.200000000004</v>
      </c>
      <c r="R48" s="163">
        <f t="shared" si="55"/>
        <v>19477.500000000004</v>
      </c>
      <c r="S48" s="163">
        <f t="shared" si="55"/>
        <v>19504.700000000004</v>
      </c>
      <c r="T48" s="163">
        <f t="shared" si="55"/>
        <v>19559.400000000005</v>
      </c>
      <c r="U48" s="163">
        <f>T48+U7</f>
        <v>19795.100000000006</v>
      </c>
      <c r="V48" s="163">
        <f t="shared" si="55"/>
        <v>19846.300000000007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</row>
    <row r="49" spans="2:39" x14ac:dyDescent="0.3">
      <c r="B49" s="752"/>
      <c r="C49" s="18" t="s">
        <v>12</v>
      </c>
      <c r="D49" s="163">
        <f>D10+Agosto23!AF46</f>
        <v>58198.7</v>
      </c>
      <c r="E49" s="164">
        <f t="shared" si="54"/>
        <v>58256.2</v>
      </c>
      <c r="F49" s="164">
        <f t="shared" si="54"/>
        <v>58313.1</v>
      </c>
      <c r="G49" s="165">
        <v>58550</v>
      </c>
      <c r="H49" s="166">
        <v>58640</v>
      </c>
      <c r="I49" s="163">
        <f t="shared" si="55"/>
        <v>58673.5</v>
      </c>
      <c r="J49" s="163">
        <f t="shared" si="55"/>
        <v>58717</v>
      </c>
      <c r="K49" s="163">
        <f t="shared" si="55"/>
        <v>58765.1</v>
      </c>
      <c r="L49" s="163">
        <f t="shared" si="55"/>
        <v>58818.2</v>
      </c>
      <c r="M49" s="163">
        <f t="shared" si="55"/>
        <v>58872.2</v>
      </c>
      <c r="N49" s="163">
        <f t="shared" si="55"/>
        <v>58924.399999999994</v>
      </c>
      <c r="O49" s="163">
        <f t="shared" si="55"/>
        <v>58977.2</v>
      </c>
      <c r="P49" s="163">
        <f t="shared" si="55"/>
        <v>59030.5</v>
      </c>
      <c r="Q49" s="163">
        <f t="shared" si="55"/>
        <v>59085.9</v>
      </c>
      <c r="R49" s="163">
        <f t="shared" si="55"/>
        <v>59127.700000000004</v>
      </c>
      <c r="S49" s="163">
        <f t="shared" si="55"/>
        <v>59157.500000000007</v>
      </c>
      <c r="T49" s="163">
        <f t="shared" si="55"/>
        <v>59217.900000000009</v>
      </c>
      <c r="U49" s="163">
        <f>T49+U8</f>
        <v>59351.700000000012</v>
      </c>
      <c r="V49" s="163">
        <f t="shared" si="55"/>
        <v>59409.30000000001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</row>
    <row r="50" spans="2:39" x14ac:dyDescent="0.3">
      <c r="B50" s="752"/>
      <c r="C50" s="18" t="s">
        <v>13</v>
      </c>
      <c r="D50" s="163">
        <f>D11+Agosto23!AF47</f>
        <v>230329.2</v>
      </c>
      <c r="E50" s="164">
        <f t="shared" si="54"/>
        <v>230681.7</v>
      </c>
      <c r="F50" s="164">
        <f t="shared" si="54"/>
        <v>231034.6</v>
      </c>
      <c r="G50" s="165">
        <v>231148.9</v>
      </c>
      <c r="H50" s="166">
        <v>231319.5</v>
      </c>
      <c r="I50" s="163">
        <f t="shared" si="55"/>
        <v>231509.5</v>
      </c>
      <c r="J50" s="163">
        <f t="shared" si="55"/>
        <v>231757.2</v>
      </c>
      <c r="K50" s="163">
        <f t="shared" si="55"/>
        <v>232047.40000000002</v>
      </c>
      <c r="L50" s="163">
        <f t="shared" si="55"/>
        <v>232360.50000000003</v>
      </c>
      <c r="M50" s="163">
        <f t="shared" si="55"/>
        <v>232717.90000000002</v>
      </c>
      <c r="N50" s="163">
        <f t="shared" si="55"/>
        <v>233040.2</v>
      </c>
      <c r="O50" s="163">
        <f t="shared" si="55"/>
        <v>233371.40000000002</v>
      </c>
      <c r="P50" s="163">
        <f t="shared" si="55"/>
        <v>233724.30000000002</v>
      </c>
      <c r="Q50" s="163">
        <f t="shared" si="55"/>
        <v>234068.1</v>
      </c>
      <c r="R50" s="163">
        <f t="shared" si="55"/>
        <v>234323.9</v>
      </c>
      <c r="S50" s="163">
        <f t="shared" si="55"/>
        <v>234494.5</v>
      </c>
      <c r="T50" s="163">
        <f t="shared" si="55"/>
        <v>234825.9</v>
      </c>
      <c r="U50" s="163">
        <f t="shared" si="55"/>
        <v>235160.6</v>
      </c>
      <c r="V50" s="163">
        <f t="shared" si="55"/>
        <v>235421.80000000002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</row>
    <row r="51" spans="2:39" x14ac:dyDescent="0.3">
      <c r="B51" s="753"/>
      <c r="C51" s="18" t="s">
        <v>14</v>
      </c>
      <c r="D51" s="163">
        <f>D12+Agosto23!AF48</f>
        <v>829</v>
      </c>
      <c r="E51" s="164">
        <f t="shared" si="54"/>
        <v>1106.5</v>
      </c>
      <c r="F51" s="164">
        <f t="shared" si="54"/>
        <v>1381.2</v>
      </c>
      <c r="G51" s="165">
        <v>1440</v>
      </c>
      <c r="H51" s="166">
        <v>1620</v>
      </c>
      <c r="I51" s="163">
        <f t="shared" si="55"/>
        <v>1784</v>
      </c>
      <c r="J51" s="163">
        <f t="shared" si="55"/>
        <v>1997.4</v>
      </c>
      <c r="K51" s="163">
        <f t="shared" si="55"/>
        <v>2236.5</v>
      </c>
      <c r="L51" s="163">
        <f t="shared" si="55"/>
        <v>2499.6999999999998</v>
      </c>
      <c r="M51" s="163">
        <f t="shared" si="55"/>
        <v>2761.2999999999997</v>
      </c>
      <c r="N51" s="163">
        <f t="shared" si="55"/>
        <v>3012.2999999999997</v>
      </c>
      <c r="O51" s="163">
        <f t="shared" si="55"/>
        <v>3282.2999999999997</v>
      </c>
      <c r="P51" s="163">
        <f t="shared" si="55"/>
        <v>3547.3999999999996</v>
      </c>
      <c r="Q51" s="163">
        <f t="shared" si="55"/>
        <v>3811.3999999999996</v>
      </c>
      <c r="R51" s="163">
        <f t="shared" si="55"/>
        <v>3988.4999999999995</v>
      </c>
      <c r="S51" s="163">
        <f t="shared" si="55"/>
        <v>4121.5</v>
      </c>
      <c r="T51" s="163">
        <f t="shared" si="55"/>
        <v>4387.6000000000004</v>
      </c>
      <c r="U51" s="163">
        <f t="shared" si="55"/>
        <v>4653.8</v>
      </c>
      <c r="V51" s="163">
        <f t="shared" si="55"/>
        <v>4906.3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</row>
    <row r="52" spans="2:39" x14ac:dyDescent="0.3">
      <c r="B52" s="751" t="s">
        <v>16</v>
      </c>
      <c r="C52" s="18" t="s">
        <v>17</v>
      </c>
      <c r="D52" s="163">
        <f>D13+Agosto23!AF49</f>
        <v>136932.6</v>
      </c>
      <c r="E52" s="164">
        <f t="shared" si="54"/>
        <v>136932.6</v>
      </c>
      <c r="F52" s="164">
        <f t="shared" si="54"/>
        <v>136932.6</v>
      </c>
      <c r="G52" s="165">
        <v>138545</v>
      </c>
      <c r="H52" s="166">
        <v>138937</v>
      </c>
      <c r="I52" s="163">
        <f t="shared" si="55"/>
        <v>138937</v>
      </c>
      <c r="J52" s="163">
        <f t="shared" si="55"/>
        <v>138937</v>
      </c>
      <c r="K52" s="163">
        <f t="shared" si="55"/>
        <v>138937</v>
      </c>
      <c r="L52" s="163">
        <f t="shared" si="55"/>
        <v>138937</v>
      </c>
      <c r="M52" s="163">
        <f t="shared" si="55"/>
        <v>138937</v>
      </c>
      <c r="N52" s="163">
        <f t="shared" si="55"/>
        <v>138940.4</v>
      </c>
      <c r="O52" s="163">
        <f t="shared" si="55"/>
        <v>139424.69999999998</v>
      </c>
      <c r="P52" s="163">
        <f t="shared" si="55"/>
        <v>139874.69999999998</v>
      </c>
      <c r="Q52" s="163">
        <f t="shared" si="55"/>
        <v>140297.29999999999</v>
      </c>
      <c r="R52" s="163">
        <f t="shared" si="55"/>
        <v>140600.4</v>
      </c>
      <c r="S52" s="163">
        <f t="shared" si="55"/>
        <v>140811.4</v>
      </c>
      <c r="T52" s="163">
        <f t="shared" si="55"/>
        <v>141284</v>
      </c>
      <c r="U52" s="163">
        <f t="shared" si="55"/>
        <v>141759.1</v>
      </c>
      <c r="V52" s="163">
        <f t="shared" si="55"/>
        <v>142173.4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</row>
    <row r="53" spans="2:39" x14ac:dyDescent="0.3">
      <c r="B53" s="752"/>
      <c r="C53" s="18" t="s">
        <v>18</v>
      </c>
      <c r="D53" s="163">
        <f>D14+Agosto23!AF50</f>
        <v>127789.40000000001</v>
      </c>
      <c r="E53" s="164">
        <f t="shared" si="54"/>
        <v>128293.70000000001</v>
      </c>
      <c r="F53" s="164">
        <f t="shared" si="54"/>
        <v>128794.20000000001</v>
      </c>
      <c r="G53" s="165">
        <v>128878</v>
      </c>
      <c r="H53" s="166">
        <v>129112</v>
      </c>
      <c r="I53" s="163">
        <f t="shared" si="55"/>
        <v>129387.9</v>
      </c>
      <c r="J53" s="163">
        <f t="shared" si="55"/>
        <v>129744.79999999999</v>
      </c>
      <c r="K53" s="163">
        <f t="shared" si="55"/>
        <v>130183.99999999999</v>
      </c>
      <c r="L53" s="163">
        <f t="shared" si="55"/>
        <v>130630.19999999998</v>
      </c>
      <c r="M53" s="163">
        <f t="shared" si="55"/>
        <v>131138.79999999999</v>
      </c>
      <c r="N53" s="163">
        <f t="shared" si="55"/>
        <v>131590.9</v>
      </c>
      <c r="O53" s="163">
        <f>N53+O14</f>
        <v>132065.60000000001</v>
      </c>
      <c r="P53" s="163">
        <f t="shared" si="55"/>
        <v>132565.1</v>
      </c>
      <c r="Q53" s="163">
        <f t="shared" si="55"/>
        <v>133057.1</v>
      </c>
      <c r="R53" s="163">
        <f t="shared" si="55"/>
        <v>133417.9</v>
      </c>
      <c r="S53" s="163">
        <f t="shared" si="55"/>
        <v>133652.1</v>
      </c>
      <c r="T53" s="163" t="e">
        <f>S53+#REF!</f>
        <v>#REF!</v>
      </c>
      <c r="U53" s="163" t="e">
        <f>T53+U14</f>
        <v>#REF!</v>
      </c>
      <c r="V53" s="163" t="e">
        <f t="shared" si="55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</row>
    <row r="54" spans="2:39" x14ac:dyDescent="0.3">
      <c r="B54" s="752"/>
      <c r="C54" s="18" t="s">
        <v>19</v>
      </c>
      <c r="D54" s="163">
        <f>D15+Agosto23!AF51</f>
        <v>37838.6</v>
      </c>
      <c r="E54" s="164">
        <f t="shared" si="54"/>
        <v>37972.199999999997</v>
      </c>
      <c r="F54" s="164">
        <f t="shared" si="54"/>
        <v>38103.1</v>
      </c>
      <c r="G54" s="165">
        <v>38160</v>
      </c>
      <c r="H54" s="166">
        <v>38222</v>
      </c>
      <c r="I54" s="163">
        <f t="shared" si="55"/>
        <v>38293.4</v>
      </c>
      <c r="J54" s="163">
        <f t="shared" si="55"/>
        <v>38392.300000000003</v>
      </c>
      <c r="K54" s="163">
        <f t="shared" si="55"/>
        <v>38512.9</v>
      </c>
      <c r="L54" s="163">
        <f t="shared" si="55"/>
        <v>38629.5</v>
      </c>
      <c r="M54" s="163">
        <f t="shared" si="55"/>
        <v>38763</v>
      </c>
      <c r="N54" s="163">
        <f t="shared" si="55"/>
        <v>38884.300000000003</v>
      </c>
      <c r="O54" s="163">
        <f>N54+O15</f>
        <v>39007.600000000006</v>
      </c>
      <c r="P54" s="163">
        <f t="shared" si="55"/>
        <v>39139.100000000006</v>
      </c>
      <c r="Q54" s="163">
        <f t="shared" si="55"/>
        <v>39267.000000000007</v>
      </c>
      <c r="R54" s="163">
        <f t="shared" si="55"/>
        <v>39367.600000000006</v>
      </c>
      <c r="S54" s="163">
        <f t="shared" si="55"/>
        <v>39431.800000000003</v>
      </c>
      <c r="T54" s="163">
        <f>S54+T15</f>
        <v>39555.200000000004</v>
      </c>
      <c r="U54" s="163">
        <f>T54+U15</f>
        <v>39680.600000000006</v>
      </c>
      <c r="V54" s="163">
        <f t="shared" si="55"/>
        <v>39778.900000000009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</row>
    <row r="55" spans="2:39" x14ac:dyDescent="0.3">
      <c r="B55" s="753"/>
      <c r="C55" s="18" t="s">
        <v>20</v>
      </c>
      <c r="D55" s="163">
        <f>D16+Agosto23!AF52</f>
        <v>97385.299999999988</v>
      </c>
      <c r="E55" s="164">
        <f t="shared" si="54"/>
        <v>97894.999999999985</v>
      </c>
      <c r="F55" s="164">
        <f t="shared" si="54"/>
        <v>98386.999999999985</v>
      </c>
      <c r="G55" s="165">
        <v>98510</v>
      </c>
      <c r="H55" s="166">
        <v>98809</v>
      </c>
      <c r="I55" s="163">
        <f t="shared" si="55"/>
        <v>99091.3</v>
      </c>
      <c r="J55" s="163">
        <f t="shared" si="55"/>
        <v>99467.5</v>
      </c>
      <c r="K55" s="163">
        <f t="shared" si="55"/>
        <v>99944.4</v>
      </c>
      <c r="L55" s="163">
        <f t="shared" si="55"/>
        <v>100423.4</v>
      </c>
      <c r="M55" s="163">
        <f t="shared" si="55"/>
        <v>100931.7</v>
      </c>
      <c r="N55" s="163">
        <f t="shared" si="55"/>
        <v>101432.9</v>
      </c>
      <c r="O55" s="163">
        <f t="shared" si="55"/>
        <v>101923.2</v>
      </c>
      <c r="P55" s="163">
        <f t="shared" si="55"/>
        <v>102451.2</v>
      </c>
      <c r="Q55" s="163">
        <f t="shared" si="55"/>
        <v>102958.2</v>
      </c>
      <c r="R55" s="163">
        <f t="shared" si="55"/>
        <v>103301.7</v>
      </c>
      <c r="S55" s="163">
        <f t="shared" si="55"/>
        <v>103554.09999999999</v>
      </c>
      <c r="T55" s="163">
        <f>S55+T14</f>
        <v>104030.09999999999</v>
      </c>
      <c r="U55" s="163">
        <f t="shared" si="55"/>
        <v>104522.7</v>
      </c>
      <c r="V55" s="163">
        <f t="shared" si="55"/>
        <v>104989.8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</row>
    <row r="56" spans="2:39" x14ac:dyDescent="0.3">
      <c r="B56" s="754" t="s">
        <v>21</v>
      </c>
      <c r="C56" s="18" t="s">
        <v>22</v>
      </c>
      <c r="D56" s="163">
        <f>D17+Agosto23!AF53</f>
        <v>66165.700000000012</v>
      </c>
      <c r="E56" s="164">
        <f t="shared" si="54"/>
        <v>66630.800000000017</v>
      </c>
      <c r="F56" s="164">
        <f t="shared" si="54"/>
        <v>67095.700000000012</v>
      </c>
      <c r="G56" s="165">
        <v>67299</v>
      </c>
      <c r="H56" s="166">
        <v>67726</v>
      </c>
      <c r="I56" s="163">
        <f t="shared" si="55"/>
        <v>68028.600000000006</v>
      </c>
      <c r="J56" s="163">
        <f t="shared" si="55"/>
        <v>68478.400000000009</v>
      </c>
      <c r="K56" s="163" t="e">
        <f>J56+#REF!</f>
        <v>#REF!</v>
      </c>
      <c r="L56" s="163" t="e">
        <f t="shared" si="55"/>
        <v>#REF!</v>
      </c>
      <c r="M56" s="163" t="e">
        <f t="shared" si="55"/>
        <v>#REF!</v>
      </c>
      <c r="N56" s="163" t="e">
        <f t="shared" si="55"/>
        <v>#REF!</v>
      </c>
      <c r="O56" s="163" t="e">
        <f t="shared" si="55"/>
        <v>#REF!</v>
      </c>
      <c r="P56" s="163" t="e">
        <f t="shared" si="55"/>
        <v>#REF!</v>
      </c>
      <c r="Q56" s="163" t="e">
        <f t="shared" si="55"/>
        <v>#REF!</v>
      </c>
      <c r="R56" s="163" t="e">
        <f t="shared" si="55"/>
        <v>#REF!</v>
      </c>
      <c r="S56" s="163" t="e">
        <f t="shared" si="55"/>
        <v>#REF!</v>
      </c>
      <c r="T56" s="163" t="e">
        <f t="shared" si="55"/>
        <v>#REF!</v>
      </c>
      <c r="U56" s="163" t="e">
        <f t="shared" si="55"/>
        <v>#REF!</v>
      </c>
      <c r="V56" s="163" t="e">
        <f t="shared" si="55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</row>
    <row r="57" spans="2:39" x14ac:dyDescent="0.3">
      <c r="B57" s="754"/>
      <c r="C57" s="18" t="s">
        <v>23</v>
      </c>
      <c r="D57" s="163">
        <f>D18+Agosto23!AF54</f>
        <v>74738.5</v>
      </c>
      <c r="E57" s="164">
        <f t="shared" si="54"/>
        <v>75220</v>
      </c>
      <c r="F57" s="164">
        <f t="shared" si="54"/>
        <v>75703.199999999997</v>
      </c>
      <c r="G57" s="165">
        <v>75901</v>
      </c>
      <c r="H57" s="166">
        <v>76333</v>
      </c>
      <c r="I57" s="163">
        <f t="shared" si="55"/>
        <v>76634.8</v>
      </c>
      <c r="J57" s="163">
        <f t="shared" si="55"/>
        <v>77086.8</v>
      </c>
      <c r="K57" s="163">
        <f t="shared" si="55"/>
        <v>77491.100000000006</v>
      </c>
      <c r="L57" s="163">
        <f t="shared" si="55"/>
        <v>77907.5</v>
      </c>
      <c r="M57" s="163">
        <f>L57+M19</f>
        <v>78298.399999999994</v>
      </c>
      <c r="N57" s="163">
        <f t="shared" si="55"/>
        <v>78682.7</v>
      </c>
      <c r="O57" s="163">
        <f t="shared" si="55"/>
        <v>79125</v>
      </c>
      <c r="P57" s="163">
        <f t="shared" si="55"/>
        <v>79584.5</v>
      </c>
      <c r="Q57" s="163">
        <f t="shared" si="55"/>
        <v>80038.5</v>
      </c>
      <c r="R57" s="163">
        <f t="shared" si="55"/>
        <v>80378</v>
      </c>
      <c r="S57" s="163">
        <f t="shared" si="55"/>
        <v>80623.899999999994</v>
      </c>
      <c r="T57" s="163">
        <f t="shared" si="55"/>
        <v>81057.899999999994</v>
      </c>
      <c r="U57" s="163">
        <f t="shared" si="55"/>
        <v>81506.299999999988</v>
      </c>
      <c r="V57" s="163">
        <f t="shared" si="55"/>
        <v>81952.099999999991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</row>
    <row r="58" spans="2:39" x14ac:dyDescent="0.3">
      <c r="B58" s="754"/>
      <c r="C58" s="18" t="s">
        <v>24</v>
      </c>
      <c r="D58" s="163">
        <f>D19+Agosto23!AF55</f>
        <v>136391.1</v>
      </c>
      <c r="E58" s="164">
        <f t="shared" si="54"/>
        <v>136801.70000000001</v>
      </c>
      <c r="F58" s="164">
        <f t="shared" si="54"/>
        <v>137211.70000000001</v>
      </c>
      <c r="G58" s="165">
        <v>137294</v>
      </c>
      <c r="H58" s="166">
        <v>137664</v>
      </c>
      <c r="I58" s="163">
        <f>H58+I19</f>
        <v>137920.9</v>
      </c>
      <c r="J58" s="163">
        <f t="shared" si="55"/>
        <v>138285.1</v>
      </c>
      <c r="K58" s="163">
        <f t="shared" si="55"/>
        <v>138639.1</v>
      </c>
      <c r="L58" s="163">
        <f>K58+L21</f>
        <v>139050.5</v>
      </c>
      <c r="M58" s="163" t="e">
        <f>L58+#REF!</f>
        <v>#REF!</v>
      </c>
      <c r="N58" s="163" t="e">
        <f t="shared" si="55"/>
        <v>#REF!</v>
      </c>
      <c r="O58" s="163" t="e">
        <f t="shared" si="55"/>
        <v>#REF!</v>
      </c>
      <c r="P58" s="163" t="e">
        <f t="shared" si="55"/>
        <v>#REF!</v>
      </c>
      <c r="Q58" s="163" t="e">
        <f t="shared" si="55"/>
        <v>#REF!</v>
      </c>
      <c r="R58" s="163" t="e">
        <f t="shared" si="55"/>
        <v>#REF!</v>
      </c>
      <c r="S58" s="163" t="e">
        <f t="shared" si="55"/>
        <v>#REF!</v>
      </c>
      <c r="T58" s="163" t="e">
        <f t="shared" si="55"/>
        <v>#REF!</v>
      </c>
      <c r="U58" s="163" t="e">
        <f t="shared" si="55"/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</row>
    <row r="59" spans="2:39" x14ac:dyDescent="0.3">
      <c r="B59" s="754"/>
      <c r="C59" s="18" t="s">
        <v>25</v>
      </c>
      <c r="D59" s="163">
        <f>D20+Agosto23!AF56</f>
        <v>174890.8</v>
      </c>
      <c r="E59" s="164">
        <f t="shared" si="54"/>
        <v>175449.4</v>
      </c>
      <c r="F59" s="164">
        <f t="shared" si="54"/>
        <v>176008.8</v>
      </c>
      <c r="G59" s="165">
        <v>176032</v>
      </c>
      <c r="H59" s="166">
        <v>176536</v>
      </c>
      <c r="I59" s="163">
        <f>H59+I20</f>
        <v>176890.8</v>
      </c>
      <c r="J59" s="163">
        <f t="shared" si="55"/>
        <v>177345.09999999998</v>
      </c>
      <c r="K59" s="163">
        <f>J59+K17</f>
        <v>177764.99999999997</v>
      </c>
      <c r="L59" s="163">
        <f t="shared" si="55"/>
        <v>178256.49999999997</v>
      </c>
      <c r="M59" s="163">
        <f t="shared" si="55"/>
        <v>178791.09999999998</v>
      </c>
      <c r="N59" s="163">
        <f>M59+N21</f>
        <v>179176.09999999998</v>
      </c>
      <c r="O59" s="163" t="e">
        <f>N59+#REF!</f>
        <v>#REF!</v>
      </c>
      <c r="P59" s="163" t="e">
        <f t="shared" si="55"/>
        <v>#REF!</v>
      </c>
      <c r="Q59" s="163" t="e">
        <f t="shared" si="55"/>
        <v>#REF!</v>
      </c>
      <c r="R59" s="163" t="e">
        <f t="shared" si="55"/>
        <v>#REF!</v>
      </c>
      <c r="S59" s="163" t="e">
        <f>R59+S21</f>
        <v>#REF!</v>
      </c>
      <c r="T59" s="163" t="e">
        <f t="shared" si="55"/>
        <v>#REF!</v>
      </c>
      <c r="U59" s="163" t="e">
        <f t="shared" si="55"/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</row>
    <row r="60" spans="2:39" x14ac:dyDescent="0.3">
      <c r="B60" s="754"/>
      <c r="C60" s="18" t="s">
        <v>26</v>
      </c>
      <c r="D60" s="163">
        <f>D21+Agosto23!AF57</f>
        <v>82617.100000000006</v>
      </c>
      <c r="E60" s="164">
        <f t="shared" ref="E60:F66" si="56">D60+E21</f>
        <v>83077.400000000009</v>
      </c>
      <c r="F60" s="164">
        <f t="shared" si="56"/>
        <v>83533.700000000012</v>
      </c>
      <c r="G60" s="165">
        <v>83628</v>
      </c>
      <c r="H60" s="166">
        <v>84081</v>
      </c>
      <c r="I60" s="163">
        <f t="shared" ref="I60:L66" si="57">H60+I21</f>
        <v>84373.7</v>
      </c>
      <c r="J60" s="163">
        <f t="shared" si="57"/>
        <v>84748.800000000003</v>
      </c>
      <c r="K60" s="163">
        <f t="shared" si="57"/>
        <v>85139.900000000009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58">N60+O21</f>
        <v>#REF!</v>
      </c>
      <c r="P60" s="163" t="e">
        <f t="shared" si="58"/>
        <v>#REF!</v>
      </c>
      <c r="Q60" s="163" t="e">
        <f t="shared" si="58"/>
        <v>#REF!</v>
      </c>
      <c r="R60" s="163" t="e">
        <f t="shared" si="58"/>
        <v>#REF!</v>
      </c>
      <c r="S60" s="163" t="e">
        <f>R60+#REF!</f>
        <v>#REF!</v>
      </c>
      <c r="T60" s="163" t="e">
        <f t="shared" ref="T60:V66" si="59">S60+T21</f>
        <v>#REF!</v>
      </c>
      <c r="U60" s="163" t="e">
        <f t="shared" si="59"/>
        <v>#REF!</v>
      </c>
      <c r="V60" s="163" t="e">
        <f t="shared" si="59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</row>
    <row r="61" spans="2:39" x14ac:dyDescent="0.3">
      <c r="B61" s="754"/>
      <c r="C61" s="18" t="s">
        <v>27</v>
      </c>
      <c r="D61" s="163">
        <f>D22+Agosto23!AF58</f>
        <v>61686.400000000001</v>
      </c>
      <c r="E61" s="164">
        <f t="shared" si="56"/>
        <v>62263.3</v>
      </c>
      <c r="F61" s="164">
        <f t="shared" si="56"/>
        <v>62830.3</v>
      </c>
      <c r="G61" s="165">
        <v>63058</v>
      </c>
      <c r="H61" s="166">
        <v>63281</v>
      </c>
      <c r="I61" s="163">
        <f t="shared" si="57"/>
        <v>63634.9</v>
      </c>
      <c r="J61" s="163">
        <f t="shared" si="57"/>
        <v>64030.200000000004</v>
      </c>
      <c r="K61" s="163">
        <f t="shared" si="57"/>
        <v>64516.100000000006</v>
      </c>
      <c r="L61" s="163">
        <f t="shared" si="57"/>
        <v>65047.700000000004</v>
      </c>
      <c r="M61" s="163" t="e">
        <f>L61+#REF!</f>
        <v>#REF!</v>
      </c>
      <c r="N61" s="163" t="e">
        <f t="shared" si="58"/>
        <v>#REF!</v>
      </c>
      <c r="O61" s="163" t="e">
        <f t="shared" si="58"/>
        <v>#REF!</v>
      </c>
      <c r="P61" s="163" t="e">
        <f t="shared" si="58"/>
        <v>#REF!</v>
      </c>
      <c r="Q61" s="163" t="e">
        <f t="shared" si="58"/>
        <v>#REF!</v>
      </c>
      <c r="R61" s="163" t="e">
        <f t="shared" si="58"/>
        <v>#REF!</v>
      </c>
      <c r="S61" s="163" t="e">
        <f t="shared" si="58"/>
        <v>#REF!</v>
      </c>
      <c r="T61" s="163" t="e">
        <f t="shared" si="59"/>
        <v>#REF!</v>
      </c>
      <c r="U61" s="163" t="e">
        <f t="shared" si="59"/>
        <v>#REF!</v>
      </c>
      <c r="V61" s="163" t="e">
        <f t="shared" si="59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</row>
    <row r="62" spans="2:39" x14ac:dyDescent="0.3">
      <c r="B62" s="754"/>
      <c r="C62" s="18" t="s">
        <v>28</v>
      </c>
      <c r="D62" s="163">
        <f>D23+Agosto23!AF59</f>
        <v>87765.67</v>
      </c>
      <c r="E62" s="164">
        <f t="shared" si="56"/>
        <v>88263.27</v>
      </c>
      <c r="F62" s="164">
        <f t="shared" si="56"/>
        <v>88746.97</v>
      </c>
      <c r="G62" s="165">
        <v>87693.64</v>
      </c>
      <c r="H62" s="166">
        <v>87903.16</v>
      </c>
      <c r="I62" s="163">
        <f t="shared" si="57"/>
        <v>88191.66</v>
      </c>
      <c r="J62" s="163">
        <f t="shared" si="57"/>
        <v>88522.760000000009</v>
      </c>
      <c r="K62" s="163">
        <f>J62+K23</f>
        <v>88940.860000000015</v>
      </c>
      <c r="L62" s="163">
        <f t="shared" si="57"/>
        <v>89396.960000000021</v>
      </c>
      <c r="M62" s="163">
        <f>L62+M22</f>
        <v>89954.260000000024</v>
      </c>
      <c r="N62" s="163">
        <f t="shared" si="58"/>
        <v>90395.460000000021</v>
      </c>
      <c r="O62" s="163">
        <f>N62+O20</f>
        <v>90872.460000000021</v>
      </c>
      <c r="P62" s="163">
        <f t="shared" si="58"/>
        <v>91349.160000000018</v>
      </c>
      <c r="Q62" s="163">
        <f t="shared" si="58"/>
        <v>91814.860000000015</v>
      </c>
      <c r="R62" s="163">
        <f t="shared" si="58"/>
        <v>92116.060000000012</v>
      </c>
      <c r="S62" s="163">
        <f t="shared" si="58"/>
        <v>92361.160000000018</v>
      </c>
      <c r="T62" s="163">
        <f t="shared" si="59"/>
        <v>92824.860000000015</v>
      </c>
      <c r="U62" s="163">
        <f t="shared" si="59"/>
        <v>93294.860000000015</v>
      </c>
      <c r="V62" s="163">
        <f>U62+V23</f>
        <v>93647.860000000015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</row>
    <row r="63" spans="2:39" x14ac:dyDescent="0.3">
      <c r="B63" s="754"/>
      <c r="C63" s="18" t="s">
        <v>29</v>
      </c>
      <c r="D63" s="163">
        <f>D24+Agosto23!AF60</f>
        <v>130452.2</v>
      </c>
      <c r="E63" s="164">
        <f t="shared" si="56"/>
        <v>132355.79999999999</v>
      </c>
      <c r="F63" s="164">
        <f t="shared" si="56"/>
        <v>134215.19999999998</v>
      </c>
      <c r="G63" s="165">
        <v>130195</v>
      </c>
      <c r="H63" s="166">
        <v>130451</v>
      </c>
      <c r="I63" s="163">
        <f t="shared" si="57"/>
        <v>131584.5</v>
      </c>
      <c r="J63" s="163">
        <f t="shared" si="57"/>
        <v>132871.5</v>
      </c>
      <c r="K63" s="163">
        <f>J63+K24</f>
        <v>134504.29999999999</v>
      </c>
      <c r="L63" s="163">
        <f t="shared" si="57"/>
        <v>136290.09999999998</v>
      </c>
      <c r="M63" s="163">
        <f t="shared" si="58"/>
        <v>138122.19999999998</v>
      </c>
      <c r="N63" s="163">
        <f t="shared" si="58"/>
        <v>139834.4</v>
      </c>
      <c r="O63" s="163">
        <f t="shared" si="58"/>
        <v>141656.6</v>
      </c>
      <c r="P63" s="163">
        <f t="shared" si="58"/>
        <v>143497.60000000001</v>
      </c>
      <c r="Q63" s="163">
        <f t="shared" si="58"/>
        <v>145330.1</v>
      </c>
      <c r="R63" s="163">
        <f t="shared" si="58"/>
        <v>146515.5</v>
      </c>
      <c r="S63" s="163">
        <f t="shared" si="58"/>
        <v>147481.5</v>
      </c>
      <c r="T63" s="163">
        <f t="shared" si="59"/>
        <v>149272.1</v>
      </c>
      <c r="U63" s="163">
        <f t="shared" si="59"/>
        <v>151112.1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</row>
    <row r="64" spans="2:39" x14ac:dyDescent="0.3">
      <c r="B64" s="754"/>
      <c r="C64" s="18" t="s">
        <v>30</v>
      </c>
      <c r="D64" s="163">
        <f>D25+Agosto23!AF61</f>
        <v>14624.6</v>
      </c>
      <c r="E64" s="164">
        <f t="shared" si="56"/>
        <v>15206.4</v>
      </c>
      <c r="F64" s="164">
        <f t="shared" si="56"/>
        <v>15763.3</v>
      </c>
      <c r="G64" s="165">
        <v>18667</v>
      </c>
      <c r="H64" s="166">
        <v>19364</v>
      </c>
      <c r="I64" s="163">
        <f t="shared" si="57"/>
        <v>19946.7</v>
      </c>
      <c r="J64" s="163">
        <f t="shared" si="57"/>
        <v>20512.8</v>
      </c>
      <c r="K64" s="163">
        <f t="shared" si="57"/>
        <v>21088.899999999998</v>
      </c>
      <c r="L64" s="163">
        <f t="shared" si="57"/>
        <v>21621.599999999999</v>
      </c>
      <c r="M64" s="163">
        <f t="shared" si="58"/>
        <v>22169.399999999998</v>
      </c>
      <c r="N64" s="163" t="e">
        <f>M64+#REF!</f>
        <v>#REF!</v>
      </c>
      <c r="O64" s="163" t="e">
        <f t="shared" si="58"/>
        <v>#REF!</v>
      </c>
      <c r="P64" s="163" t="e">
        <f t="shared" si="58"/>
        <v>#REF!</v>
      </c>
      <c r="Q64" s="163" t="e">
        <f t="shared" si="58"/>
        <v>#REF!</v>
      </c>
      <c r="R64" s="163" t="e">
        <f t="shared" si="58"/>
        <v>#REF!</v>
      </c>
      <c r="S64" s="163" t="e">
        <f t="shared" si="58"/>
        <v>#REF!</v>
      </c>
      <c r="T64" s="163" t="e">
        <f t="shared" si="59"/>
        <v>#REF!</v>
      </c>
      <c r="U64" s="163" t="e">
        <f t="shared" si="59"/>
        <v>#REF!</v>
      </c>
      <c r="V64" s="163" t="e">
        <f t="shared" si="59"/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</row>
    <row r="65" spans="2:39" x14ac:dyDescent="0.3">
      <c r="B65" s="754"/>
      <c r="C65" s="18" t="s">
        <v>111</v>
      </c>
      <c r="D65" s="163">
        <f>D26+Agosto23!AF62</f>
        <v>45299.200000000004</v>
      </c>
      <c r="E65" s="164">
        <f t="shared" si="56"/>
        <v>45789.9</v>
      </c>
      <c r="F65" s="164">
        <f t="shared" si="56"/>
        <v>46265.8</v>
      </c>
      <c r="G65" s="165">
        <v>46772</v>
      </c>
      <c r="H65" s="166">
        <v>47086</v>
      </c>
      <c r="I65" s="163">
        <f t="shared" si="57"/>
        <v>47353.3</v>
      </c>
      <c r="J65" s="163">
        <f t="shared" si="57"/>
        <v>47757.600000000006</v>
      </c>
      <c r="K65" s="163">
        <f t="shared" si="57"/>
        <v>48175.600000000006</v>
      </c>
      <c r="L65" s="163">
        <f t="shared" si="57"/>
        <v>48259.900000000009</v>
      </c>
      <c r="M65" s="163">
        <f t="shared" si="58"/>
        <v>48741.600000000006</v>
      </c>
      <c r="N65" s="163">
        <f>M65+N25</f>
        <v>49214.900000000009</v>
      </c>
      <c r="O65" s="163">
        <f t="shared" si="58"/>
        <v>49673.000000000007</v>
      </c>
      <c r="P65" s="163">
        <f t="shared" si="58"/>
        <v>50163.500000000007</v>
      </c>
      <c r="Q65" s="163">
        <f t="shared" si="58"/>
        <v>50613.80000000001</v>
      </c>
      <c r="R65" s="163">
        <f t="shared" si="58"/>
        <v>50959.900000000009</v>
      </c>
      <c r="S65" s="163">
        <f t="shared" si="58"/>
        <v>51315.200000000012</v>
      </c>
      <c r="T65" s="163">
        <f t="shared" si="59"/>
        <v>51776.80000000001</v>
      </c>
      <c r="U65" s="163">
        <f t="shared" si="59"/>
        <v>52248.400000000009</v>
      </c>
      <c r="V65" s="163">
        <f t="shared" si="59"/>
        <v>52633.700000000012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</row>
    <row r="66" spans="2:39" ht="15" thickBot="1" x14ac:dyDescent="0.35">
      <c r="B66" s="754"/>
      <c r="C66" s="18" t="s">
        <v>32</v>
      </c>
      <c r="D66" s="163">
        <f>D27+Agosto23!AF63</f>
        <v>9647.3000000000011</v>
      </c>
      <c r="E66" s="164">
        <f t="shared" si="56"/>
        <v>10141.400000000001</v>
      </c>
      <c r="F66" s="164">
        <f t="shared" si="56"/>
        <v>10630.7</v>
      </c>
      <c r="G66" s="165">
        <v>10779</v>
      </c>
      <c r="H66" s="166">
        <v>10940</v>
      </c>
      <c r="I66" s="163">
        <f t="shared" si="57"/>
        <v>11418.8</v>
      </c>
      <c r="J66" s="163">
        <f t="shared" si="57"/>
        <v>11921.599999999999</v>
      </c>
      <c r="K66" s="163">
        <f t="shared" si="57"/>
        <v>12404.499999999998</v>
      </c>
      <c r="L66" s="163">
        <f t="shared" si="57"/>
        <v>12781.899999999998</v>
      </c>
      <c r="M66" s="163">
        <f t="shared" si="58"/>
        <v>13241.599999999999</v>
      </c>
      <c r="N66" s="163">
        <f t="shared" si="58"/>
        <v>13717.3</v>
      </c>
      <c r="O66" s="163">
        <f t="shared" si="58"/>
        <v>14143.4</v>
      </c>
      <c r="P66" s="163">
        <f t="shared" si="58"/>
        <v>14618.699999999999</v>
      </c>
      <c r="Q66" s="163">
        <f t="shared" si="58"/>
        <v>15030.599999999999</v>
      </c>
      <c r="R66" s="163">
        <f t="shared" si="58"/>
        <v>15214.599999999999</v>
      </c>
      <c r="S66" s="163">
        <f t="shared" si="58"/>
        <v>15552.099999999999</v>
      </c>
      <c r="T66" s="163">
        <f t="shared" si="59"/>
        <v>16006.099999999999</v>
      </c>
      <c r="U66" s="163">
        <f t="shared" si="59"/>
        <v>16454.199999999997</v>
      </c>
      <c r="V66" s="163">
        <f t="shared" si="59"/>
        <v>16826.799999999996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</row>
    <row r="67" spans="2:39" x14ac:dyDescent="0.3">
      <c r="B67" s="754"/>
      <c r="C67" s="18" t="s">
        <v>112</v>
      </c>
      <c r="D67" s="163">
        <f>D29+Agosto23!AF64</f>
        <v>18778.599999999999</v>
      </c>
      <c r="E67" s="164">
        <f>D67+E29</f>
        <v>18866.5</v>
      </c>
      <c r="F67" s="164">
        <f>E67+F29</f>
        <v>19017.599999999999</v>
      </c>
      <c r="G67" s="165">
        <v>20520.400000000001</v>
      </c>
      <c r="H67" s="166">
        <v>20739</v>
      </c>
      <c r="I67" s="163">
        <f t="shared" ref="I67:V67" si="60">H67+I29</f>
        <v>20739</v>
      </c>
      <c r="J67" s="163">
        <f>I67+J30</f>
        <v>21070.6</v>
      </c>
      <c r="K67" s="163">
        <f t="shared" si="60"/>
        <v>21070.6</v>
      </c>
      <c r="L67" s="163">
        <f t="shared" si="60"/>
        <v>21190.699999999997</v>
      </c>
      <c r="M67" s="163">
        <f t="shared" si="60"/>
        <v>21602.699999999997</v>
      </c>
      <c r="N67" s="163">
        <f t="shared" si="60"/>
        <v>22050.199999999997</v>
      </c>
      <c r="O67" s="163">
        <f t="shared" si="60"/>
        <v>22470.6</v>
      </c>
      <c r="P67" s="163">
        <f t="shared" si="60"/>
        <v>22919.3</v>
      </c>
      <c r="Q67" s="163">
        <f t="shared" si="60"/>
        <v>23310.899999999998</v>
      </c>
      <c r="R67" s="163">
        <f t="shared" si="60"/>
        <v>23479.1</v>
      </c>
      <c r="S67" s="163">
        <f t="shared" si="60"/>
        <v>23773.899999999998</v>
      </c>
      <c r="T67" s="163">
        <f t="shared" si="60"/>
        <v>24209.999999999996</v>
      </c>
      <c r="U67" s="163">
        <f t="shared" si="60"/>
        <v>24642.599999999995</v>
      </c>
      <c r="V67" s="163">
        <f t="shared" si="60"/>
        <v>24989.899999999994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9" x14ac:dyDescent="0.3">
      <c r="B68" s="756" t="s">
        <v>196</v>
      </c>
      <c r="C68" s="756"/>
      <c r="D68" s="756"/>
      <c r="E68" s="756"/>
    </row>
    <row r="69" spans="2:39" x14ac:dyDescent="0.3">
      <c r="B69" s="757" t="s">
        <v>132</v>
      </c>
      <c r="C69" s="757"/>
      <c r="D69" s="757"/>
      <c r="E69" s="757"/>
    </row>
  </sheetData>
  <mergeCells count="14">
    <mergeCell ref="B32:C32"/>
    <mergeCell ref="B4:C4"/>
    <mergeCell ref="B5:B12"/>
    <mergeCell ref="B13:B16"/>
    <mergeCell ref="B17:B29"/>
    <mergeCell ref="B30:B31"/>
    <mergeCell ref="B68:E68"/>
    <mergeCell ref="B69:E69"/>
    <mergeCell ref="AE34:AG34"/>
    <mergeCell ref="AE35:AG35"/>
    <mergeCell ref="AE36:AG36"/>
    <mergeCell ref="B44:B51"/>
    <mergeCell ref="B52:B55"/>
    <mergeCell ref="B56:B67"/>
  </mergeCells>
  <conditionalFormatting sqref="AL5:BO31">
    <cfRule type="cellIs" dxfId="115" priority="2" operator="equal">
      <formula>"VAZIO"</formula>
    </cfRule>
  </conditionalFormatting>
  <conditionalFormatting sqref="AL5:BP31">
    <cfRule type="expression" dxfId="114" priority="6">
      <formula>AL5&gt;$BQ5</formula>
    </cfRule>
    <cfRule type="expression" dxfId="113" priority="7">
      <formula>AL5&lt;($BQ5-0.01)</formula>
    </cfRule>
  </conditionalFormatting>
  <conditionalFormatting sqref="AM8:BO8 BJ9 AM16:BO16 BG17 AM24:BO25">
    <cfRule type="cellIs" dxfId="112" priority="3" operator="equal">
      <formula>"""VAZIO"""</formula>
    </cfRule>
  </conditionalFormatting>
  <conditionalFormatting sqref="AP5:BO31">
    <cfRule type="expression" dxfId="111" priority="1">
      <formula>AP5=0</formula>
    </cfRule>
  </conditionalFormatting>
  <conditionalFormatting sqref="BT5:BT31">
    <cfRule type="cellIs" dxfId="110" priority="4" operator="greaterThan">
      <formula>0</formula>
    </cfRule>
    <cfRule type="cellIs" dxfId="109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0C0EF-1704-4E0C-B8A0-E878053AE3BF}">
  <dimension ref="B3:BW69"/>
  <sheetViews>
    <sheetView zoomScale="93" zoomScaleNormal="93" workbookViewId="0">
      <pane xSplit="3" ySplit="4" topLeftCell="AB5" activePane="bottomRight" state="frozen"/>
      <selection pane="topRight" activeCell="D1" sqref="D1"/>
      <selection pane="bottomLeft" activeCell="A5" sqref="A5"/>
      <selection pane="bottomRight" activeCell="AF18" sqref="AF18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2" width="17.5546875" customWidth="1"/>
    <col min="13" max="23" width="16.44140625" customWidth="1"/>
    <col min="24" max="24" width="17.109375" customWidth="1"/>
    <col min="25" max="25" width="17.5546875" customWidth="1"/>
    <col min="26" max="26" width="16.44140625" customWidth="1"/>
    <col min="27" max="27" width="18.109375" customWidth="1"/>
    <col min="28" max="28" width="17.33203125" customWidth="1"/>
    <col min="29" max="29" width="18.88671875" customWidth="1"/>
    <col min="30" max="31" width="18.33203125" customWidth="1"/>
    <col min="32" max="32" width="17.6640625" customWidth="1"/>
    <col min="33" max="33" width="17.88671875" customWidth="1"/>
    <col min="34" max="34" width="19.6640625" customWidth="1"/>
    <col min="35" max="35" width="15.6640625" customWidth="1"/>
    <col min="36" max="36" width="15.88671875" hidden="1" customWidth="1"/>
    <col min="37" max="66" width="11.88671875" customWidth="1"/>
    <col min="67" max="67" width="17.6640625" customWidth="1"/>
    <col min="68" max="68" width="14.33203125" customWidth="1"/>
    <col min="69" max="69" width="20.5546875" customWidth="1"/>
    <col min="70" max="70" width="17.5546875" customWidth="1"/>
    <col min="71" max="71" width="19" customWidth="1"/>
    <col min="72" max="72" width="18.88671875" customWidth="1"/>
    <col min="73" max="73" width="15.109375" customWidth="1"/>
  </cols>
  <sheetData>
    <row r="3" spans="2:75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</row>
    <row r="4" spans="2:75" ht="44.25" customHeight="1" thickBot="1" x14ac:dyDescent="0.35">
      <c r="B4" s="768" t="s">
        <v>133</v>
      </c>
      <c r="C4" s="769"/>
      <c r="D4" s="343" t="s">
        <v>533</v>
      </c>
      <c r="E4" s="344" t="s">
        <v>534</v>
      </c>
      <c r="F4" s="344" t="s">
        <v>535</v>
      </c>
      <c r="G4" s="344" t="s">
        <v>536</v>
      </c>
      <c r="H4" s="344" t="s">
        <v>537</v>
      </c>
      <c r="I4" s="344" t="s">
        <v>538</v>
      </c>
      <c r="J4" s="344" t="s">
        <v>539</v>
      </c>
      <c r="K4" s="344" t="s">
        <v>540</v>
      </c>
      <c r="L4" s="344" t="s">
        <v>541</v>
      </c>
      <c r="M4" s="344" t="s">
        <v>542</v>
      </c>
      <c r="N4" s="344" t="s">
        <v>543</v>
      </c>
      <c r="O4" s="344" t="s">
        <v>544</v>
      </c>
      <c r="P4" s="344" t="s">
        <v>545</v>
      </c>
      <c r="Q4" s="344" t="s">
        <v>546</v>
      </c>
      <c r="R4" s="344" t="s">
        <v>547</v>
      </c>
      <c r="S4" s="344" t="s">
        <v>548</v>
      </c>
      <c r="T4" s="344" t="s">
        <v>549</v>
      </c>
      <c r="U4" s="344" t="s">
        <v>550</v>
      </c>
      <c r="V4" s="344" t="s">
        <v>551</v>
      </c>
      <c r="W4" s="344" t="s">
        <v>552</v>
      </c>
      <c r="X4" s="344" t="s">
        <v>553</v>
      </c>
      <c r="Y4" s="344" t="s">
        <v>554</v>
      </c>
      <c r="Z4" s="344" t="s">
        <v>555</v>
      </c>
      <c r="AA4" s="344" t="s">
        <v>556</v>
      </c>
      <c r="AB4" s="344" t="s">
        <v>557</v>
      </c>
      <c r="AC4" s="344" t="s">
        <v>558</v>
      </c>
      <c r="AD4" s="344" t="s">
        <v>559</v>
      </c>
      <c r="AE4" s="344" t="s">
        <v>560</v>
      </c>
      <c r="AF4" s="344" t="s">
        <v>561</v>
      </c>
      <c r="AG4" s="345" t="s">
        <v>562</v>
      </c>
      <c r="AH4" s="346" t="s">
        <v>69</v>
      </c>
      <c r="AI4" s="346" t="s">
        <v>2</v>
      </c>
      <c r="AJ4" s="347" t="s">
        <v>70</v>
      </c>
      <c r="AK4" s="348" t="s">
        <v>228</v>
      </c>
      <c r="AL4" s="349" t="s">
        <v>229</v>
      </c>
      <c r="AM4" s="349" t="s">
        <v>230</v>
      </c>
      <c r="AN4" s="349" t="s">
        <v>231</v>
      </c>
      <c r="AO4" s="349" t="s">
        <v>232</v>
      </c>
      <c r="AP4" s="349" t="s">
        <v>233</v>
      </c>
      <c r="AQ4" s="349" t="s">
        <v>234</v>
      </c>
      <c r="AR4" s="349" t="s">
        <v>235</v>
      </c>
      <c r="AS4" s="349" t="s">
        <v>236</v>
      </c>
      <c r="AT4" s="349" t="s">
        <v>236</v>
      </c>
      <c r="AU4" s="349" t="s">
        <v>237</v>
      </c>
      <c r="AV4" s="349" t="s">
        <v>238</v>
      </c>
      <c r="AW4" s="349" t="s">
        <v>239</v>
      </c>
      <c r="AX4" s="349" t="s">
        <v>240</v>
      </c>
      <c r="AY4" s="349" t="s">
        <v>241</v>
      </c>
      <c r="AZ4" s="349" t="s">
        <v>242</v>
      </c>
      <c r="BA4" s="349" t="s">
        <v>243</v>
      </c>
      <c r="BB4" s="349" t="s">
        <v>244</v>
      </c>
      <c r="BC4" s="349" t="s">
        <v>245</v>
      </c>
      <c r="BD4" s="349" t="s">
        <v>246</v>
      </c>
      <c r="BE4" s="349" t="s">
        <v>247</v>
      </c>
      <c r="BF4" s="349" t="s">
        <v>248</v>
      </c>
      <c r="BG4" s="349" t="s">
        <v>249</v>
      </c>
      <c r="BH4" s="349" t="s">
        <v>250</v>
      </c>
      <c r="BI4" s="349" t="s">
        <v>251</v>
      </c>
      <c r="BJ4" s="349" t="s">
        <v>252</v>
      </c>
      <c r="BK4" s="349" t="s">
        <v>253</v>
      </c>
      <c r="BL4" s="349" t="s">
        <v>254</v>
      </c>
      <c r="BM4" s="349" t="s">
        <v>255</v>
      </c>
      <c r="BN4" s="349" t="s">
        <v>256</v>
      </c>
      <c r="BO4" s="350" t="s">
        <v>102</v>
      </c>
      <c r="BP4" s="343" t="s">
        <v>103</v>
      </c>
      <c r="BQ4" s="351" t="s">
        <v>104</v>
      </c>
      <c r="BR4" s="352" t="s">
        <v>105</v>
      </c>
      <c r="BS4" s="353" t="s">
        <v>106</v>
      </c>
      <c r="BU4" s="3"/>
      <c r="BV4" s="2"/>
      <c r="BW4" s="2"/>
    </row>
    <row r="5" spans="2:75" x14ac:dyDescent="0.3">
      <c r="B5" s="770" t="s">
        <v>6</v>
      </c>
      <c r="C5" s="328" t="s">
        <v>7</v>
      </c>
      <c r="D5" s="330">
        <v>30.2</v>
      </c>
      <c r="E5" s="103">
        <v>23.6</v>
      </c>
      <c r="F5" s="103">
        <v>45.5</v>
      </c>
      <c r="G5" s="103">
        <v>49</v>
      </c>
      <c r="H5" s="103">
        <v>31.6</v>
      </c>
      <c r="I5" s="331">
        <v>27.8</v>
      </c>
      <c r="J5" s="103">
        <v>39.200000000000003</v>
      </c>
      <c r="K5" s="103">
        <v>45.7</v>
      </c>
      <c r="L5" s="103">
        <v>25.1</v>
      </c>
      <c r="M5" s="509">
        <v>49</v>
      </c>
      <c r="N5" s="355">
        <v>48.7</v>
      </c>
      <c r="O5" s="509">
        <v>49.3</v>
      </c>
      <c r="P5" s="509">
        <v>50.1</v>
      </c>
      <c r="Q5" s="559">
        <v>49.6</v>
      </c>
      <c r="R5" s="509">
        <v>49.5</v>
      </c>
      <c r="S5" s="509">
        <v>49</v>
      </c>
      <c r="T5" s="103">
        <v>47.7</v>
      </c>
      <c r="U5" s="509">
        <v>49</v>
      </c>
      <c r="V5" s="509">
        <v>48.3</v>
      </c>
      <c r="W5" s="559">
        <v>48.2</v>
      </c>
      <c r="X5" s="509">
        <v>48.5</v>
      </c>
      <c r="Y5" s="103">
        <v>45.8</v>
      </c>
      <c r="Z5" s="104">
        <v>38.799999999999997</v>
      </c>
      <c r="AA5" s="332">
        <v>47.3</v>
      </c>
      <c r="AB5" s="333">
        <v>41.2</v>
      </c>
      <c r="AC5" s="104">
        <v>39.700000000000003</v>
      </c>
      <c r="AD5" s="104">
        <v>43.6</v>
      </c>
      <c r="AE5" s="104">
        <v>39</v>
      </c>
      <c r="AF5" s="104">
        <v>41.6</v>
      </c>
      <c r="AG5" s="570">
        <v>22.4</v>
      </c>
      <c r="AH5" s="335">
        <f t="shared" ref="AH5:AH31" si="0">SUM(D5:AG5)</f>
        <v>1264</v>
      </c>
      <c r="AI5" s="160">
        <v>12</v>
      </c>
      <c r="AJ5" s="336">
        <f t="shared" ref="AJ5:AJ11" si="1">F5/(AI5*432)</f>
        <v>8.777006172839507E-3</v>
      </c>
      <c r="AK5" s="337">
        <f t="shared" ref="AK5:AT8" si="2">IF(OR(D5="",D5="Sem monitoramento"),"VAZIO",IFERROR(D5/($AI5*24),"-"))</f>
        <v>0.10486111111111111</v>
      </c>
      <c r="AL5" s="338">
        <f t="shared" si="2"/>
        <v>8.1944444444444445E-2</v>
      </c>
      <c r="AM5" s="338">
        <f t="shared" si="2"/>
        <v>0.1579861111111111</v>
      </c>
      <c r="AN5" s="338">
        <f t="shared" si="2"/>
        <v>0.1701388888888889</v>
      </c>
      <c r="AO5" s="338">
        <f t="shared" si="2"/>
        <v>0.10972222222222222</v>
      </c>
      <c r="AP5" s="338">
        <f t="shared" si="2"/>
        <v>9.6527777777777782E-2</v>
      </c>
      <c r="AQ5" s="338">
        <f t="shared" si="2"/>
        <v>0.13611111111111113</v>
      </c>
      <c r="AR5" s="338">
        <f t="shared" si="2"/>
        <v>0.15868055555555557</v>
      </c>
      <c r="AS5" s="338">
        <f t="shared" si="2"/>
        <v>8.7152777777777787E-2</v>
      </c>
      <c r="AT5" s="338">
        <f t="shared" si="2"/>
        <v>0.1701388888888889</v>
      </c>
      <c r="AU5" s="338">
        <f t="shared" ref="AU5:BD8" si="3">IF(OR(N5="",N5="Sem monitoramento"),"VAZIO",IFERROR(N5/($AI5*24),"-"))</f>
        <v>0.16909722222222223</v>
      </c>
      <c r="AV5" s="338">
        <f t="shared" si="3"/>
        <v>0.17118055555555556</v>
      </c>
      <c r="AW5" s="338">
        <f t="shared" si="3"/>
        <v>0.17395833333333333</v>
      </c>
      <c r="AX5" s="338">
        <f t="shared" si="3"/>
        <v>0.17222222222222222</v>
      </c>
      <c r="AY5" s="338">
        <f t="shared" si="3"/>
        <v>0.171875</v>
      </c>
      <c r="AZ5" s="338">
        <f t="shared" si="3"/>
        <v>0.1701388888888889</v>
      </c>
      <c r="BA5" s="338">
        <f t="shared" si="3"/>
        <v>0.16562500000000002</v>
      </c>
      <c r="BB5" s="338">
        <f t="shared" si="3"/>
        <v>0.1701388888888889</v>
      </c>
      <c r="BC5" s="338">
        <f t="shared" si="3"/>
        <v>0.16770833333333332</v>
      </c>
      <c r="BD5" s="338">
        <f t="shared" si="3"/>
        <v>0.16736111111111113</v>
      </c>
      <c r="BE5" s="338">
        <f t="shared" ref="BE5:BI8" si="4">IF(OR(X5="",X5="Sem monitoramento"),"VAZIO",IFERROR(X5/($AI5*24),"-"))</f>
        <v>0.16840277777777779</v>
      </c>
      <c r="BF5" s="338">
        <f t="shared" si="4"/>
        <v>0.15902777777777777</v>
      </c>
      <c r="BG5" s="338">
        <f t="shared" si="4"/>
        <v>0.13472222222222222</v>
      </c>
      <c r="BH5" s="338">
        <f t="shared" si="4"/>
        <v>0.16423611111111111</v>
      </c>
      <c r="BI5" s="338">
        <f t="shared" si="4"/>
        <v>0.14305555555555557</v>
      </c>
      <c r="BJ5" s="338" t="e">
        <f>IF(OR(#REF!="",#REF!="Sem monitoramento"),"VAZIO",IFERROR(#REF!/($AI5*24),"-"))</f>
        <v>#REF!</v>
      </c>
      <c r="BK5" s="338">
        <f t="shared" ref="BK5:BN6" si="5">IF(OR(AD5="",AD5="Sem monitoramento"),"VAZIO",IFERROR(AD5/($AI5*24),"-"))</f>
        <v>0.15138888888888891</v>
      </c>
      <c r="BL5" s="338">
        <f t="shared" si="5"/>
        <v>0.13541666666666666</v>
      </c>
      <c r="BM5" s="338">
        <f t="shared" si="5"/>
        <v>0.14444444444444446</v>
      </c>
      <c r="BN5" s="338">
        <f t="shared" si="5"/>
        <v>7.7777777777777779E-2</v>
      </c>
      <c r="BO5" s="339">
        <f t="shared" ref="BO5:BO31" si="6">AH5/(AI5*(COUNTA(D5:AG5)*24))</f>
        <v>0.14629629629629629</v>
      </c>
      <c r="BP5" s="180">
        <f>'FCs estimados em PVsyst'!Y3</f>
        <v>0.1804398148148148</v>
      </c>
      <c r="BQ5" s="340">
        <f t="shared" ref="BQ5:BQ11" si="7">AI5*BP5</f>
        <v>2.1652777777777779</v>
      </c>
      <c r="BR5" s="341">
        <f t="shared" ref="BR5:BR11" si="8">AM5-BP5</f>
        <v>-2.2453703703703698E-2</v>
      </c>
      <c r="BS5" s="342">
        <f t="shared" ref="BS5:BS30" si="9">BO5-BP5</f>
        <v>-3.4143518518518517E-2</v>
      </c>
      <c r="BT5" s="15" t="s">
        <v>7</v>
      </c>
      <c r="BU5" s="75" t="s">
        <v>107</v>
      </c>
      <c r="BV5" s="7">
        <f>COUNTIF(BS5:BS29,"&gt;0")</f>
        <v>7</v>
      </c>
      <c r="BW5" s="2"/>
    </row>
    <row r="6" spans="2:75" x14ac:dyDescent="0.3">
      <c r="B6" s="771"/>
      <c r="C6" s="325" t="s">
        <v>8</v>
      </c>
      <c r="D6" s="62">
        <v>180.5</v>
      </c>
      <c r="E6" s="63">
        <v>128.19999999999999</v>
      </c>
      <c r="F6" s="63">
        <v>306.60000000000002</v>
      </c>
      <c r="G6" s="63">
        <v>298</v>
      </c>
      <c r="H6" s="63">
        <v>189.8</v>
      </c>
      <c r="I6" s="283">
        <v>122.2</v>
      </c>
      <c r="J6" s="63">
        <v>277.3</v>
      </c>
      <c r="K6" s="63">
        <v>274.89999999999998</v>
      </c>
      <c r="L6" s="63">
        <v>136.69999999999999</v>
      </c>
      <c r="M6" s="319">
        <v>324.8</v>
      </c>
      <c r="N6" s="355">
        <v>324.8</v>
      </c>
      <c r="O6" s="319">
        <v>326.2</v>
      </c>
      <c r="P6" s="319">
        <v>333</v>
      </c>
      <c r="Q6" s="355">
        <v>332.3</v>
      </c>
      <c r="R6" s="319">
        <v>331</v>
      </c>
      <c r="S6" s="319">
        <v>328.8</v>
      </c>
      <c r="T6" s="63">
        <v>322.89999999999998</v>
      </c>
      <c r="U6" s="319">
        <v>328.6</v>
      </c>
      <c r="V6" s="319">
        <v>324.5</v>
      </c>
      <c r="W6" s="355">
        <v>323.7</v>
      </c>
      <c r="X6" s="319">
        <v>323</v>
      </c>
      <c r="Y6" s="63">
        <v>315.2</v>
      </c>
      <c r="Z6" s="15">
        <v>270.2</v>
      </c>
      <c r="AA6" s="18">
        <v>304.10000000000002</v>
      </c>
      <c r="AB6" s="20">
        <v>298.8</v>
      </c>
      <c r="AC6" s="31">
        <v>224.7</v>
      </c>
      <c r="AD6" s="15">
        <v>289.8</v>
      </c>
      <c r="AE6" s="15">
        <v>237.1</v>
      </c>
      <c r="AF6" s="15">
        <v>276.39999999999998</v>
      </c>
      <c r="AG6" s="269">
        <v>141.30000000000001</v>
      </c>
      <c r="AH6" s="290">
        <f t="shared" si="0"/>
        <v>8195.4</v>
      </c>
      <c r="AI6" s="118">
        <v>67</v>
      </c>
      <c r="AJ6" s="121">
        <f t="shared" si="1"/>
        <v>1.0592868988391377E-2</v>
      </c>
      <c r="AK6" s="67">
        <f t="shared" si="2"/>
        <v>0.11225124378109452</v>
      </c>
      <c r="AL6" s="68">
        <f t="shared" si="2"/>
        <v>7.9726368159203975E-2</v>
      </c>
      <c r="AM6" s="68">
        <f t="shared" si="2"/>
        <v>0.19067164179104479</v>
      </c>
      <c r="AN6" s="68">
        <f t="shared" si="2"/>
        <v>0.1853233830845771</v>
      </c>
      <c r="AO6" s="68">
        <f t="shared" si="2"/>
        <v>0.11803482587064677</v>
      </c>
      <c r="AP6" s="68">
        <f t="shared" si="2"/>
        <v>7.5995024875621889E-2</v>
      </c>
      <c r="AQ6" s="68">
        <f t="shared" si="2"/>
        <v>0.17245024875621892</v>
      </c>
      <c r="AR6" s="68">
        <f t="shared" si="2"/>
        <v>0.17095771144278604</v>
      </c>
      <c r="AS6" s="68">
        <f t="shared" si="2"/>
        <v>8.5012437810945266E-2</v>
      </c>
      <c r="AT6" s="68">
        <f t="shared" si="2"/>
        <v>0.20199004975124379</v>
      </c>
      <c r="AU6" s="68">
        <f t="shared" si="3"/>
        <v>0.20199004975124379</v>
      </c>
      <c r="AV6" s="68">
        <f t="shared" si="3"/>
        <v>0.20286069651741293</v>
      </c>
      <c r="AW6" s="68">
        <f t="shared" si="3"/>
        <v>0.20708955223880596</v>
      </c>
      <c r="AX6" s="68">
        <f t="shared" si="3"/>
        <v>0.20665422885572141</v>
      </c>
      <c r="AY6" s="68">
        <f t="shared" si="3"/>
        <v>0.2058457711442786</v>
      </c>
      <c r="AZ6" s="68">
        <f t="shared" si="3"/>
        <v>0.20447761194029851</v>
      </c>
      <c r="BA6" s="68">
        <f t="shared" si="3"/>
        <v>0.20080845771144276</v>
      </c>
      <c r="BB6" s="68">
        <f t="shared" si="3"/>
        <v>0.20435323383084578</v>
      </c>
      <c r="BC6" s="68">
        <f t="shared" si="3"/>
        <v>0.20180348258706468</v>
      </c>
      <c r="BD6" s="68">
        <f t="shared" si="3"/>
        <v>0.20130597014925372</v>
      </c>
      <c r="BE6" s="68">
        <f t="shared" si="4"/>
        <v>0.20087064676616914</v>
      </c>
      <c r="BF6" s="68">
        <f t="shared" si="4"/>
        <v>0.19601990049751242</v>
      </c>
      <c r="BG6" s="68">
        <f t="shared" si="4"/>
        <v>0.16803482587064675</v>
      </c>
      <c r="BH6" s="68">
        <f t="shared" si="4"/>
        <v>0.18911691542288558</v>
      </c>
      <c r="BI6" s="68">
        <f t="shared" si="4"/>
        <v>0.18582089552238806</v>
      </c>
      <c r="BJ6" s="68">
        <f>IF(OR(AC5="",AC5="Sem monitoramento"),"VAZIO",IFERROR(AC5/($AI6*24),"-"))</f>
        <v>2.4689054726368162E-2</v>
      </c>
      <c r="BK6" s="68">
        <f t="shared" si="5"/>
        <v>0.18022388059701494</v>
      </c>
      <c r="BL6" s="68">
        <f t="shared" si="5"/>
        <v>0.1474502487562189</v>
      </c>
      <c r="BM6" s="68">
        <f t="shared" si="5"/>
        <v>0.17189054726368158</v>
      </c>
      <c r="BN6" s="68">
        <f t="shared" si="5"/>
        <v>8.7873134328358221E-2</v>
      </c>
      <c r="BO6" s="70">
        <f t="shared" si="6"/>
        <v>0.16988805970149254</v>
      </c>
      <c r="BP6" s="180">
        <f>'FCs estimados em PVsyst'!Y4</f>
        <v>0.1868988391376451</v>
      </c>
      <c r="BQ6" s="72">
        <f t="shared" si="7"/>
        <v>12.522222222222222</v>
      </c>
      <c r="BR6" s="73">
        <f t="shared" si="8"/>
        <v>3.7728026533996872E-3</v>
      </c>
      <c r="BS6" s="74">
        <f t="shared" si="9"/>
        <v>-1.7010779436152562E-2</v>
      </c>
      <c r="BT6" s="15" t="s">
        <v>8</v>
      </c>
      <c r="BU6" s="77" t="s">
        <v>108</v>
      </c>
      <c r="BV6" s="78">
        <f>(COUNTA(BT5:BT29)-BV5-BV7)</f>
        <v>5</v>
      </c>
      <c r="BW6" s="2"/>
    </row>
    <row r="7" spans="2:75" x14ac:dyDescent="0.3">
      <c r="B7" s="771"/>
      <c r="C7" s="326" t="s">
        <v>9</v>
      </c>
      <c r="D7" s="62">
        <v>137.30000000000001</v>
      </c>
      <c r="E7" s="63">
        <v>103.2</v>
      </c>
      <c r="F7" s="63">
        <v>210.4</v>
      </c>
      <c r="G7" s="63">
        <v>221.6</v>
      </c>
      <c r="H7" s="63">
        <v>133.80000000000001</v>
      </c>
      <c r="I7" s="283">
        <v>124.1</v>
      </c>
      <c r="J7" s="63">
        <v>184.6</v>
      </c>
      <c r="K7" s="63">
        <v>208.3</v>
      </c>
      <c r="L7" s="283">
        <v>116.3</v>
      </c>
      <c r="M7" s="355">
        <v>231.2</v>
      </c>
      <c r="N7" s="355">
        <v>230.6</v>
      </c>
      <c r="O7" s="557">
        <v>232.8</v>
      </c>
      <c r="P7" s="355">
        <v>237.2</v>
      </c>
      <c r="Q7" s="355">
        <v>235.1</v>
      </c>
      <c r="R7" s="355">
        <v>233.9</v>
      </c>
      <c r="S7" s="355">
        <v>232.3</v>
      </c>
      <c r="T7" s="283">
        <v>328.4</v>
      </c>
      <c r="U7" s="319">
        <v>233.5</v>
      </c>
      <c r="V7" s="355">
        <v>230.1</v>
      </c>
      <c r="W7" s="355">
        <v>228.9</v>
      </c>
      <c r="X7" s="355">
        <v>229.6</v>
      </c>
      <c r="Y7" s="283">
        <v>214.5</v>
      </c>
      <c r="Z7" s="15">
        <v>180.4</v>
      </c>
      <c r="AA7" s="18">
        <v>223.9</v>
      </c>
      <c r="AB7" s="323">
        <v>202.8</v>
      </c>
      <c r="AC7" s="221">
        <v>178</v>
      </c>
      <c r="AD7" s="221">
        <v>201</v>
      </c>
      <c r="AE7" s="221">
        <v>173.5</v>
      </c>
      <c r="AF7" s="221">
        <v>194.6</v>
      </c>
      <c r="AG7" s="269">
        <v>97.4</v>
      </c>
      <c r="AH7" s="290">
        <f t="shared" si="0"/>
        <v>5989.2999999999993</v>
      </c>
      <c r="AI7" s="118">
        <v>49</v>
      </c>
      <c r="AJ7" s="121">
        <f t="shared" si="1"/>
        <v>9.9395313681027962E-3</v>
      </c>
      <c r="AK7" s="67">
        <f t="shared" si="2"/>
        <v>0.11675170068027212</v>
      </c>
      <c r="AL7" s="68">
        <f t="shared" si="2"/>
        <v>8.7755102040816324E-2</v>
      </c>
      <c r="AM7" s="68">
        <f t="shared" si="2"/>
        <v>0.17891156462585034</v>
      </c>
      <c r="AN7" s="68">
        <f t="shared" si="2"/>
        <v>0.18843537414965986</v>
      </c>
      <c r="AO7" s="68">
        <f t="shared" si="2"/>
        <v>0.11377551020408164</v>
      </c>
      <c r="AP7" s="68">
        <f t="shared" si="2"/>
        <v>0.10552721088435374</v>
      </c>
      <c r="AQ7" s="68">
        <f t="shared" si="2"/>
        <v>0.15697278911564624</v>
      </c>
      <c r="AR7" s="68">
        <f t="shared" si="2"/>
        <v>0.17712585034013606</v>
      </c>
      <c r="AS7" s="68">
        <f t="shared" si="2"/>
        <v>9.8894557823129253E-2</v>
      </c>
      <c r="AT7" s="68">
        <f t="shared" si="2"/>
        <v>0.19659863945578229</v>
      </c>
      <c r="AU7" s="68">
        <f t="shared" si="3"/>
        <v>0.19608843537414966</v>
      </c>
      <c r="AV7" s="68">
        <f t="shared" si="3"/>
        <v>0.1979591836734694</v>
      </c>
      <c r="AW7" s="68">
        <f t="shared" si="3"/>
        <v>0.20170068027210883</v>
      </c>
      <c r="AX7" s="68">
        <f t="shared" si="3"/>
        <v>0.19991496598639455</v>
      </c>
      <c r="AY7" s="68">
        <f t="shared" si="3"/>
        <v>0.19889455782312926</v>
      </c>
      <c r="AZ7" s="68">
        <f t="shared" si="3"/>
        <v>0.19753401360544218</v>
      </c>
      <c r="BA7" s="68">
        <f t="shared" si="3"/>
        <v>0.27925170068027211</v>
      </c>
      <c r="BB7" s="68">
        <f t="shared" si="3"/>
        <v>0.1985544217687075</v>
      </c>
      <c r="BC7" s="68">
        <f t="shared" si="3"/>
        <v>0.19566326530612244</v>
      </c>
      <c r="BD7" s="68">
        <f t="shared" si="3"/>
        <v>0.19464285714285715</v>
      </c>
      <c r="BE7" s="68">
        <f t="shared" si="4"/>
        <v>0.19523809523809524</v>
      </c>
      <c r="BF7" s="68">
        <f t="shared" si="4"/>
        <v>0.18239795918367346</v>
      </c>
      <c r="BG7" s="68">
        <f t="shared" si="4"/>
        <v>0.15340136054421769</v>
      </c>
      <c r="BH7" s="68">
        <f t="shared" si="4"/>
        <v>0.19039115646258503</v>
      </c>
      <c r="BI7" s="68">
        <f t="shared" si="4"/>
        <v>0.17244897959183675</v>
      </c>
      <c r="BJ7" s="68" t="e">
        <f>IF(OR(#REF!="",#REF!="Sem monitoramento"),"VAZIO",IFERROR(#REF!/($AI7*24),"-"))</f>
        <v>#REF!</v>
      </c>
      <c r="BK7" s="68">
        <f t="shared" ref="BK7:BK19" si="10">IF(OR(AD7="",AD7="Sem monitoramento"),"VAZIO",IFERROR(AD7/($AI7*24),"-"))</f>
        <v>0.17091836734693877</v>
      </c>
      <c r="BL7" s="68">
        <f t="shared" ref="BL7:BL19" si="11">IF(OR(AE7="",AE7="Sem monitoramento"),"VAZIO",IFERROR(AE7/($AI7*24),"-"))</f>
        <v>0.14753401360544219</v>
      </c>
      <c r="BM7" s="68">
        <f t="shared" ref="BM7:BM19" si="12">IF(OR(AF7="",AF7="Sem monitoramento"),"VAZIO",IFERROR(AF7/($AI7*24),"-"))</f>
        <v>0.16547619047619047</v>
      </c>
      <c r="BN7" s="68" t="e">
        <f>IF(OR(#REF!="",#REF!="Sem monitoramento"),"VAZIO",IFERROR(#REF!/($AI7*24),"-"))</f>
        <v>#REF!</v>
      </c>
      <c r="BO7" s="70">
        <f t="shared" si="6"/>
        <v>0.16976473922902494</v>
      </c>
      <c r="BP7" s="180">
        <f>'FCs estimados em PVsyst'!Y5</f>
        <v>0.17987528344671203</v>
      </c>
      <c r="BQ7" s="72">
        <f t="shared" si="7"/>
        <v>8.81388888888889</v>
      </c>
      <c r="BR7" s="73">
        <f t="shared" si="8"/>
        <v>-9.6371882086168648E-4</v>
      </c>
      <c r="BS7" s="74">
        <f t="shared" si="9"/>
        <v>-1.011054421768709E-2</v>
      </c>
      <c r="BT7" s="15" t="s">
        <v>9</v>
      </c>
      <c r="BU7" s="79" t="s">
        <v>109</v>
      </c>
      <c r="BV7" s="80">
        <f>COUNTIF(BS5:BS29,"&lt;-0,01")</f>
        <v>13</v>
      </c>
      <c r="BW7" s="2"/>
    </row>
    <row r="8" spans="2:75" x14ac:dyDescent="0.3">
      <c r="B8" s="771"/>
      <c r="C8" s="326" t="s">
        <v>10</v>
      </c>
      <c r="D8" s="62">
        <v>76.5</v>
      </c>
      <c r="E8" s="63">
        <v>57.8</v>
      </c>
      <c r="F8" s="63">
        <v>115.8</v>
      </c>
      <c r="G8" s="63">
        <v>124.2</v>
      </c>
      <c r="H8" s="63">
        <v>72.400000000000006</v>
      </c>
      <c r="I8" s="283">
        <v>71.2</v>
      </c>
      <c r="J8" s="63">
        <v>102.4</v>
      </c>
      <c r="K8" s="63">
        <v>117.6</v>
      </c>
      <c r="L8" s="283">
        <v>65.5</v>
      </c>
      <c r="M8" s="355">
        <v>130.80000000000001</v>
      </c>
      <c r="N8" s="355">
        <v>130</v>
      </c>
      <c r="O8" s="319">
        <v>131.80000000000001</v>
      </c>
      <c r="P8" s="319">
        <v>135</v>
      </c>
      <c r="Q8" s="355">
        <v>133.6</v>
      </c>
      <c r="R8" s="319">
        <v>132.6</v>
      </c>
      <c r="S8" s="319">
        <v>131.30000000000001</v>
      </c>
      <c r="T8" s="63">
        <v>128.69999999999999</v>
      </c>
      <c r="U8" s="319">
        <v>132.5</v>
      </c>
      <c r="V8" s="319">
        <v>130.5</v>
      </c>
      <c r="W8" s="355">
        <v>129.6</v>
      </c>
      <c r="X8" s="319">
        <v>130.30000000000001</v>
      </c>
      <c r="Y8" s="283">
        <v>119</v>
      </c>
      <c r="Z8" s="15">
        <v>101</v>
      </c>
      <c r="AA8" s="18">
        <v>126.3</v>
      </c>
      <c r="AB8" s="323">
        <v>113.2</v>
      </c>
      <c r="AC8" s="221">
        <v>99.5</v>
      </c>
      <c r="AD8" s="221">
        <v>113.2</v>
      </c>
      <c r="AE8" s="221">
        <v>98.8</v>
      </c>
      <c r="AF8" s="221">
        <v>106.6</v>
      </c>
      <c r="AG8" s="269">
        <v>55.8</v>
      </c>
      <c r="AH8" s="290">
        <f t="shared" si="0"/>
        <v>3313.5</v>
      </c>
      <c r="AI8" s="118">
        <v>33</v>
      </c>
      <c r="AJ8" s="121">
        <f t="shared" si="1"/>
        <v>8.122895622895622E-3</v>
      </c>
      <c r="AK8" s="67">
        <f t="shared" si="2"/>
        <v>9.6590909090909088E-2</v>
      </c>
      <c r="AL8" s="68">
        <f t="shared" si="2"/>
        <v>7.2979797979797978E-2</v>
      </c>
      <c r="AM8" s="68">
        <f t="shared" si="2"/>
        <v>0.14621212121212121</v>
      </c>
      <c r="AN8" s="68">
        <f t="shared" si="2"/>
        <v>0.15681818181818183</v>
      </c>
      <c r="AO8" s="68">
        <f t="shared" si="2"/>
        <v>9.141414141414142E-2</v>
      </c>
      <c r="AP8" s="68">
        <f t="shared" si="2"/>
        <v>8.9898989898989909E-2</v>
      </c>
      <c r="AQ8" s="68">
        <f t="shared" si="2"/>
        <v>0.12929292929292929</v>
      </c>
      <c r="AR8" s="68">
        <f t="shared" si="2"/>
        <v>0.14848484848484847</v>
      </c>
      <c r="AS8" s="68">
        <f t="shared" si="2"/>
        <v>8.2702020202020207E-2</v>
      </c>
      <c r="AT8" s="68">
        <f t="shared" si="2"/>
        <v>0.16515151515151516</v>
      </c>
      <c r="AU8" s="68">
        <f t="shared" si="3"/>
        <v>0.16414141414141414</v>
      </c>
      <c r="AV8" s="68">
        <f t="shared" si="3"/>
        <v>0.16641414141414143</v>
      </c>
      <c r="AW8" s="68">
        <f t="shared" si="3"/>
        <v>0.17045454545454544</v>
      </c>
      <c r="AX8" s="68">
        <f t="shared" si="3"/>
        <v>0.16868686868686869</v>
      </c>
      <c r="AY8" s="68">
        <f t="shared" si="3"/>
        <v>0.16742424242424242</v>
      </c>
      <c r="AZ8" s="68">
        <f t="shared" si="3"/>
        <v>0.16578282828282831</v>
      </c>
      <c r="BA8" s="68">
        <f t="shared" si="3"/>
        <v>0.16249999999999998</v>
      </c>
      <c r="BB8" s="68">
        <f t="shared" si="3"/>
        <v>0.16729797979797981</v>
      </c>
      <c r="BC8" s="68">
        <f t="shared" si="3"/>
        <v>0.16477272727272727</v>
      </c>
      <c r="BD8" s="68">
        <f t="shared" si="3"/>
        <v>0.16363636363636364</v>
      </c>
      <c r="BE8" s="68">
        <f t="shared" si="4"/>
        <v>0.16452020202020204</v>
      </c>
      <c r="BF8" s="68">
        <f t="shared" si="4"/>
        <v>0.15025252525252525</v>
      </c>
      <c r="BG8" s="68">
        <f t="shared" si="4"/>
        <v>0.12752525252525251</v>
      </c>
      <c r="BH8" s="68">
        <f t="shared" si="4"/>
        <v>0.15946969696969696</v>
      </c>
      <c r="BI8" s="68">
        <f t="shared" si="4"/>
        <v>0.14292929292929293</v>
      </c>
      <c r="BJ8" s="68" t="e">
        <f>IF(OR(#REF!="",#REF!="Sem monitoramento"),"VAZIO",IFERROR(#REF!/($AI8*24),"-"))</f>
        <v>#REF!</v>
      </c>
      <c r="BK8" s="68">
        <f t="shared" si="10"/>
        <v>0.14292929292929293</v>
      </c>
      <c r="BL8" s="68">
        <f t="shared" si="11"/>
        <v>0.12474747474747475</v>
      </c>
      <c r="BM8" s="68">
        <f t="shared" si="12"/>
        <v>0.1345959595959596</v>
      </c>
      <c r="BN8" s="68" t="e">
        <f>IF(OR(#REF!="",#REF!="Sem monitoramento"),"VAZIO",IFERROR(#REF!/($AI8*24),"-"))</f>
        <v>#REF!</v>
      </c>
      <c r="BO8" s="70">
        <f t="shared" si="6"/>
        <v>0.1394570707070707</v>
      </c>
      <c r="BP8" s="180">
        <f>'FCs estimados em PVsyst'!Y6</f>
        <v>0.18501683501683502</v>
      </c>
      <c r="BQ8" s="72">
        <f t="shared" si="7"/>
        <v>6.1055555555555561</v>
      </c>
      <c r="BR8" s="73">
        <f t="shared" si="8"/>
        <v>-3.8804713804713814E-2</v>
      </c>
      <c r="BS8" s="74">
        <f t="shared" si="9"/>
        <v>-4.5559764309764328E-2</v>
      </c>
      <c r="BT8" s="15" t="s">
        <v>10</v>
      </c>
      <c r="BU8" s="3"/>
      <c r="BV8" s="2"/>
      <c r="BW8" s="2"/>
    </row>
    <row r="9" spans="2:75" x14ac:dyDescent="0.3">
      <c r="B9" s="771"/>
      <c r="C9" s="326" t="s">
        <v>11</v>
      </c>
      <c r="D9" s="223">
        <v>29.7</v>
      </c>
      <c r="E9" s="63">
        <v>21.8</v>
      </c>
      <c r="F9" s="63">
        <v>51.9</v>
      </c>
      <c r="G9" s="82">
        <v>54</v>
      </c>
      <c r="H9" s="82">
        <v>36.9</v>
      </c>
      <c r="I9" s="308">
        <v>22.7</v>
      </c>
      <c r="J9" s="63">
        <v>49.3</v>
      </c>
      <c r="K9" s="283">
        <v>46.9</v>
      </c>
      <c r="L9" s="63">
        <v>23.2</v>
      </c>
      <c r="M9" s="319">
        <v>55.7</v>
      </c>
      <c r="N9" s="319">
        <v>55.3</v>
      </c>
      <c r="O9" s="319">
        <v>55.8</v>
      </c>
      <c r="P9" s="319">
        <v>56.8</v>
      </c>
      <c r="Q9" s="355">
        <v>56.4</v>
      </c>
      <c r="R9" s="508">
        <v>56.1</v>
      </c>
      <c r="S9" s="319">
        <v>55.9</v>
      </c>
      <c r="T9" s="63">
        <v>55.2</v>
      </c>
      <c r="U9" s="319">
        <v>56.2</v>
      </c>
      <c r="V9" s="319">
        <v>55.4</v>
      </c>
      <c r="W9" s="355">
        <v>55.4</v>
      </c>
      <c r="X9" s="319">
        <v>53.3</v>
      </c>
      <c r="Y9" s="63">
        <v>53.7</v>
      </c>
      <c r="Z9" s="148">
        <v>47</v>
      </c>
      <c r="AA9" s="568">
        <v>56</v>
      </c>
      <c r="AB9" s="323">
        <v>50.7</v>
      </c>
      <c r="AC9" s="489">
        <v>42.9</v>
      </c>
      <c r="AD9" s="15">
        <v>51.2</v>
      </c>
      <c r="AE9" s="15">
        <v>41</v>
      </c>
      <c r="AF9" s="15">
        <v>48.4</v>
      </c>
      <c r="AG9" s="269">
        <v>21.3</v>
      </c>
      <c r="AH9" s="290">
        <f t="shared" si="0"/>
        <v>1416.1000000000001</v>
      </c>
      <c r="AI9" s="118">
        <v>12</v>
      </c>
      <c r="AJ9" s="121">
        <f t="shared" si="1"/>
        <v>1.0011574074074074E-2</v>
      </c>
      <c r="AK9" s="67">
        <f t="shared" ref="AK9:AT15" si="13">IF(OR(D9="",D9="Sem monitoramento"),"VAZIO",IFERROR(D9/($AI9*24),"-"))</f>
        <v>0.10312499999999999</v>
      </c>
      <c r="AL9" s="68">
        <f t="shared" si="13"/>
        <v>7.5694444444444453E-2</v>
      </c>
      <c r="AM9" s="68">
        <f t="shared" si="13"/>
        <v>0.18020833333333333</v>
      </c>
      <c r="AN9" s="68">
        <f t="shared" si="13"/>
        <v>0.1875</v>
      </c>
      <c r="AO9" s="68">
        <f t="shared" si="13"/>
        <v>0.12812499999999999</v>
      </c>
      <c r="AP9" s="68">
        <f t="shared" si="13"/>
        <v>7.8819444444444442E-2</v>
      </c>
      <c r="AQ9" s="68">
        <f t="shared" si="13"/>
        <v>0.17118055555555556</v>
      </c>
      <c r="AR9" s="68">
        <f t="shared" si="13"/>
        <v>0.16284722222222223</v>
      </c>
      <c r="AS9" s="68">
        <f t="shared" si="13"/>
        <v>8.0555555555555547E-2</v>
      </c>
      <c r="AT9" s="68">
        <f t="shared" si="13"/>
        <v>0.19340277777777778</v>
      </c>
      <c r="AU9" s="68">
        <f t="shared" ref="AU9:BA15" si="14">IF(OR(N9="",N9="Sem monitoramento"),"VAZIO",IFERROR(N9/($AI9*24),"-"))</f>
        <v>0.19201388888888887</v>
      </c>
      <c r="AV9" s="68">
        <f t="shared" si="14"/>
        <v>0.19374999999999998</v>
      </c>
      <c r="AW9" s="68">
        <f t="shared" si="14"/>
        <v>0.19722222222222222</v>
      </c>
      <c r="AX9" s="68">
        <f t="shared" si="14"/>
        <v>0.19583333333333333</v>
      </c>
      <c r="AY9" s="68">
        <f t="shared" si="14"/>
        <v>0.19479166666666667</v>
      </c>
      <c r="AZ9" s="68">
        <f t="shared" si="14"/>
        <v>0.19409722222222223</v>
      </c>
      <c r="BA9" s="68">
        <f t="shared" si="14"/>
        <v>0.19166666666666668</v>
      </c>
      <c r="BB9" s="68">
        <f>IF(OR(U7="",U7="Sem monitoramento"),"VAZIO",IFERROR(U7/($AI9*24),"-"))</f>
        <v>0.81076388888888884</v>
      </c>
      <c r="BC9" s="68">
        <f t="shared" ref="BC9:BF10" si="15">IF(OR(V9="",V9="Sem monitoramento"),"VAZIO",IFERROR(V9/($AI9*24),"-"))</f>
        <v>0.19236111111111109</v>
      </c>
      <c r="BD9" s="68">
        <f t="shared" si="15"/>
        <v>0.19236111111111109</v>
      </c>
      <c r="BE9" s="68">
        <f t="shared" si="15"/>
        <v>0.18506944444444443</v>
      </c>
      <c r="BF9" s="68">
        <f t="shared" si="15"/>
        <v>0.18645833333333334</v>
      </c>
      <c r="BG9" s="68">
        <f>IF(OR(Z10="",Z10="Sem monitoramento"),"VAZIO",IFERROR(Z10/($AI9*24),"-"))</f>
        <v>0.21979166666666666</v>
      </c>
      <c r="BH9" s="68">
        <f>IF(OR(AA9="",AA9="Sem monitoramento"),"VAZIO",IFERROR(AA9/($AI9*24),"-"))</f>
        <v>0.19444444444444445</v>
      </c>
      <c r="BI9" s="68">
        <f>IF(OR(AB9="",AB9="Sem monitoramento"),"VAZIO",IFERROR(AB9/($AI9*24),"-"))</f>
        <v>0.17604166666666668</v>
      </c>
      <c r="BJ9" s="68">
        <f>IF(OR(AC7="",AC7="Sem monitoramento"),"VAZIO",IFERROR(AC7/($AI9*24),"-"))</f>
        <v>0.61805555555555558</v>
      </c>
      <c r="BK9" s="68">
        <f t="shared" si="10"/>
        <v>0.17777777777777778</v>
      </c>
      <c r="BL9" s="68">
        <f t="shared" si="11"/>
        <v>0.1423611111111111</v>
      </c>
      <c r="BM9" s="68">
        <f t="shared" si="12"/>
        <v>0.16805555555555554</v>
      </c>
      <c r="BN9" s="68">
        <f>IF(OR(AG7="",AG7="Sem monitoramento"),"VAZIO",IFERROR(AG7/($AI9*24),"-"))</f>
        <v>0.33819444444444446</v>
      </c>
      <c r="BO9" s="70">
        <f t="shared" si="6"/>
        <v>0.16390046296296298</v>
      </c>
      <c r="BP9" s="180">
        <f>'FCs estimados em PVsyst'!Y7</f>
        <v>0.18333333333333332</v>
      </c>
      <c r="BQ9" s="72">
        <f t="shared" si="7"/>
        <v>2.1999999999999997</v>
      </c>
      <c r="BR9" s="73">
        <f t="shared" si="8"/>
        <v>-3.1249999999999889E-3</v>
      </c>
      <c r="BS9" s="74">
        <f t="shared" si="9"/>
        <v>-1.9432870370370336E-2</v>
      </c>
      <c r="BT9" s="15" t="s">
        <v>11</v>
      </c>
      <c r="BU9" s="3"/>
      <c r="BV9" s="2"/>
      <c r="BW9" s="2"/>
    </row>
    <row r="10" spans="2:75" x14ac:dyDescent="0.3">
      <c r="B10" s="771"/>
      <c r="C10" s="326" t="s">
        <v>12</v>
      </c>
      <c r="D10" s="223">
        <v>38.4</v>
      </c>
      <c r="E10" s="63">
        <v>29.5</v>
      </c>
      <c r="F10" s="63">
        <v>62.4</v>
      </c>
      <c r="G10" s="82">
        <v>65</v>
      </c>
      <c r="H10" s="82">
        <v>44.5</v>
      </c>
      <c r="I10" s="63">
        <v>27.5</v>
      </c>
      <c r="J10" s="63">
        <v>59.9</v>
      </c>
      <c r="K10" s="283">
        <v>57.5</v>
      </c>
      <c r="L10" s="63">
        <v>30.4</v>
      </c>
      <c r="M10" s="319">
        <v>68.900000000000006</v>
      </c>
      <c r="N10" s="319">
        <v>68.400000000000006</v>
      </c>
      <c r="O10" s="319">
        <v>68.8</v>
      </c>
      <c r="P10" s="319">
        <v>69.599999999999994</v>
      </c>
      <c r="Q10" s="355">
        <v>69.400000000000006</v>
      </c>
      <c r="R10" s="508">
        <v>69.400000000000006</v>
      </c>
      <c r="S10" s="319">
        <v>68.8</v>
      </c>
      <c r="T10" s="63">
        <v>68</v>
      </c>
      <c r="U10" s="319">
        <v>69.7</v>
      </c>
      <c r="V10" s="319">
        <v>68.900000000000006</v>
      </c>
      <c r="W10" s="355">
        <v>69.5</v>
      </c>
      <c r="X10" s="319">
        <v>68.2</v>
      </c>
      <c r="Y10" s="63">
        <v>69</v>
      </c>
      <c r="Z10" s="15">
        <v>63.3</v>
      </c>
      <c r="AA10" s="568">
        <v>72.5</v>
      </c>
      <c r="AB10" s="323">
        <v>66.099999999999994</v>
      </c>
      <c r="AC10" s="489">
        <v>56.6</v>
      </c>
      <c r="AD10" s="15">
        <v>68.3</v>
      </c>
      <c r="AE10" s="15">
        <v>56.9</v>
      </c>
      <c r="AF10" s="15">
        <v>65.2</v>
      </c>
      <c r="AG10" s="269">
        <v>28.6</v>
      </c>
      <c r="AH10" s="290">
        <f t="shared" si="0"/>
        <v>1789.1999999999998</v>
      </c>
      <c r="AI10" s="118">
        <v>25</v>
      </c>
      <c r="AJ10" s="121">
        <f t="shared" si="1"/>
        <v>5.7777777777777775E-3</v>
      </c>
      <c r="AK10" s="67">
        <f t="shared" si="13"/>
        <v>6.4000000000000001E-2</v>
      </c>
      <c r="AL10" s="68">
        <f t="shared" si="13"/>
        <v>4.9166666666666664E-2</v>
      </c>
      <c r="AM10" s="68">
        <f t="shared" si="13"/>
        <v>0.104</v>
      </c>
      <c r="AN10" s="68">
        <f t="shared" si="13"/>
        <v>0.10833333333333334</v>
      </c>
      <c r="AO10" s="68">
        <f t="shared" si="13"/>
        <v>7.4166666666666672E-2</v>
      </c>
      <c r="AP10" s="68">
        <f t="shared" si="13"/>
        <v>4.583333333333333E-2</v>
      </c>
      <c r="AQ10" s="68">
        <f t="shared" si="13"/>
        <v>9.9833333333333329E-2</v>
      </c>
      <c r="AR10" s="68">
        <f t="shared" si="13"/>
        <v>9.583333333333334E-2</v>
      </c>
      <c r="AS10" s="68">
        <f t="shared" si="13"/>
        <v>5.0666666666666665E-2</v>
      </c>
      <c r="AT10" s="68">
        <f t="shared" si="13"/>
        <v>0.11483333333333334</v>
      </c>
      <c r="AU10" s="68">
        <f t="shared" si="14"/>
        <v>0.114</v>
      </c>
      <c r="AV10" s="68">
        <f t="shared" si="14"/>
        <v>0.11466666666666667</v>
      </c>
      <c r="AW10" s="68">
        <f t="shared" si="14"/>
        <v>0.11599999999999999</v>
      </c>
      <c r="AX10" s="68">
        <f t="shared" si="14"/>
        <v>0.11566666666666668</v>
      </c>
      <c r="AY10" s="68">
        <f t="shared" si="14"/>
        <v>0.11566666666666668</v>
      </c>
      <c r="AZ10" s="68">
        <f t="shared" si="14"/>
        <v>0.11466666666666667</v>
      </c>
      <c r="BA10" s="68">
        <f t="shared" si="14"/>
        <v>0.11333333333333333</v>
      </c>
      <c r="BB10" s="68">
        <f>IF(OR(U8="",U8="Sem monitoramento"),"VAZIO",IFERROR(U8/($AI10*24),"-"))</f>
        <v>0.22083333333333333</v>
      </c>
      <c r="BC10" s="68">
        <f t="shared" si="15"/>
        <v>0.11483333333333334</v>
      </c>
      <c r="BD10" s="68">
        <f t="shared" si="15"/>
        <v>0.11583333333333333</v>
      </c>
      <c r="BE10" s="68">
        <f t="shared" si="15"/>
        <v>0.11366666666666667</v>
      </c>
      <c r="BF10" s="68">
        <f t="shared" si="15"/>
        <v>0.115</v>
      </c>
      <c r="BG10" s="68" t="e">
        <f>IF(OR(#REF!="",#REF!="Sem monitoramento"),"VAZIO",IFERROR(#REF!/($AI10*24),"-"))</f>
        <v>#REF!</v>
      </c>
      <c r="BH10" s="68">
        <f>IF(OR(AA10="",AA10="Sem monitoramento"),"VAZIO",IFERROR(AA10/($AI10*24),"-"))</f>
        <v>0.12083333333333333</v>
      </c>
      <c r="BI10" s="68">
        <f>IF(OR(AB10="",AB10="Sem monitoramento"),"VAZIO",IFERROR(AB10/($AI10*24),"-"))</f>
        <v>0.11016666666666666</v>
      </c>
      <c r="BJ10" s="68">
        <f>IF(OR(AC8="",AC8="Sem monitoramento"),"VAZIO",IFERROR(AC8/($AI10*24),"-"))</f>
        <v>0.16583333333333333</v>
      </c>
      <c r="BK10" s="68">
        <f t="shared" si="10"/>
        <v>0.11383333333333333</v>
      </c>
      <c r="BL10" s="68">
        <f t="shared" si="11"/>
        <v>9.4833333333333325E-2</v>
      </c>
      <c r="BM10" s="68">
        <f t="shared" si="12"/>
        <v>0.10866666666666668</v>
      </c>
      <c r="BN10" s="68">
        <f>IF(OR(AG8="",AG8="Sem monitoramento"),"VAZIO",IFERROR(AG8/($AI10*24),"-"))</f>
        <v>9.2999999999999999E-2</v>
      </c>
      <c r="BO10" s="70">
        <f t="shared" si="6"/>
        <v>9.9399999999999988E-2</v>
      </c>
      <c r="BP10" s="180">
        <f>'FCs estimados em PVsyst'!Y8</f>
        <v>0.185</v>
      </c>
      <c r="BQ10" s="72">
        <f t="shared" si="7"/>
        <v>4.625</v>
      </c>
      <c r="BR10" s="73">
        <f t="shared" si="8"/>
        <v>-8.1000000000000003E-2</v>
      </c>
      <c r="BS10" s="74">
        <f t="shared" si="9"/>
        <v>-8.5600000000000009E-2</v>
      </c>
      <c r="BT10" s="15" t="s">
        <v>12</v>
      </c>
      <c r="BU10" s="3"/>
      <c r="BV10" s="2"/>
      <c r="BW10" s="2"/>
    </row>
    <row r="11" spans="2:75" x14ac:dyDescent="0.3">
      <c r="B11" s="771"/>
      <c r="C11" s="327" t="s">
        <v>13</v>
      </c>
      <c r="D11" s="62">
        <v>196</v>
      </c>
      <c r="E11" s="63">
        <v>160.4</v>
      </c>
      <c r="F11" s="63">
        <v>273.39999999999998</v>
      </c>
      <c r="G11" s="63">
        <v>307.60000000000002</v>
      </c>
      <c r="H11" s="63">
        <v>224</v>
      </c>
      <c r="I11" s="283">
        <v>167.7</v>
      </c>
      <c r="J11" s="283">
        <v>320.2</v>
      </c>
      <c r="K11" s="355">
        <v>337.7</v>
      </c>
      <c r="L11" s="63">
        <v>149.69999999999999</v>
      </c>
      <c r="M11" s="355">
        <v>336.7</v>
      </c>
      <c r="N11" s="319">
        <v>339</v>
      </c>
      <c r="O11" s="319">
        <v>338.7</v>
      </c>
      <c r="P11" s="319">
        <v>342</v>
      </c>
      <c r="Q11" s="355">
        <v>342.4</v>
      </c>
      <c r="R11" s="319">
        <v>341.9</v>
      </c>
      <c r="S11" s="319">
        <v>337.5</v>
      </c>
      <c r="T11" s="63">
        <v>328.2</v>
      </c>
      <c r="U11" s="319">
        <v>335.2</v>
      </c>
      <c r="V11" s="355">
        <v>333.4</v>
      </c>
      <c r="W11" s="561">
        <v>332</v>
      </c>
      <c r="X11" s="319">
        <v>321.8</v>
      </c>
      <c r="Y11" s="63">
        <v>327.7</v>
      </c>
      <c r="Z11" s="15">
        <v>262.8</v>
      </c>
      <c r="AA11" s="18">
        <v>319.3</v>
      </c>
      <c r="AB11" s="323">
        <v>303.39999999999998</v>
      </c>
      <c r="AC11" s="221">
        <v>218.8</v>
      </c>
      <c r="AD11" s="15">
        <v>303.5</v>
      </c>
      <c r="AE11" s="15">
        <v>244.2</v>
      </c>
      <c r="AF11" s="15">
        <v>281.7</v>
      </c>
      <c r="AG11" s="269">
        <v>121.1</v>
      </c>
      <c r="AH11" s="290">
        <f t="shared" si="0"/>
        <v>8548</v>
      </c>
      <c r="AI11" s="118">
        <v>78</v>
      </c>
      <c r="AJ11" s="121">
        <f t="shared" si="1"/>
        <v>8.1137226970560295E-3</v>
      </c>
      <c r="AK11" s="67">
        <f t="shared" si="13"/>
        <v>0.1047008547008547</v>
      </c>
      <c r="AL11" s="68">
        <f t="shared" si="13"/>
        <v>8.5683760683760685E-2</v>
      </c>
      <c r="AM11" s="68">
        <f t="shared" si="13"/>
        <v>0.14604700854700853</v>
      </c>
      <c r="AN11" s="68">
        <f t="shared" si="13"/>
        <v>0.16431623931623932</v>
      </c>
      <c r="AO11" s="68">
        <f t="shared" si="13"/>
        <v>0.11965811965811966</v>
      </c>
      <c r="AP11" s="68">
        <f t="shared" si="13"/>
        <v>8.958333333333332E-2</v>
      </c>
      <c r="AQ11" s="68">
        <f t="shared" si="13"/>
        <v>0.17104700854700855</v>
      </c>
      <c r="AR11" s="68">
        <f t="shared" si="13"/>
        <v>0.18039529914529914</v>
      </c>
      <c r="AS11" s="68">
        <f t="shared" si="13"/>
        <v>7.9967948717948711E-2</v>
      </c>
      <c r="AT11" s="68">
        <f t="shared" si="13"/>
        <v>0.17986111111111111</v>
      </c>
      <c r="AU11" s="68">
        <f t="shared" si="14"/>
        <v>0.18108974358974358</v>
      </c>
      <c r="AV11" s="68">
        <f t="shared" si="14"/>
        <v>0.18092948717948718</v>
      </c>
      <c r="AW11" s="68">
        <f t="shared" si="14"/>
        <v>0.18269230769230768</v>
      </c>
      <c r="AX11" s="68">
        <f t="shared" si="14"/>
        <v>0.18290598290598289</v>
      </c>
      <c r="AY11" s="68">
        <f t="shared" si="14"/>
        <v>0.18263888888888888</v>
      </c>
      <c r="AZ11" s="68">
        <f t="shared" si="14"/>
        <v>0.18028846153846154</v>
      </c>
      <c r="BA11" s="68">
        <f t="shared" si="14"/>
        <v>0.17532051282051281</v>
      </c>
      <c r="BB11" s="68">
        <f t="shared" ref="BB11:BC18" si="16">IF(OR(U11="",U11="Sem monitoramento"),"VAZIO",IFERROR(U11/($AI11*24),"-"))</f>
        <v>0.17905982905982906</v>
      </c>
      <c r="BC11" s="68">
        <f t="shared" si="16"/>
        <v>0.17809829059829058</v>
      </c>
      <c r="BD11" s="68">
        <f>IF(OR(W12="",W12="Sem monitoramento"),"VAZIO",IFERROR(W12/($AI11*24),"-"))</f>
        <v>0.13947649572649573</v>
      </c>
      <c r="BE11" s="68">
        <f t="shared" ref="BE11:BH14" si="17">IF(OR(X11="",X11="Sem monitoramento"),"VAZIO",IFERROR(X11/($AI11*24),"-"))</f>
        <v>0.1719017094017094</v>
      </c>
      <c r="BF11" s="68">
        <f t="shared" si="17"/>
        <v>0.17505341880341879</v>
      </c>
      <c r="BG11" s="68">
        <f t="shared" si="17"/>
        <v>0.14038461538461539</v>
      </c>
      <c r="BH11" s="68">
        <f t="shared" si="17"/>
        <v>0.17056623931623932</v>
      </c>
      <c r="BI11" s="68">
        <f>IF(OR(AB9="",AB9="Sem monitoramento"),"VAZIO",IFERROR(AB9/($AI11*24),"-"))</f>
        <v>2.7083333333333334E-2</v>
      </c>
      <c r="BJ11" s="68">
        <f t="shared" ref="BJ11:BJ31" si="18">IF(OR(AC11="",AC11="Sem monitoramento"),"VAZIO",IFERROR(AC11/($AI11*24),"-"))</f>
        <v>0.11688034188034188</v>
      </c>
      <c r="BK11" s="68">
        <f t="shared" si="10"/>
        <v>0.16212606837606838</v>
      </c>
      <c r="BL11" s="68">
        <f t="shared" si="11"/>
        <v>0.13044871794871793</v>
      </c>
      <c r="BM11" s="68">
        <f t="shared" si="12"/>
        <v>0.15048076923076922</v>
      </c>
      <c r="BN11" s="68">
        <f t="shared" ref="BN11:BN31" si="19">IF(OR(AG11="",AG11="Sem monitoramento"),"VAZIO",IFERROR(AG11/($AI11*24),"-"))</f>
        <v>6.4690170940170932E-2</v>
      </c>
      <c r="BO11" s="70">
        <f t="shared" si="6"/>
        <v>0.15220797720797721</v>
      </c>
      <c r="BP11" s="198">
        <f>BP19</f>
        <v>0.168125</v>
      </c>
      <c r="BQ11" s="72">
        <f t="shared" si="7"/>
        <v>13.11375</v>
      </c>
      <c r="BR11" s="73">
        <f t="shared" si="8"/>
        <v>-2.2077991452991469E-2</v>
      </c>
      <c r="BS11" s="74">
        <f t="shared" si="9"/>
        <v>-1.5917022792022784E-2</v>
      </c>
      <c r="BT11" s="15" t="s">
        <v>13</v>
      </c>
      <c r="BU11" s="3"/>
      <c r="BV11" s="2"/>
      <c r="BW11" s="2"/>
    </row>
    <row r="12" spans="2:75" x14ac:dyDescent="0.3">
      <c r="B12" s="772"/>
      <c r="C12" s="326" t="s">
        <v>14</v>
      </c>
      <c r="D12" s="493">
        <v>147.4</v>
      </c>
      <c r="E12" s="308">
        <v>112.1</v>
      </c>
      <c r="F12" s="82">
        <v>237.8</v>
      </c>
      <c r="G12" s="82">
        <v>257.10000000000002</v>
      </c>
      <c r="H12" s="82">
        <v>178.5</v>
      </c>
      <c r="I12" s="308">
        <v>92.1</v>
      </c>
      <c r="J12" s="82">
        <v>239.2</v>
      </c>
      <c r="K12" s="308">
        <v>250.3</v>
      </c>
      <c r="L12" s="82">
        <v>110.2</v>
      </c>
      <c r="M12" s="356">
        <v>265.10000000000002</v>
      </c>
      <c r="N12" s="356">
        <v>263.2</v>
      </c>
      <c r="O12" s="356">
        <v>266</v>
      </c>
      <c r="P12" s="356">
        <v>268.5</v>
      </c>
      <c r="Q12" s="508">
        <v>269.60000000000002</v>
      </c>
      <c r="R12" s="508">
        <v>268.39999999999998</v>
      </c>
      <c r="S12" s="356">
        <v>267</v>
      </c>
      <c r="T12" s="82">
        <v>262.10000000000002</v>
      </c>
      <c r="U12" s="356">
        <v>266.2</v>
      </c>
      <c r="V12" s="356">
        <v>262.8</v>
      </c>
      <c r="W12" s="355">
        <v>261.10000000000002</v>
      </c>
      <c r="X12" s="356">
        <v>261.60000000000002</v>
      </c>
      <c r="Y12" s="82">
        <v>249.5</v>
      </c>
      <c r="Z12" s="16">
        <v>230.2</v>
      </c>
      <c r="AA12" s="17">
        <v>250.8</v>
      </c>
      <c r="AB12" s="324">
        <v>234.2</v>
      </c>
      <c r="AC12" s="489">
        <v>199.1</v>
      </c>
      <c r="AD12" s="16">
        <v>240.8</v>
      </c>
      <c r="AE12" s="16">
        <v>191.6</v>
      </c>
      <c r="AF12" s="16">
        <v>226.5</v>
      </c>
      <c r="AG12" s="270">
        <v>103.3</v>
      </c>
      <c r="AH12" s="290">
        <f t="shared" si="0"/>
        <v>6732.3000000000011</v>
      </c>
      <c r="AI12" s="123">
        <v>61</v>
      </c>
      <c r="AJ12" s="121" t="s">
        <v>31</v>
      </c>
      <c r="AK12" s="67">
        <f t="shared" si="13"/>
        <v>0.10068306010928962</v>
      </c>
      <c r="AL12" s="68">
        <f t="shared" si="13"/>
        <v>7.6571038251366116E-2</v>
      </c>
      <c r="AM12" s="68">
        <f t="shared" si="13"/>
        <v>0.16243169398907104</v>
      </c>
      <c r="AN12" s="68">
        <f t="shared" si="13"/>
        <v>0.17561475409836066</v>
      </c>
      <c r="AO12" s="68">
        <f t="shared" si="13"/>
        <v>0.12192622950819672</v>
      </c>
      <c r="AP12" s="68">
        <f t="shared" si="13"/>
        <v>6.2909836065573765E-2</v>
      </c>
      <c r="AQ12" s="68">
        <f t="shared" si="13"/>
        <v>0.16338797814207651</v>
      </c>
      <c r="AR12" s="68">
        <f t="shared" si="13"/>
        <v>0.17096994535519128</v>
      </c>
      <c r="AS12" s="68">
        <f t="shared" si="13"/>
        <v>7.527322404371585E-2</v>
      </c>
      <c r="AT12" s="68">
        <f t="shared" si="13"/>
        <v>0.18107923497267761</v>
      </c>
      <c r="AU12" s="68">
        <f t="shared" si="14"/>
        <v>0.17978142076502732</v>
      </c>
      <c r="AV12" s="68">
        <f t="shared" si="14"/>
        <v>0.18169398907103826</v>
      </c>
      <c r="AW12" s="68">
        <f t="shared" si="14"/>
        <v>0.18340163934426229</v>
      </c>
      <c r="AX12" s="68">
        <f t="shared" si="14"/>
        <v>0.18415300546448088</v>
      </c>
      <c r="AY12" s="68">
        <f t="shared" si="14"/>
        <v>0.18333333333333332</v>
      </c>
      <c r="AZ12" s="68">
        <f t="shared" si="14"/>
        <v>0.18237704918032788</v>
      </c>
      <c r="BA12" s="68">
        <f t="shared" si="14"/>
        <v>0.17903005464480876</v>
      </c>
      <c r="BB12" s="68">
        <f t="shared" si="16"/>
        <v>0.18183060109289617</v>
      </c>
      <c r="BC12" s="68">
        <f t="shared" si="16"/>
        <v>0.17950819672131149</v>
      </c>
      <c r="BD12" s="68" t="e">
        <f>IF(OR(#REF!="",#REF!="Sem monitoramento"),"VAZIO",IFERROR(#REF!/($AI12*24),"-"))</f>
        <v>#REF!</v>
      </c>
      <c r="BE12" s="68">
        <f t="shared" si="17"/>
        <v>0.17868852459016396</v>
      </c>
      <c r="BF12" s="68">
        <f t="shared" si="17"/>
        <v>0.17042349726775957</v>
      </c>
      <c r="BG12" s="68">
        <f t="shared" si="17"/>
        <v>0.15724043715846994</v>
      </c>
      <c r="BH12" s="68">
        <f t="shared" si="17"/>
        <v>0.17131147540983607</v>
      </c>
      <c r="BI12" s="68">
        <f t="shared" ref="BI12:BI20" si="20">IF(OR(AB12="",AB12="Sem monitoramento"),"VAZIO",IFERROR(AB12/($AI12*24),"-"))</f>
        <v>0.15997267759562842</v>
      </c>
      <c r="BJ12" s="68">
        <f t="shared" si="18"/>
        <v>0.13599726775956283</v>
      </c>
      <c r="BK12" s="68">
        <f t="shared" si="10"/>
        <v>0.16448087431693989</v>
      </c>
      <c r="BL12" s="68">
        <f t="shared" si="11"/>
        <v>0.13087431693989071</v>
      </c>
      <c r="BM12" s="68">
        <f t="shared" si="12"/>
        <v>0.15471311475409835</v>
      </c>
      <c r="BN12" s="68">
        <f t="shared" si="19"/>
        <v>7.0560109289617479E-2</v>
      </c>
      <c r="BO12" s="70">
        <f t="shared" si="6"/>
        <v>0.15328551912568308</v>
      </c>
      <c r="BP12" s="180">
        <f>'FCs estimados em PVsyst'!Y10</f>
        <v>0.18465391621129326</v>
      </c>
      <c r="BQ12" s="72" t="s">
        <v>31</v>
      </c>
      <c r="BR12" s="73" t="s">
        <v>31</v>
      </c>
      <c r="BS12" s="74">
        <f t="shared" si="9"/>
        <v>-3.1368397085610178E-2</v>
      </c>
      <c r="BT12" s="15" t="s">
        <v>14</v>
      </c>
      <c r="BU12" s="3"/>
      <c r="BV12" s="2"/>
      <c r="BW12" s="2"/>
    </row>
    <row r="13" spans="2:75" x14ac:dyDescent="0.3">
      <c r="B13" s="773" t="s">
        <v>16</v>
      </c>
      <c r="C13" s="328" t="s">
        <v>17</v>
      </c>
      <c r="D13" s="223">
        <v>249.7</v>
      </c>
      <c r="E13" s="283">
        <v>189.4</v>
      </c>
      <c r="F13" s="283">
        <v>425.8</v>
      </c>
      <c r="G13" s="283">
        <v>460.9</v>
      </c>
      <c r="H13" s="283">
        <v>285.39999999999998</v>
      </c>
      <c r="I13" s="283">
        <v>157.80000000000001</v>
      </c>
      <c r="J13" s="63">
        <v>421.5</v>
      </c>
      <c r="K13" s="283">
        <v>413.1</v>
      </c>
      <c r="L13" s="63">
        <v>182.1</v>
      </c>
      <c r="M13" s="319">
        <v>467</v>
      </c>
      <c r="N13" s="355">
        <v>471</v>
      </c>
      <c r="O13" s="319">
        <v>476.3</v>
      </c>
      <c r="P13" s="319">
        <v>481.8</v>
      </c>
      <c r="Q13" s="355">
        <v>483.6</v>
      </c>
      <c r="R13" s="508">
        <v>482.7</v>
      </c>
      <c r="S13" s="319">
        <v>478.8</v>
      </c>
      <c r="T13" s="63">
        <v>473</v>
      </c>
      <c r="U13" s="319">
        <v>475.4</v>
      </c>
      <c r="V13" s="319">
        <v>470.9</v>
      </c>
      <c r="W13" s="355">
        <v>466.5</v>
      </c>
      <c r="X13" s="319">
        <v>463.5</v>
      </c>
      <c r="Y13" s="63">
        <v>453.2</v>
      </c>
      <c r="Z13" s="15">
        <v>415.4</v>
      </c>
      <c r="AA13" s="18">
        <v>456.2</v>
      </c>
      <c r="AB13" s="323">
        <v>415.5</v>
      </c>
      <c r="AC13" s="489">
        <v>316.60000000000002</v>
      </c>
      <c r="AD13" s="15">
        <v>427</v>
      </c>
      <c r="AE13" s="15">
        <v>317.3</v>
      </c>
      <c r="AF13" s="15">
        <v>404.8</v>
      </c>
      <c r="AG13" s="269">
        <v>172</v>
      </c>
      <c r="AH13" s="290">
        <f t="shared" si="0"/>
        <v>11854.2</v>
      </c>
      <c r="AI13" s="118">
        <v>100</v>
      </c>
      <c r="AJ13" s="121">
        <f t="shared" ref="AJ13:AJ30" si="21">F13/(AI13*432)</f>
        <v>9.8564814814814817E-3</v>
      </c>
      <c r="AK13" s="67">
        <f t="shared" si="13"/>
        <v>0.10404166666666666</v>
      </c>
      <c r="AL13" s="68">
        <f t="shared" si="13"/>
        <v>7.8916666666666663E-2</v>
      </c>
      <c r="AM13" s="68">
        <f t="shared" si="13"/>
        <v>0.17741666666666667</v>
      </c>
      <c r="AN13" s="68">
        <f t="shared" si="13"/>
        <v>0.19204166666666667</v>
      </c>
      <c r="AO13" s="68">
        <f t="shared" si="13"/>
        <v>0.11891666666666666</v>
      </c>
      <c r="AP13" s="68">
        <f t="shared" si="13"/>
        <v>6.5750000000000003E-2</v>
      </c>
      <c r="AQ13" s="68">
        <f t="shared" si="13"/>
        <v>0.175625</v>
      </c>
      <c r="AR13" s="68">
        <f t="shared" si="13"/>
        <v>0.172125</v>
      </c>
      <c r="AS13" s="68">
        <f t="shared" si="13"/>
        <v>7.5874999999999998E-2</v>
      </c>
      <c r="AT13" s="68">
        <f t="shared" si="13"/>
        <v>0.19458333333333333</v>
      </c>
      <c r="AU13" s="68">
        <f t="shared" si="14"/>
        <v>0.19625000000000001</v>
      </c>
      <c r="AV13" s="68">
        <f t="shared" si="14"/>
        <v>0.19845833333333335</v>
      </c>
      <c r="AW13" s="68">
        <f t="shared" si="14"/>
        <v>0.20075000000000001</v>
      </c>
      <c r="AX13" s="68">
        <f t="shared" si="14"/>
        <v>0.20150000000000001</v>
      </c>
      <c r="AY13" s="68">
        <f t="shared" si="14"/>
        <v>0.201125</v>
      </c>
      <c r="AZ13" s="68">
        <f t="shared" si="14"/>
        <v>0.19950000000000001</v>
      </c>
      <c r="BA13" s="68">
        <f t="shared" si="14"/>
        <v>0.19708333333333333</v>
      </c>
      <c r="BB13" s="68">
        <f t="shared" si="16"/>
        <v>0.19808333333333333</v>
      </c>
      <c r="BC13" s="68">
        <f t="shared" si="16"/>
        <v>0.19620833333333332</v>
      </c>
      <c r="BD13" s="68">
        <f t="shared" ref="BD13:BD24" si="22">IF(OR(W13="",W13="Sem monitoramento"),"VAZIO",IFERROR(W13/($AI13*24),"-"))</f>
        <v>0.19437499999999999</v>
      </c>
      <c r="BE13" s="68">
        <f t="shared" si="17"/>
        <v>0.19312499999999999</v>
      </c>
      <c r="BF13" s="68">
        <f t="shared" si="17"/>
        <v>0.18883333333333333</v>
      </c>
      <c r="BG13" s="68">
        <f t="shared" si="17"/>
        <v>0.17308333333333331</v>
      </c>
      <c r="BH13" s="68">
        <f t="shared" si="17"/>
        <v>0.19008333333333333</v>
      </c>
      <c r="BI13" s="68">
        <f t="shared" si="20"/>
        <v>0.173125</v>
      </c>
      <c r="BJ13" s="68">
        <f t="shared" si="18"/>
        <v>0.13191666666666668</v>
      </c>
      <c r="BK13" s="68">
        <f t="shared" si="10"/>
        <v>0.17791666666666667</v>
      </c>
      <c r="BL13" s="68">
        <f t="shared" si="11"/>
        <v>0.13220833333333334</v>
      </c>
      <c r="BM13" s="68">
        <f t="shared" si="12"/>
        <v>0.16866666666666666</v>
      </c>
      <c r="BN13" s="68">
        <f t="shared" si="19"/>
        <v>7.166666666666667E-2</v>
      </c>
      <c r="BO13" s="70">
        <f t="shared" si="6"/>
        <v>0.16464166666666669</v>
      </c>
      <c r="BP13" s="198">
        <f>BP19</f>
        <v>0.168125</v>
      </c>
      <c r="BQ13" s="72">
        <f t="shared" ref="BQ13:BQ30" si="23">AI13*BP13</f>
        <v>16.8125</v>
      </c>
      <c r="BR13" s="73">
        <f t="shared" ref="BR13:BR30" si="24">AM13-BP13</f>
        <v>9.2916666666666703E-3</v>
      </c>
      <c r="BS13" s="74">
        <f t="shared" si="9"/>
        <v>-3.4833333333333105E-3</v>
      </c>
      <c r="BT13" s="15" t="s">
        <v>17</v>
      </c>
      <c r="BU13" s="3"/>
      <c r="BV13" s="2"/>
      <c r="BW13" s="2"/>
    </row>
    <row r="14" spans="2:75" x14ac:dyDescent="0.3">
      <c r="B14" s="771"/>
      <c r="C14" s="326" t="s">
        <v>18</v>
      </c>
      <c r="D14" s="62">
        <v>278.89999999999998</v>
      </c>
      <c r="E14" s="63">
        <v>222.4</v>
      </c>
      <c r="F14" s="63">
        <v>450.4</v>
      </c>
      <c r="G14" s="63">
        <v>429.6</v>
      </c>
      <c r="H14" s="63">
        <v>308.8</v>
      </c>
      <c r="I14" s="283">
        <v>232.1</v>
      </c>
      <c r="J14" s="283">
        <v>454.8</v>
      </c>
      <c r="K14" s="355">
        <v>475.4</v>
      </c>
      <c r="L14" s="63">
        <v>206.9</v>
      </c>
      <c r="M14" s="355">
        <v>473.4</v>
      </c>
      <c r="N14" s="319">
        <v>480.3</v>
      </c>
      <c r="O14" s="319">
        <v>480.9</v>
      </c>
      <c r="P14" s="319">
        <v>473.9</v>
      </c>
      <c r="Q14" s="355">
        <v>485.9</v>
      </c>
      <c r="R14" s="319">
        <v>485</v>
      </c>
      <c r="S14" s="319">
        <v>480.8</v>
      </c>
      <c r="T14" s="63">
        <v>471.2</v>
      </c>
      <c r="U14" s="319">
        <v>477.2</v>
      </c>
      <c r="V14" s="355">
        <v>475.2</v>
      </c>
      <c r="W14" s="355">
        <v>474.8</v>
      </c>
      <c r="X14" s="63">
        <v>459.6</v>
      </c>
      <c r="Y14" s="63">
        <v>468.2</v>
      </c>
      <c r="Z14" s="15">
        <v>387.9</v>
      </c>
      <c r="AA14" s="18">
        <v>451.2</v>
      </c>
      <c r="AB14" s="323">
        <v>430.7</v>
      </c>
      <c r="AC14" s="221">
        <v>312.39999999999998</v>
      </c>
      <c r="AD14" s="15">
        <v>433.1</v>
      </c>
      <c r="AE14" s="15">
        <v>343.5</v>
      </c>
      <c r="AF14" s="15">
        <v>404.2</v>
      </c>
      <c r="AG14" s="269">
        <v>166.9</v>
      </c>
      <c r="AH14" s="290">
        <f t="shared" si="0"/>
        <v>12175.600000000002</v>
      </c>
      <c r="AI14" s="118">
        <v>100</v>
      </c>
      <c r="AJ14" s="121">
        <f t="shared" si="21"/>
        <v>1.0425925925925925E-2</v>
      </c>
      <c r="AK14" s="67">
        <f t="shared" si="13"/>
        <v>0.11620833333333333</v>
      </c>
      <c r="AL14" s="68">
        <f t="shared" si="13"/>
        <v>9.2666666666666675E-2</v>
      </c>
      <c r="AM14" s="68">
        <f t="shared" si="13"/>
        <v>0.18766666666666665</v>
      </c>
      <c r="AN14" s="68">
        <f t="shared" si="13"/>
        <v>0.17900000000000002</v>
      </c>
      <c r="AO14" s="68">
        <f t="shared" si="13"/>
        <v>0.12866666666666668</v>
      </c>
      <c r="AP14" s="68">
        <f t="shared" si="13"/>
        <v>9.6708333333333327E-2</v>
      </c>
      <c r="AQ14" s="68">
        <f t="shared" si="13"/>
        <v>0.1895</v>
      </c>
      <c r="AR14" s="68">
        <f t="shared" si="13"/>
        <v>0.19808333333333333</v>
      </c>
      <c r="AS14" s="68">
        <f t="shared" si="13"/>
        <v>8.6208333333333331E-2</v>
      </c>
      <c r="AT14" s="68">
        <f t="shared" si="13"/>
        <v>0.19724999999999998</v>
      </c>
      <c r="AU14" s="68">
        <f t="shared" si="14"/>
        <v>0.200125</v>
      </c>
      <c r="AV14" s="68">
        <f t="shared" si="14"/>
        <v>0.200375</v>
      </c>
      <c r="AW14" s="68">
        <f t="shared" si="14"/>
        <v>0.19745833333333332</v>
      </c>
      <c r="AX14" s="68">
        <f t="shared" si="14"/>
        <v>0.20245833333333332</v>
      </c>
      <c r="AY14" s="68">
        <f t="shared" si="14"/>
        <v>0.20208333333333334</v>
      </c>
      <c r="AZ14" s="68">
        <f t="shared" si="14"/>
        <v>0.20033333333333334</v>
      </c>
      <c r="BA14" s="68">
        <f t="shared" si="14"/>
        <v>0.19633333333333333</v>
      </c>
      <c r="BB14" s="68">
        <f t="shared" si="16"/>
        <v>0.19883333333333333</v>
      </c>
      <c r="BC14" s="68">
        <f t="shared" si="16"/>
        <v>0.19799999999999998</v>
      </c>
      <c r="BD14" s="68">
        <f t="shared" si="22"/>
        <v>0.19783333333333333</v>
      </c>
      <c r="BE14" s="68">
        <f t="shared" si="17"/>
        <v>0.1915</v>
      </c>
      <c r="BF14" s="68">
        <f t="shared" si="17"/>
        <v>0.19508333333333333</v>
      </c>
      <c r="BG14" s="68">
        <f t="shared" si="17"/>
        <v>0.16162499999999999</v>
      </c>
      <c r="BH14" s="68">
        <f t="shared" si="17"/>
        <v>0.188</v>
      </c>
      <c r="BI14" s="68">
        <f t="shared" si="20"/>
        <v>0.17945833333333333</v>
      </c>
      <c r="BJ14" s="68">
        <f t="shared" si="18"/>
        <v>0.13016666666666665</v>
      </c>
      <c r="BK14" s="68">
        <f t="shared" si="10"/>
        <v>0.18045833333333333</v>
      </c>
      <c r="BL14" s="68">
        <f t="shared" si="11"/>
        <v>0.143125</v>
      </c>
      <c r="BM14" s="68">
        <f t="shared" si="12"/>
        <v>0.16841666666666666</v>
      </c>
      <c r="BN14" s="68">
        <f t="shared" si="19"/>
        <v>6.9541666666666668E-2</v>
      </c>
      <c r="BO14" s="70">
        <f t="shared" si="6"/>
        <v>0.16910555555555559</v>
      </c>
      <c r="BP14" s="198">
        <f>$BP$19</f>
        <v>0.168125</v>
      </c>
      <c r="BQ14" s="72">
        <f t="shared" si="23"/>
        <v>16.8125</v>
      </c>
      <c r="BR14" s="73">
        <f t="shared" si="24"/>
        <v>1.9541666666666652E-2</v>
      </c>
      <c r="BS14" s="74">
        <f t="shared" si="9"/>
        <v>9.8055555555559559E-4</v>
      </c>
      <c r="BT14" s="15" t="s">
        <v>18</v>
      </c>
      <c r="BU14" s="3"/>
      <c r="BV14" s="2"/>
      <c r="BW14" s="2"/>
    </row>
    <row r="15" spans="2:75" x14ac:dyDescent="0.3">
      <c r="B15" s="771"/>
      <c r="C15" s="326" t="s">
        <v>110</v>
      </c>
      <c r="D15" s="62">
        <v>74.900000000000006</v>
      </c>
      <c r="E15" s="63">
        <v>59.8</v>
      </c>
      <c r="F15" s="63">
        <v>124.8</v>
      </c>
      <c r="G15" s="63">
        <v>115.2</v>
      </c>
      <c r="H15" s="63">
        <v>85.5</v>
      </c>
      <c r="I15" s="283">
        <v>63.7</v>
      </c>
      <c r="J15" s="283">
        <v>120.1</v>
      </c>
      <c r="K15" s="355">
        <v>126.9</v>
      </c>
      <c r="L15" s="63">
        <v>56.3</v>
      </c>
      <c r="M15" s="355">
        <v>126.3</v>
      </c>
      <c r="N15" s="319">
        <v>126.8</v>
      </c>
      <c r="O15" s="319">
        <v>127.1</v>
      </c>
      <c r="P15" s="319">
        <v>128.5</v>
      </c>
      <c r="Q15" s="355">
        <v>128.30000000000001</v>
      </c>
      <c r="R15" s="319">
        <v>127.6</v>
      </c>
      <c r="S15" s="319">
        <v>126.7</v>
      </c>
      <c r="T15" s="63">
        <v>124.5</v>
      </c>
      <c r="U15" s="319">
        <v>125.3</v>
      </c>
      <c r="V15" s="355">
        <v>124.7</v>
      </c>
      <c r="W15" s="355">
        <v>124.8</v>
      </c>
      <c r="X15" s="63">
        <v>122.6</v>
      </c>
      <c r="Y15" s="63">
        <v>123</v>
      </c>
      <c r="Z15" s="31">
        <v>98.9</v>
      </c>
      <c r="AA15" s="18">
        <v>120.8</v>
      </c>
      <c r="AB15" s="323">
        <v>113.3</v>
      </c>
      <c r="AC15" s="221">
        <v>85.7</v>
      </c>
      <c r="AD15" s="221">
        <v>113.4</v>
      </c>
      <c r="AE15" s="15">
        <v>91.4</v>
      </c>
      <c r="AF15" s="15">
        <v>105.7</v>
      </c>
      <c r="AG15" s="269">
        <v>43.3</v>
      </c>
      <c r="AH15" s="290">
        <f t="shared" si="0"/>
        <v>3235.9</v>
      </c>
      <c r="AI15" s="118">
        <v>29</v>
      </c>
      <c r="AJ15" s="121">
        <f t="shared" si="21"/>
        <v>9.9616858237547897E-3</v>
      </c>
      <c r="AK15" s="67">
        <f t="shared" si="13"/>
        <v>0.10761494252873564</v>
      </c>
      <c r="AL15" s="68">
        <f t="shared" si="13"/>
        <v>8.5919540229885058E-2</v>
      </c>
      <c r="AM15" s="68">
        <f t="shared" si="13"/>
        <v>0.1793103448275862</v>
      </c>
      <c r="AN15" s="68">
        <f t="shared" si="13"/>
        <v>0.16551724137931034</v>
      </c>
      <c r="AO15" s="68">
        <f t="shared" si="13"/>
        <v>0.12284482758620689</v>
      </c>
      <c r="AP15" s="68">
        <f t="shared" si="13"/>
        <v>9.1522988505747124E-2</v>
      </c>
      <c r="AQ15" s="68">
        <f t="shared" si="13"/>
        <v>0.1725574712643678</v>
      </c>
      <c r="AR15" s="68">
        <f t="shared" si="13"/>
        <v>0.18232758620689657</v>
      </c>
      <c r="AS15" s="68">
        <f t="shared" si="13"/>
        <v>8.0890804597701149E-2</v>
      </c>
      <c r="AT15" s="68">
        <f t="shared" si="13"/>
        <v>0.1814655172413793</v>
      </c>
      <c r="AU15" s="68">
        <f t="shared" si="14"/>
        <v>0.18218390804597701</v>
      </c>
      <c r="AV15" s="68">
        <f t="shared" si="14"/>
        <v>0.18261494252873561</v>
      </c>
      <c r="AW15" s="68">
        <f t="shared" si="14"/>
        <v>0.1846264367816092</v>
      </c>
      <c r="AX15" s="68">
        <f t="shared" si="14"/>
        <v>0.18433908045977013</v>
      </c>
      <c r="AY15" s="68">
        <f t="shared" si="14"/>
        <v>0.18333333333333332</v>
      </c>
      <c r="AZ15" s="68">
        <f t="shared" si="14"/>
        <v>0.18204022988505747</v>
      </c>
      <c r="BA15" s="68">
        <f t="shared" si="14"/>
        <v>0.1788793103448276</v>
      </c>
      <c r="BB15" s="68">
        <f t="shared" si="16"/>
        <v>0.18002873563218391</v>
      </c>
      <c r="BC15" s="68">
        <f t="shared" si="16"/>
        <v>0.17916666666666667</v>
      </c>
      <c r="BD15" s="68">
        <f t="shared" si="22"/>
        <v>0.1793103448275862</v>
      </c>
      <c r="BE15" s="68">
        <f t="shared" ref="BE15:BF18" si="25">IF(OR(X15="",X15="Sem monitoramento"),"VAZIO",IFERROR(X15/($AI15*24),"-"))</f>
        <v>0.1761494252873563</v>
      </c>
      <c r="BF15" s="68">
        <f t="shared" si="25"/>
        <v>0.17672413793103448</v>
      </c>
      <c r="BG15" s="68">
        <f>IF(OR(Z16="",Z16="Sem monitoramento"),"VAZIO",IFERROR(Z16/($AI15*24),"-"))</f>
        <v>0.58520114942528734</v>
      </c>
      <c r="BH15" s="68">
        <f t="shared" ref="BH15:BH31" si="26">IF(OR(AA15="",AA15="Sem monitoramento"),"VAZIO",IFERROR(AA15/($AI15*24),"-"))</f>
        <v>0.1735632183908046</v>
      </c>
      <c r="BI15" s="68">
        <f t="shared" si="20"/>
        <v>0.16278735632183908</v>
      </c>
      <c r="BJ15" s="68">
        <f t="shared" si="18"/>
        <v>0.12313218390804598</v>
      </c>
      <c r="BK15" s="68">
        <f t="shared" si="10"/>
        <v>0.16293103448275864</v>
      </c>
      <c r="BL15" s="68">
        <f t="shared" si="11"/>
        <v>0.13132183908045977</v>
      </c>
      <c r="BM15" s="68">
        <f t="shared" si="12"/>
        <v>0.15186781609195402</v>
      </c>
      <c r="BN15" s="68">
        <f t="shared" si="19"/>
        <v>6.2212643678160914E-2</v>
      </c>
      <c r="BO15" s="70">
        <f t="shared" si="6"/>
        <v>0.15497605363984676</v>
      </c>
      <c r="BP15" s="180">
        <f>'FCs estimados em PVsyst'!Y13</f>
        <v>0.1850095785440613</v>
      </c>
      <c r="BQ15" s="72">
        <f t="shared" si="23"/>
        <v>5.365277777777778</v>
      </c>
      <c r="BR15" s="73">
        <f t="shared" si="24"/>
        <v>-5.6992337164750995E-3</v>
      </c>
      <c r="BS15" s="74">
        <f t="shared" si="9"/>
        <v>-3.0033524904214542E-2</v>
      </c>
      <c r="BT15" s="15" t="s">
        <v>110</v>
      </c>
      <c r="BU15" s="3"/>
      <c r="BV15" s="2"/>
      <c r="BW15" s="2"/>
    </row>
    <row r="16" spans="2:75" x14ac:dyDescent="0.3">
      <c r="B16" s="774"/>
      <c r="C16" s="326" t="s">
        <v>20</v>
      </c>
      <c r="D16" s="62">
        <v>288.3</v>
      </c>
      <c r="E16" s="63">
        <v>255.5</v>
      </c>
      <c r="F16" s="63">
        <v>463.6</v>
      </c>
      <c r="G16" s="63">
        <v>419.1</v>
      </c>
      <c r="H16" s="63">
        <v>298.8</v>
      </c>
      <c r="I16" s="63">
        <v>249.3</v>
      </c>
      <c r="J16" s="63">
        <v>499.5</v>
      </c>
      <c r="K16" s="319">
        <v>499.1</v>
      </c>
      <c r="L16" s="63">
        <v>201.7</v>
      </c>
      <c r="M16" s="319">
        <v>504.5</v>
      </c>
      <c r="N16" s="319">
        <v>503.9</v>
      </c>
      <c r="O16" s="319">
        <v>507.4</v>
      </c>
      <c r="P16" s="355">
        <v>511</v>
      </c>
      <c r="Q16" s="355">
        <v>510.7</v>
      </c>
      <c r="R16" s="319">
        <v>504.3</v>
      </c>
      <c r="S16" s="319">
        <v>505</v>
      </c>
      <c r="T16" s="141">
        <v>504.2</v>
      </c>
      <c r="U16" s="319">
        <v>499.6</v>
      </c>
      <c r="V16" s="355">
        <v>493.8</v>
      </c>
      <c r="W16" s="355">
        <v>494.7</v>
      </c>
      <c r="X16" s="63">
        <v>481.2</v>
      </c>
      <c r="Y16" s="63">
        <v>482</v>
      </c>
      <c r="Z16" s="15">
        <v>407.3</v>
      </c>
      <c r="AA16" s="61">
        <v>472.6</v>
      </c>
      <c r="AB16" s="323">
        <v>392.6</v>
      </c>
      <c r="AC16" s="15">
        <v>370.4</v>
      </c>
      <c r="AD16" s="15">
        <v>443.3</v>
      </c>
      <c r="AE16" s="15">
        <v>365.1</v>
      </c>
      <c r="AF16" s="15">
        <v>424.8</v>
      </c>
      <c r="AG16" s="269">
        <v>163</v>
      </c>
      <c r="AH16" s="290">
        <f t="shared" si="0"/>
        <v>12716.3</v>
      </c>
      <c r="AI16" s="118">
        <v>100</v>
      </c>
      <c r="AJ16" s="121">
        <f t="shared" si="21"/>
        <v>1.0731481481481482E-2</v>
      </c>
      <c r="AK16" s="67">
        <f t="shared" ref="AK16:AZ16" si="27">IF(OR(D16="",D16="Sem monitoramento"),"VAZIO",IFERROR(D16/($AI16*24),"-"))</f>
        <v>0.12012500000000001</v>
      </c>
      <c r="AL16" s="68">
        <f t="shared" si="27"/>
        <v>0.10645833333333334</v>
      </c>
      <c r="AM16" s="68">
        <f t="shared" si="27"/>
        <v>0.19316666666666668</v>
      </c>
      <c r="AN16" s="68">
        <f t="shared" si="27"/>
        <v>0.174625</v>
      </c>
      <c r="AO16" s="68">
        <f t="shared" si="27"/>
        <v>0.1245</v>
      </c>
      <c r="AP16" s="68">
        <f t="shared" si="27"/>
        <v>0.10387500000000001</v>
      </c>
      <c r="AQ16" s="68">
        <f t="shared" si="27"/>
        <v>0.208125</v>
      </c>
      <c r="AR16" s="68">
        <f t="shared" si="27"/>
        <v>0.20795833333333336</v>
      </c>
      <c r="AS16" s="68">
        <f t="shared" si="27"/>
        <v>8.4041666666666667E-2</v>
      </c>
      <c r="AT16" s="68">
        <f t="shared" si="27"/>
        <v>0.21020833333333333</v>
      </c>
      <c r="AU16" s="68">
        <f t="shared" si="27"/>
        <v>0.20995833333333333</v>
      </c>
      <c r="AV16" s="68">
        <f t="shared" si="27"/>
        <v>0.21141666666666667</v>
      </c>
      <c r="AW16" s="68">
        <f t="shared" si="27"/>
        <v>0.21291666666666667</v>
      </c>
      <c r="AX16" s="68">
        <f t="shared" si="27"/>
        <v>0.21279166666666666</v>
      </c>
      <c r="AY16" s="68">
        <f t="shared" si="27"/>
        <v>0.21012500000000001</v>
      </c>
      <c r="AZ16" s="68">
        <f t="shared" si="27"/>
        <v>0.21041666666666667</v>
      </c>
      <c r="BA16" s="68">
        <f>IF(OR(T14="",T14="Sem monitoramento"),"VAZIO",IFERROR(T14/($AI16*24),"-"))</f>
        <v>0.19633333333333333</v>
      </c>
      <c r="BB16" s="68">
        <f t="shared" si="16"/>
        <v>0.20816666666666667</v>
      </c>
      <c r="BC16" s="68">
        <f t="shared" si="16"/>
        <v>0.20575000000000002</v>
      </c>
      <c r="BD16" s="68">
        <f t="shared" si="22"/>
        <v>0.206125</v>
      </c>
      <c r="BE16" s="68">
        <f t="shared" si="25"/>
        <v>0.20049999999999998</v>
      </c>
      <c r="BF16" s="68">
        <f t="shared" si="25"/>
        <v>0.20083333333333334</v>
      </c>
      <c r="BG16" s="68" t="e">
        <f>IF(OR(#REF!="",#REF!="Sem monitoramento"),"VAZIO",IFERROR(#REF!/($AI16*24),"-"))</f>
        <v>#REF!</v>
      </c>
      <c r="BH16" s="68">
        <f t="shared" si="26"/>
        <v>0.19691666666666668</v>
      </c>
      <c r="BI16" s="68">
        <f t="shared" si="20"/>
        <v>0.16358333333333333</v>
      </c>
      <c r="BJ16" s="68">
        <f t="shared" si="18"/>
        <v>0.15433333333333332</v>
      </c>
      <c r="BK16" s="68">
        <f t="shared" si="10"/>
        <v>0.18470833333333334</v>
      </c>
      <c r="BL16" s="68">
        <f t="shared" si="11"/>
        <v>0.15212500000000001</v>
      </c>
      <c r="BM16" s="68">
        <f t="shared" si="12"/>
        <v>0.17700000000000002</v>
      </c>
      <c r="BN16" s="68">
        <f t="shared" si="19"/>
        <v>6.7916666666666667E-2</v>
      </c>
      <c r="BO16" s="70">
        <f t="shared" si="6"/>
        <v>0.17661527777777777</v>
      </c>
      <c r="BP16" s="180">
        <f>'FCs estimados em PVsyst'!Y14</f>
        <v>0.16425000000000001</v>
      </c>
      <c r="BQ16" s="72">
        <f t="shared" si="23"/>
        <v>16.425000000000001</v>
      </c>
      <c r="BR16" s="73">
        <f t="shared" si="24"/>
        <v>2.8916666666666674E-2</v>
      </c>
      <c r="BS16" s="74">
        <f t="shared" si="9"/>
        <v>1.2365277777777767E-2</v>
      </c>
      <c r="BT16" s="15" t="s">
        <v>20</v>
      </c>
      <c r="BU16" s="3"/>
      <c r="BV16" s="2"/>
      <c r="BW16" s="2"/>
    </row>
    <row r="17" spans="2:75" x14ac:dyDescent="0.3">
      <c r="B17" s="775" t="s">
        <v>21</v>
      </c>
      <c r="C17" s="326" t="s">
        <v>22</v>
      </c>
      <c r="D17" s="223">
        <v>286</v>
      </c>
      <c r="E17" s="63">
        <v>302.89999999999998</v>
      </c>
      <c r="F17" s="308">
        <v>396.8</v>
      </c>
      <c r="G17" s="283">
        <v>420</v>
      </c>
      <c r="H17" s="283">
        <v>335.1</v>
      </c>
      <c r="I17" s="82">
        <v>286.10000000000002</v>
      </c>
      <c r="J17" s="547">
        <v>415</v>
      </c>
      <c r="K17" s="319">
        <v>430</v>
      </c>
      <c r="L17" s="63">
        <v>326.89999999999998</v>
      </c>
      <c r="M17" s="319">
        <v>452.9</v>
      </c>
      <c r="N17" s="487">
        <v>452.7</v>
      </c>
      <c r="O17" s="319">
        <v>458.5</v>
      </c>
      <c r="P17" s="517">
        <v>449</v>
      </c>
      <c r="Q17" s="517">
        <v>440</v>
      </c>
      <c r="R17" s="514">
        <v>435</v>
      </c>
      <c r="S17" s="355">
        <v>432</v>
      </c>
      <c r="T17" s="63">
        <v>428</v>
      </c>
      <c r="U17" s="319">
        <v>449.8</v>
      </c>
      <c r="V17" s="319">
        <v>437.7</v>
      </c>
      <c r="W17" s="517">
        <v>342</v>
      </c>
      <c r="X17" s="514">
        <v>434</v>
      </c>
      <c r="Y17" s="514">
        <v>400</v>
      </c>
      <c r="Z17" s="45">
        <v>330</v>
      </c>
      <c r="AA17" s="522">
        <v>340</v>
      </c>
      <c r="AB17" s="524">
        <v>410</v>
      </c>
      <c r="AC17" s="527">
        <v>316</v>
      </c>
      <c r="AD17" s="221">
        <v>417</v>
      </c>
      <c r="AE17" s="15">
        <v>461</v>
      </c>
      <c r="AF17" s="15">
        <v>440</v>
      </c>
      <c r="AG17" s="269">
        <v>220</v>
      </c>
      <c r="AH17" s="290">
        <f t="shared" si="0"/>
        <v>11744.400000000001</v>
      </c>
      <c r="AI17" s="118">
        <v>100</v>
      </c>
      <c r="AJ17" s="122">
        <f t="shared" si="21"/>
        <v>9.1851851851851851E-3</v>
      </c>
      <c r="AK17" s="67">
        <f t="shared" ref="AK17:AK25" si="28">IF(OR(D17="",D17="Sem monitoramento"),"VAZIO",IFERROR(D17/($AI17*24),"-"))</f>
        <v>0.11916666666666667</v>
      </c>
      <c r="AL17" s="68">
        <f t="shared" ref="AL17:AL25" si="29">IF(OR(E17="",E17="Sem monitoramento"),"VAZIO",IFERROR(E17/($AI17*24),"-"))</f>
        <v>0.12620833333333331</v>
      </c>
      <c r="AM17" s="68">
        <f t="shared" ref="AM17:AM25" si="30">IF(OR(F17="",F17="Sem monitoramento"),"VAZIO",IFERROR(F17/($AI17*24),"-"))</f>
        <v>0.16533333333333333</v>
      </c>
      <c r="AN17" s="68">
        <f t="shared" ref="AN17:AN25" si="31">IF(OR(G17="",G17="Sem monitoramento"),"VAZIO",IFERROR(G17/($AI17*24),"-"))</f>
        <v>0.17499999999999999</v>
      </c>
      <c r="AO17" s="68">
        <f t="shared" ref="AO17:AO25" si="32">IF(OR(H17="",H17="Sem monitoramento"),"VAZIO",IFERROR(H17/($AI17*24),"-"))</f>
        <v>0.139625</v>
      </c>
      <c r="AP17" s="68">
        <f t="shared" ref="AP17:AP25" si="33">IF(OR(I17="",I17="Sem monitoramento"),"VAZIO",IFERROR(I17/($AI17*24),"-"))</f>
        <v>0.11920833333333335</v>
      </c>
      <c r="AQ17" s="68">
        <f t="shared" ref="AQ17:AQ25" si="34">IF(OR(J17="",J17="Sem monitoramento"),"VAZIO",IFERROR(J17/($AI17*24),"-"))</f>
        <v>0.17291666666666666</v>
      </c>
      <c r="AR17" s="68" t="e">
        <f>IF(OR(#REF!="",#REF!="Sem monitoramento"),"VAZIO",IFERROR(#REF!/($AI17*24),"-"))</f>
        <v>#REF!</v>
      </c>
      <c r="AS17" s="68">
        <f>IF(OR(L17="",L17="Sem monitoramento"),"VAZIO",IFERROR(L17/($AI17*24),"-"))</f>
        <v>0.13620833333333332</v>
      </c>
      <c r="AT17" s="68">
        <f>IF(OR(M17="",M17="Sem monitoramento"),"VAZIO",IFERROR(M17/($AI17*24),"-"))</f>
        <v>0.18870833333333331</v>
      </c>
      <c r="AU17" s="68">
        <f>IF(OR(N18="",N18="Sem monitoramento"),"VAZIO",IFERROR(N18/($AI17*24),"-"))</f>
        <v>0.18354166666666666</v>
      </c>
      <c r="AV17" s="68">
        <f t="shared" ref="AV17:BA19" si="35">IF(OR(O17="",O17="Sem monitoramento"),"VAZIO",IFERROR(O17/($AI17*24),"-"))</f>
        <v>0.19104166666666667</v>
      </c>
      <c r="AW17" s="68">
        <f t="shared" si="35"/>
        <v>0.18708333333333332</v>
      </c>
      <c r="AX17" s="68">
        <f t="shared" si="35"/>
        <v>0.18333333333333332</v>
      </c>
      <c r="AY17" s="68">
        <f t="shared" si="35"/>
        <v>0.18124999999999999</v>
      </c>
      <c r="AZ17" s="68">
        <f t="shared" si="35"/>
        <v>0.18</v>
      </c>
      <c r="BA17" s="68">
        <f t="shared" si="35"/>
        <v>0.17833333333333334</v>
      </c>
      <c r="BB17" s="68">
        <f t="shared" si="16"/>
        <v>0.18741666666666668</v>
      </c>
      <c r="BC17" s="68">
        <f t="shared" si="16"/>
        <v>0.18237499999999998</v>
      </c>
      <c r="BD17" s="68">
        <f t="shared" si="22"/>
        <v>0.14249999999999999</v>
      </c>
      <c r="BE17" s="68">
        <f t="shared" si="25"/>
        <v>0.18083333333333335</v>
      </c>
      <c r="BF17" s="68">
        <f t="shared" si="25"/>
        <v>0.16666666666666666</v>
      </c>
      <c r="BG17" s="68">
        <f t="shared" ref="BG17:BG24" si="36">IF(OR(Z17="",Z17="Sem monitoramento"),"VAZIO",IFERROR(Z17/($AI17*24),"-"))</f>
        <v>0.13750000000000001</v>
      </c>
      <c r="BH17" s="68">
        <f t="shared" si="26"/>
        <v>0.14166666666666666</v>
      </c>
      <c r="BI17" s="68">
        <f t="shared" si="20"/>
        <v>0.17083333333333334</v>
      </c>
      <c r="BJ17" s="68">
        <f t="shared" si="18"/>
        <v>0.13166666666666665</v>
      </c>
      <c r="BK17" s="68">
        <f t="shared" si="10"/>
        <v>0.17374999999999999</v>
      </c>
      <c r="BL17" s="68">
        <f t="shared" si="11"/>
        <v>0.19208333333333333</v>
      </c>
      <c r="BM17" s="68">
        <f t="shared" si="12"/>
        <v>0.18333333333333332</v>
      </c>
      <c r="BN17" s="68">
        <f t="shared" si="19"/>
        <v>9.166666666666666E-2</v>
      </c>
      <c r="BO17" s="70">
        <f t="shared" si="6"/>
        <v>0.16311666666666669</v>
      </c>
      <c r="BP17" s="198">
        <f>$BP$19</f>
        <v>0.168125</v>
      </c>
      <c r="BQ17" s="90">
        <f t="shared" si="23"/>
        <v>16.8125</v>
      </c>
      <c r="BR17" s="73">
        <f t="shared" si="24"/>
        <v>-2.7916666666666645E-3</v>
      </c>
      <c r="BS17" s="74">
        <f t="shared" si="9"/>
        <v>-5.0083333333333091E-3</v>
      </c>
      <c r="BT17" s="15" t="s">
        <v>22</v>
      </c>
      <c r="BU17" s="3"/>
      <c r="BV17" s="2"/>
      <c r="BW17" s="2"/>
    </row>
    <row r="18" spans="2:75" x14ac:dyDescent="0.3">
      <c r="B18" s="775"/>
      <c r="C18" s="326" t="s">
        <v>23</v>
      </c>
      <c r="D18" s="223">
        <v>283.2</v>
      </c>
      <c r="E18" s="63">
        <v>298.2</v>
      </c>
      <c r="F18" s="308">
        <v>392.3</v>
      </c>
      <c r="G18" s="283">
        <v>414.6</v>
      </c>
      <c r="H18" s="63">
        <v>330.9</v>
      </c>
      <c r="I18" s="63">
        <v>288.89999999999998</v>
      </c>
      <c r="J18" s="63">
        <v>418.5</v>
      </c>
      <c r="K18" s="319">
        <v>423.8</v>
      </c>
      <c r="L18" s="63">
        <v>342.4</v>
      </c>
      <c r="M18" s="511">
        <v>441.2</v>
      </c>
      <c r="N18" s="319">
        <v>440.5</v>
      </c>
      <c r="O18" s="319">
        <v>447.1</v>
      </c>
      <c r="P18" s="63">
        <v>436.4</v>
      </c>
      <c r="Q18" s="355">
        <v>440.1</v>
      </c>
      <c r="R18" s="319">
        <v>441.2</v>
      </c>
      <c r="S18" s="355">
        <v>439.3</v>
      </c>
      <c r="T18" s="63">
        <v>426</v>
      </c>
      <c r="U18" s="355">
        <v>437.3</v>
      </c>
      <c r="V18" s="355">
        <v>427.7</v>
      </c>
      <c r="W18" s="355">
        <v>434.2</v>
      </c>
      <c r="X18" s="63">
        <v>428.8</v>
      </c>
      <c r="Y18" s="63">
        <v>391.1</v>
      </c>
      <c r="Z18" s="15">
        <v>328.1</v>
      </c>
      <c r="AA18" s="18">
        <v>349.6</v>
      </c>
      <c r="AB18" s="526">
        <v>399.7</v>
      </c>
      <c r="AC18" s="221">
        <v>310.39999999999998</v>
      </c>
      <c r="AD18" s="221">
        <v>401.3</v>
      </c>
      <c r="AE18" s="15">
        <v>331.6</v>
      </c>
      <c r="AF18" s="15">
        <v>427.3</v>
      </c>
      <c r="AG18" s="269">
        <v>225.7</v>
      </c>
      <c r="AH18" s="290">
        <f t="shared" si="0"/>
        <v>11597.400000000001</v>
      </c>
      <c r="AI18" s="118">
        <v>100</v>
      </c>
      <c r="AJ18" s="122">
        <f t="shared" si="21"/>
        <v>9.0810185185185195E-3</v>
      </c>
      <c r="AK18" s="67">
        <f t="shared" si="28"/>
        <v>0.11799999999999999</v>
      </c>
      <c r="AL18" s="68">
        <f t="shared" si="29"/>
        <v>0.12425</v>
      </c>
      <c r="AM18" s="68">
        <f t="shared" si="30"/>
        <v>0.16345833333333334</v>
      </c>
      <c r="AN18" s="68">
        <f t="shared" si="31"/>
        <v>0.17275000000000001</v>
      </c>
      <c r="AO18" s="68">
        <f t="shared" si="32"/>
        <v>0.137875</v>
      </c>
      <c r="AP18" s="68">
        <f t="shared" si="33"/>
        <v>0.120375</v>
      </c>
      <c r="AQ18" s="68">
        <f t="shared" si="34"/>
        <v>0.174375</v>
      </c>
      <c r="AR18" s="68">
        <f>IF(OR(K18="",K18="Sem monitoramento"),"VAZIO",IFERROR(K18/($AI18*24),"-"))</f>
        <v>0.17658333333333334</v>
      </c>
      <c r="AS18" s="68">
        <f>IF(OR(L18="",L18="Sem monitoramento"),"VAZIO",IFERROR(L18/($AI18*24),"-"))</f>
        <v>0.14266666666666666</v>
      </c>
      <c r="AT18" s="68">
        <f>IF(OR(M19="",M19="Sem monitoramento"),"VAZIO",IFERROR(M19/($AI18*24),"-"))</f>
        <v>0.15795833333333334</v>
      </c>
      <c r="AU18" s="68" t="e">
        <f>IF(OR(#REF!="",#REF!="Sem monitoramento"),"VAZIO",IFERROR(#REF!/($AI18*24),"-"))</f>
        <v>#REF!</v>
      </c>
      <c r="AV18" s="68">
        <f t="shared" si="35"/>
        <v>0.18629166666666669</v>
      </c>
      <c r="AW18" s="68">
        <f t="shared" si="35"/>
        <v>0.18183333333333332</v>
      </c>
      <c r="AX18" s="68">
        <f t="shared" si="35"/>
        <v>0.18337500000000001</v>
      </c>
      <c r="AY18" s="68">
        <f t="shared" si="35"/>
        <v>0.18383333333333332</v>
      </c>
      <c r="AZ18" s="68">
        <f t="shared" si="35"/>
        <v>0.18304166666666666</v>
      </c>
      <c r="BA18" s="68">
        <f t="shared" si="35"/>
        <v>0.17749999999999999</v>
      </c>
      <c r="BB18" s="68">
        <f t="shared" si="16"/>
        <v>0.18220833333333333</v>
      </c>
      <c r="BC18" s="68">
        <f t="shared" si="16"/>
        <v>0.17820833333333333</v>
      </c>
      <c r="BD18" s="68">
        <f t="shared" si="22"/>
        <v>0.18091666666666667</v>
      </c>
      <c r="BE18" s="68">
        <f t="shared" si="25"/>
        <v>0.17866666666666667</v>
      </c>
      <c r="BF18" s="68">
        <f t="shared" si="25"/>
        <v>0.16295833333333334</v>
      </c>
      <c r="BG18" s="68">
        <f t="shared" si="36"/>
        <v>0.13670833333333335</v>
      </c>
      <c r="BH18" s="68">
        <f t="shared" si="26"/>
        <v>0.14566666666666667</v>
      </c>
      <c r="BI18" s="68">
        <f t="shared" si="20"/>
        <v>0.16654166666666667</v>
      </c>
      <c r="BJ18" s="68">
        <f t="shared" si="18"/>
        <v>0.12933333333333333</v>
      </c>
      <c r="BK18" s="68">
        <f t="shared" si="10"/>
        <v>0.16720833333333335</v>
      </c>
      <c r="BL18" s="68">
        <f t="shared" si="11"/>
        <v>0.13816666666666669</v>
      </c>
      <c r="BM18" s="68">
        <f t="shared" si="12"/>
        <v>0.17804166666666668</v>
      </c>
      <c r="BN18" s="68">
        <f t="shared" si="19"/>
        <v>9.4041666666666662E-2</v>
      </c>
      <c r="BO18" s="70">
        <f t="shared" si="6"/>
        <v>0.16107500000000002</v>
      </c>
      <c r="BP18" s="198">
        <f>$BP$19</f>
        <v>0.168125</v>
      </c>
      <c r="BQ18" s="90">
        <f t="shared" si="23"/>
        <v>16.8125</v>
      </c>
      <c r="BR18" s="73">
        <f t="shared" si="24"/>
        <v>-4.6666666666666523E-3</v>
      </c>
      <c r="BS18" s="74">
        <f t="shared" si="9"/>
        <v>-7.049999999999973E-3</v>
      </c>
      <c r="BT18" s="15" t="s">
        <v>23</v>
      </c>
      <c r="BU18" s="3"/>
      <c r="BV18" s="2"/>
      <c r="BW18" s="2"/>
    </row>
    <row r="19" spans="2:75" x14ac:dyDescent="0.3">
      <c r="B19" s="775"/>
      <c r="C19" s="326" t="s">
        <v>24</v>
      </c>
      <c r="D19" s="62">
        <v>241.7</v>
      </c>
      <c r="E19" s="63">
        <v>264.7</v>
      </c>
      <c r="F19" s="63">
        <v>349.8</v>
      </c>
      <c r="G19" s="283">
        <v>377.9</v>
      </c>
      <c r="H19" s="283">
        <v>312.7</v>
      </c>
      <c r="I19" s="63">
        <v>230.4</v>
      </c>
      <c r="J19" s="283">
        <v>362.5</v>
      </c>
      <c r="K19" s="514">
        <v>366</v>
      </c>
      <c r="L19" s="514">
        <v>320</v>
      </c>
      <c r="M19" s="319">
        <v>379.1</v>
      </c>
      <c r="N19" s="319">
        <v>379.2</v>
      </c>
      <c r="O19" s="319">
        <v>383.1</v>
      </c>
      <c r="P19" s="63">
        <v>369.4</v>
      </c>
      <c r="Q19" s="355">
        <v>379.8</v>
      </c>
      <c r="R19" s="319">
        <v>379.2</v>
      </c>
      <c r="S19" s="319">
        <v>377.8</v>
      </c>
      <c r="T19" s="63">
        <v>370.6</v>
      </c>
      <c r="U19" s="319">
        <v>372.4</v>
      </c>
      <c r="V19" s="355">
        <v>370.5</v>
      </c>
      <c r="W19" s="355">
        <v>372.5</v>
      </c>
      <c r="X19" s="316">
        <v>352.5</v>
      </c>
      <c r="Y19" s="316">
        <v>345.2</v>
      </c>
      <c r="Z19" s="63">
        <v>278.89999999999998</v>
      </c>
      <c r="AA19" s="18">
        <v>294.5</v>
      </c>
      <c r="AB19" s="526">
        <v>346</v>
      </c>
      <c r="AC19" s="15">
        <v>247.1</v>
      </c>
      <c r="AD19" s="283">
        <v>344.6</v>
      </c>
      <c r="AE19" s="221">
        <v>238.8</v>
      </c>
      <c r="AF19" s="15">
        <v>339</v>
      </c>
      <c r="AG19" s="269">
        <v>177</v>
      </c>
      <c r="AH19" s="290">
        <f t="shared" si="0"/>
        <v>9922.8999999999978</v>
      </c>
      <c r="AI19" s="118">
        <v>80</v>
      </c>
      <c r="AJ19" s="121">
        <f t="shared" si="21"/>
        <v>1.0121527777777778E-2</v>
      </c>
      <c r="AK19" s="67">
        <f t="shared" si="28"/>
        <v>0.12588541666666667</v>
      </c>
      <c r="AL19" s="68">
        <f t="shared" si="29"/>
        <v>0.13786458333333332</v>
      </c>
      <c r="AM19" s="68">
        <f t="shared" si="30"/>
        <v>0.1821875</v>
      </c>
      <c r="AN19" s="68">
        <f t="shared" si="31"/>
        <v>0.19682291666666665</v>
      </c>
      <c r="AO19" s="68">
        <f t="shared" si="32"/>
        <v>0.16286458333333334</v>
      </c>
      <c r="AP19" s="68">
        <f t="shared" si="33"/>
        <v>0.12000000000000001</v>
      </c>
      <c r="AQ19" s="68">
        <f t="shared" si="34"/>
        <v>0.18880208333333334</v>
      </c>
      <c r="AR19" s="68">
        <f>IF(OR(K19="",K19="Sem monitoramento"),"VAZIO",IFERROR(K19/($AI19*24),"-"))</f>
        <v>0.19062499999999999</v>
      </c>
      <c r="AS19" s="68">
        <f>IF(OR(L21="",L21="Sem monitoramento"),"VAZIO",IFERROR(L21/($AI19*24),"-"))</f>
        <v>0.16145833333333334</v>
      </c>
      <c r="AT19" s="68" t="e">
        <f>IF(OR(#REF!="",#REF!="Sem monitoramento"),"VAZIO",IFERROR(#REF!/($AI19*24),"-"))</f>
        <v>#REF!</v>
      </c>
      <c r="AU19" s="68">
        <f>IF(OR(N19="",N19="Sem monitoramento"),"VAZIO",IFERROR(N19/($AI19*24),"-"))</f>
        <v>0.19749999999999998</v>
      </c>
      <c r="AV19" s="68">
        <f t="shared" si="35"/>
        <v>0.19953125000000002</v>
      </c>
      <c r="AW19" s="68">
        <f t="shared" si="35"/>
        <v>0.19239583333333332</v>
      </c>
      <c r="AX19" s="68">
        <f t="shared" si="35"/>
        <v>0.1978125</v>
      </c>
      <c r="AY19" s="68">
        <f t="shared" si="35"/>
        <v>0.19749999999999998</v>
      </c>
      <c r="AZ19" s="68">
        <f t="shared" si="35"/>
        <v>0.19677083333333334</v>
      </c>
      <c r="BA19" s="68">
        <f t="shared" si="35"/>
        <v>0.19302083333333334</v>
      </c>
      <c r="BB19" s="68">
        <f t="shared" ref="BB19:BB31" si="37">IF(OR(U19="",U19="Sem monitoramento"),"VAZIO",IFERROR(U19/($AI19*24),"-"))</f>
        <v>0.19395833333333332</v>
      </c>
      <c r="BC19" s="68" t="e">
        <f>IF(OR(#REF!="",#REF!="Sem monitoramento"),"VAZIO",IFERROR(#REF!/($AI19*24),"-"))</f>
        <v>#REF!</v>
      </c>
      <c r="BD19" s="68">
        <f t="shared" si="22"/>
        <v>0.19401041666666666</v>
      </c>
      <c r="BE19" s="68">
        <f>IF(OR(X21="",X21="Sem monitoramento"),"VAZIO",IFERROR(X21/($AI19*24),"-"))</f>
        <v>0.18020833333333333</v>
      </c>
      <c r="BF19" s="68">
        <f>IF(OR(Y17="",Y17="Sem monitoramento"),"VAZIO",IFERROR(Y17/($AI19*24),"-"))</f>
        <v>0.20833333333333334</v>
      </c>
      <c r="BG19" s="68">
        <f t="shared" si="36"/>
        <v>0.14526041666666664</v>
      </c>
      <c r="BH19" s="68">
        <f t="shared" si="26"/>
        <v>0.15338541666666666</v>
      </c>
      <c r="BI19" s="68">
        <f t="shared" si="20"/>
        <v>0.18020833333333333</v>
      </c>
      <c r="BJ19" s="68">
        <f t="shared" si="18"/>
        <v>0.12869791666666666</v>
      </c>
      <c r="BK19" s="68">
        <f t="shared" si="10"/>
        <v>0.17947916666666669</v>
      </c>
      <c r="BL19" s="68">
        <f t="shared" si="11"/>
        <v>0.124375</v>
      </c>
      <c r="BM19" s="68">
        <f t="shared" si="12"/>
        <v>0.17656250000000001</v>
      </c>
      <c r="BN19" s="68">
        <f t="shared" si="19"/>
        <v>9.2187500000000006E-2</v>
      </c>
      <c r="BO19" s="70">
        <f t="shared" si="6"/>
        <v>0.17227256944444441</v>
      </c>
      <c r="BP19" s="180">
        <f>'FCs estimados em PVsyst'!Y17</f>
        <v>0.168125</v>
      </c>
      <c r="BQ19" s="72">
        <f t="shared" si="23"/>
        <v>13.45</v>
      </c>
      <c r="BR19" s="73">
        <f t="shared" si="24"/>
        <v>1.4062500000000006E-2</v>
      </c>
      <c r="BS19" s="74">
        <f t="shared" si="9"/>
        <v>4.1475694444444156E-3</v>
      </c>
      <c r="BT19" s="15" t="s">
        <v>24</v>
      </c>
      <c r="BU19" s="3"/>
      <c r="BV19" s="2"/>
      <c r="BW19" s="2"/>
    </row>
    <row r="20" spans="2:75" x14ac:dyDescent="0.3">
      <c r="B20" s="775"/>
      <c r="C20" s="326" t="s">
        <v>25</v>
      </c>
      <c r="D20" s="223">
        <v>332.1</v>
      </c>
      <c r="E20" s="63">
        <v>347.2</v>
      </c>
      <c r="F20" s="63">
        <v>467.7</v>
      </c>
      <c r="G20" s="63">
        <v>521.70000000000005</v>
      </c>
      <c r="H20" s="283">
        <v>408.7</v>
      </c>
      <c r="I20" s="63">
        <v>297.7</v>
      </c>
      <c r="J20" s="283">
        <v>491.2</v>
      </c>
      <c r="K20" s="515">
        <v>492</v>
      </c>
      <c r="L20" s="514">
        <v>400</v>
      </c>
      <c r="M20" s="514">
        <v>490</v>
      </c>
      <c r="N20" s="511">
        <v>517.29999999999995</v>
      </c>
      <c r="O20" s="319">
        <v>518.20000000000005</v>
      </c>
      <c r="P20" s="63">
        <v>488.7</v>
      </c>
      <c r="Q20" s="355">
        <v>516.29999999999995</v>
      </c>
      <c r="R20" s="319">
        <v>516.9</v>
      </c>
      <c r="S20" s="319">
        <v>514.70000000000005</v>
      </c>
      <c r="T20" s="63">
        <v>499.5</v>
      </c>
      <c r="U20" s="319">
        <v>507</v>
      </c>
      <c r="V20" s="561">
        <v>508.9</v>
      </c>
      <c r="W20" s="355">
        <v>510.4</v>
      </c>
      <c r="X20" s="283">
        <v>480.4</v>
      </c>
      <c r="Y20" s="63">
        <v>464</v>
      </c>
      <c r="Z20" s="316">
        <v>464.2</v>
      </c>
      <c r="AA20" s="18">
        <v>395.3</v>
      </c>
      <c r="AB20" s="526">
        <v>479.7</v>
      </c>
      <c r="AC20" s="15">
        <v>310.60000000000002</v>
      </c>
      <c r="AD20" s="31">
        <v>475.6</v>
      </c>
      <c r="AE20" s="221">
        <v>314.2</v>
      </c>
      <c r="AF20" s="15">
        <v>467.3</v>
      </c>
      <c r="AG20" s="269">
        <v>242.8</v>
      </c>
      <c r="AH20" s="290">
        <f t="shared" si="0"/>
        <v>13440.299999999997</v>
      </c>
      <c r="AI20" s="118">
        <v>100</v>
      </c>
      <c r="AJ20" s="121">
        <f t="shared" si="21"/>
        <v>1.0826388888888889E-2</v>
      </c>
      <c r="AK20" s="67">
        <f t="shared" si="28"/>
        <v>0.138375</v>
      </c>
      <c r="AL20" s="68">
        <f t="shared" si="29"/>
        <v>0.14466666666666667</v>
      </c>
      <c r="AM20" s="68">
        <f t="shared" si="30"/>
        <v>0.19487499999999999</v>
      </c>
      <c r="AN20" s="68">
        <f t="shared" si="31"/>
        <v>0.21737500000000001</v>
      </c>
      <c r="AO20" s="68">
        <f t="shared" si="32"/>
        <v>0.17029166666666667</v>
      </c>
      <c r="AP20" s="68">
        <f t="shared" si="33"/>
        <v>0.12404166666666666</v>
      </c>
      <c r="AQ20" s="68">
        <f t="shared" si="34"/>
        <v>0.20466666666666666</v>
      </c>
      <c r="AR20" s="68">
        <f>IF(OR(K17="",K17="Sem monitoramento"),"VAZIO",IFERROR(K17/($AI20*24),"-"))</f>
        <v>0.17916666666666667</v>
      </c>
      <c r="AS20" s="68">
        <f>IF(OR(L20="",L20="Sem monitoramento"),"VAZIO",IFERROR(L20/($AI20*24),"-"))</f>
        <v>0.16666666666666666</v>
      </c>
      <c r="AT20" s="68">
        <f>IF(OR(M20="",M20="Sem monitoramento"),"VAZIO",IFERROR(M20/($AI20*24),"-"))</f>
        <v>0.20416666666666666</v>
      </c>
      <c r="AU20" s="68">
        <f>IF(OR(N21="",N21="Sem monitoramento"),"VAZIO",IFERROR(N21/($AI20*24),"-"))</f>
        <v>0.1575</v>
      </c>
      <c r="AV20" s="68">
        <f t="shared" ref="AV20:AY22" si="38">IF(OR(O20="",O20="Sem monitoramento"),"VAZIO",IFERROR(O20/($AI20*24),"-"))</f>
        <v>0.21591666666666667</v>
      </c>
      <c r="AW20" s="68">
        <f t="shared" si="38"/>
        <v>0.203625</v>
      </c>
      <c r="AX20" s="68">
        <f t="shared" si="38"/>
        <v>0.21512499999999998</v>
      </c>
      <c r="AY20" s="68">
        <f t="shared" si="38"/>
        <v>0.21537499999999998</v>
      </c>
      <c r="AZ20" s="68">
        <f>IF(OR(S21="",S21="Sem monitoramento"),"VAZIO",IFERROR(S21/($AI20*24),"-"))</f>
        <v>0.15562500000000001</v>
      </c>
      <c r="BA20" s="68">
        <f t="shared" ref="BA20:BA31" si="39">IF(OR(T20="",T20="Sem monitoramento"),"VAZIO",IFERROR(T20/($AI20*24),"-"))</f>
        <v>0.208125</v>
      </c>
      <c r="BB20" s="68">
        <f t="shared" si="37"/>
        <v>0.21124999999999999</v>
      </c>
      <c r="BC20" s="68">
        <f>IF(OR(V19="",V19="Sem monitoramento"),"VAZIO",IFERROR(V19/($AI20*24),"-"))</f>
        <v>0.15437500000000001</v>
      </c>
      <c r="BD20" s="68">
        <f t="shared" si="22"/>
        <v>0.21266666666666667</v>
      </c>
      <c r="BE20" s="68">
        <f>IF(OR(X22="",X22="Sem monitoramento"),"VAZIO",IFERROR(X22/($AI20*24),"-"))</f>
        <v>0.20275000000000001</v>
      </c>
      <c r="BF20" s="68">
        <f>IF(OR(Y18="",Y18="Sem monitoramento"),"VAZIO",IFERROR(Y18/($AI20*24),"-"))</f>
        <v>0.16295833333333334</v>
      </c>
      <c r="BG20" s="68">
        <f t="shared" si="36"/>
        <v>0.19341666666666665</v>
      </c>
      <c r="BH20" s="68">
        <f t="shared" si="26"/>
        <v>0.16470833333333335</v>
      </c>
      <c r="BI20" s="68">
        <f t="shared" si="20"/>
        <v>0.199875</v>
      </c>
      <c r="BJ20" s="68">
        <f t="shared" si="18"/>
        <v>0.12941666666666668</v>
      </c>
      <c r="BK20" s="68">
        <f>IF(OR(AD21="",AD21="Sem monitoramento"),"VAZIO",IFERROR(AD21/($AI20*24),"-"))</f>
        <v>0.14124999999999999</v>
      </c>
      <c r="BL20" s="68">
        <f t="shared" ref="BL20:BL31" si="40">IF(OR(AE20="",AE20="Sem monitoramento"),"VAZIO",IFERROR(AE20/($AI20*24),"-"))</f>
        <v>0.13091666666666665</v>
      </c>
      <c r="BM20" s="68">
        <f t="shared" ref="BM20:BM31" si="41">IF(OR(AF20="",AF20="Sem monitoramento"),"VAZIO",IFERROR(AF20/($AI20*24),"-"))</f>
        <v>0.19470833333333334</v>
      </c>
      <c r="BN20" s="68">
        <f t="shared" si="19"/>
        <v>0.10116666666666667</v>
      </c>
      <c r="BO20" s="70">
        <f t="shared" si="6"/>
        <v>0.18667083333333329</v>
      </c>
      <c r="BP20" s="198">
        <f t="shared" ref="BP20:BP30" si="42">$BP$19</f>
        <v>0.168125</v>
      </c>
      <c r="BQ20" s="72">
        <f t="shared" si="23"/>
        <v>16.8125</v>
      </c>
      <c r="BR20" s="73">
        <f t="shared" si="24"/>
        <v>2.6749999999999996E-2</v>
      </c>
      <c r="BS20" s="74">
        <f t="shared" si="9"/>
        <v>1.8545833333333289E-2</v>
      </c>
      <c r="BT20" s="15" t="s">
        <v>25</v>
      </c>
      <c r="BU20" s="3"/>
      <c r="BV20" s="2"/>
      <c r="BW20" s="2"/>
    </row>
    <row r="21" spans="2:75" x14ac:dyDescent="0.3">
      <c r="B21" s="775"/>
      <c r="C21" s="326" t="s">
        <v>26</v>
      </c>
      <c r="D21" s="223">
        <v>262.3</v>
      </c>
      <c r="E21" s="283">
        <v>267.89999999999998</v>
      </c>
      <c r="F21" s="283">
        <v>358.4</v>
      </c>
      <c r="G21" s="283">
        <v>385.4</v>
      </c>
      <c r="H21" s="283">
        <v>317.60000000000002</v>
      </c>
      <c r="I21" s="63">
        <v>217.4</v>
      </c>
      <c r="J21" s="283">
        <v>363</v>
      </c>
      <c r="K21" s="514">
        <v>359</v>
      </c>
      <c r="L21" s="517">
        <v>310</v>
      </c>
      <c r="M21" s="511">
        <v>374.5</v>
      </c>
      <c r="N21" s="319">
        <v>378</v>
      </c>
      <c r="O21" s="319">
        <v>378.2</v>
      </c>
      <c r="P21" s="63">
        <v>359</v>
      </c>
      <c r="Q21" s="355">
        <v>376.6</v>
      </c>
      <c r="R21" s="319">
        <v>376.2</v>
      </c>
      <c r="S21" s="319">
        <v>373.5</v>
      </c>
      <c r="T21" s="283">
        <v>366.5</v>
      </c>
      <c r="U21" s="355">
        <v>367.5</v>
      </c>
      <c r="V21" s="355">
        <v>367.3</v>
      </c>
      <c r="W21" s="355">
        <v>367.6</v>
      </c>
      <c r="X21" s="283">
        <v>346</v>
      </c>
      <c r="Y21" s="283">
        <v>340.1</v>
      </c>
      <c r="Z21" s="63">
        <v>275</v>
      </c>
      <c r="AA21" s="320">
        <v>289.8</v>
      </c>
      <c r="AB21" s="387">
        <v>342</v>
      </c>
      <c r="AC21" s="221">
        <v>226.9</v>
      </c>
      <c r="AD21" s="283">
        <v>339</v>
      </c>
      <c r="AE21" s="221">
        <v>231.3</v>
      </c>
      <c r="AF21" s="221">
        <v>333.7</v>
      </c>
      <c r="AG21" s="370">
        <v>185.7</v>
      </c>
      <c r="AH21" s="290">
        <f t="shared" si="0"/>
        <v>9835.4000000000015</v>
      </c>
      <c r="AI21" s="118">
        <v>100</v>
      </c>
      <c r="AJ21" s="121">
        <f t="shared" si="21"/>
        <v>8.2962962962962964E-3</v>
      </c>
      <c r="AK21" s="67">
        <f t="shared" si="28"/>
        <v>0.10929166666666668</v>
      </c>
      <c r="AL21" s="68">
        <f t="shared" si="29"/>
        <v>0.11162499999999999</v>
      </c>
      <c r="AM21" s="68">
        <f t="shared" si="30"/>
        <v>0.14933333333333332</v>
      </c>
      <c r="AN21" s="68">
        <f t="shared" si="31"/>
        <v>0.16058333333333333</v>
      </c>
      <c r="AO21" s="68">
        <f t="shared" si="32"/>
        <v>0.13233333333333333</v>
      </c>
      <c r="AP21" s="68">
        <f t="shared" si="33"/>
        <v>9.0583333333333335E-2</v>
      </c>
      <c r="AQ21" s="68">
        <f t="shared" si="34"/>
        <v>0.15125</v>
      </c>
      <c r="AR21" s="68">
        <f t="shared" ref="AR21:AR31" si="43">IF(OR(K21="",K21="Sem monitoramento"),"VAZIO",IFERROR(K21/($AI21*24),"-"))</f>
        <v>0.14958333333333335</v>
      </c>
      <c r="AS21" s="68">
        <f t="shared" ref="AS21:AS31" si="44">IF(OR(L21="",L21="Sem monitoramento"),"VAZIO",IFERROR(L21/($AI21*24),"-"))</f>
        <v>0.12916666666666668</v>
      </c>
      <c r="AT21" s="68">
        <f>IF(OR(M19="",M19="Sem monitoramento"),"VAZIO",IFERROR(M19/($AI21*24),"-"))</f>
        <v>0.15795833333333334</v>
      </c>
      <c r="AU21" s="68">
        <f>IF(OR(N22="",N22="Sem monitoramento"),"VAZIO",IFERROR(N22/($AI21*24),"-"))</f>
        <v>0.21295833333333333</v>
      </c>
      <c r="AV21" s="68">
        <f t="shared" si="38"/>
        <v>0.15758333333333333</v>
      </c>
      <c r="AW21" s="68">
        <f t="shared" si="38"/>
        <v>0.14958333333333335</v>
      </c>
      <c r="AX21" s="68">
        <f t="shared" si="38"/>
        <v>0.15691666666666668</v>
      </c>
      <c r="AY21" s="68">
        <f t="shared" si="38"/>
        <v>0.15675</v>
      </c>
      <c r="AZ21" s="68">
        <f>IF(OR(S22="",S22="Sem monitoramento"),"VAZIO",IFERROR(S22/($AI21*24),"-"))</f>
        <v>0.21212500000000001</v>
      </c>
      <c r="BA21" s="68">
        <f t="shared" si="39"/>
        <v>0.15270833333333333</v>
      </c>
      <c r="BB21" s="68">
        <f t="shared" si="37"/>
        <v>0.15312500000000001</v>
      </c>
      <c r="BC21" s="68">
        <f>IF(OR(V21="",V21="Sem monitoramento"),"VAZIO",IFERROR(V21/($AI21*24),"-"))</f>
        <v>0.15304166666666666</v>
      </c>
      <c r="BD21" s="68">
        <f t="shared" si="22"/>
        <v>0.15316666666666667</v>
      </c>
      <c r="BE21" s="68">
        <f>IF(OR(X23="",X23="Sem monitoramento"),"VAZIO",IFERROR(X23/($AI21*24),"-"))</f>
        <v>0.18404166666666666</v>
      </c>
      <c r="BF21" s="68">
        <f t="shared" ref="BF21:BF31" si="45">IF(OR(Y21="",Y21="Sem monitoramento"),"VAZIO",IFERROR(Y21/($AI21*24),"-"))</f>
        <v>0.14170833333333335</v>
      </c>
      <c r="BG21" s="68">
        <f t="shared" si="36"/>
        <v>0.11458333333333333</v>
      </c>
      <c r="BH21" s="68">
        <f t="shared" si="26"/>
        <v>0.12075000000000001</v>
      </c>
      <c r="BI21" s="68">
        <f>IF(OR(AB20="",AB20="Sem monitoramento"),"VAZIO",IFERROR(AB20/($AI21*24),"-"))</f>
        <v>0.199875</v>
      </c>
      <c r="BJ21" s="68">
        <f t="shared" si="18"/>
        <v>9.4541666666666663E-2</v>
      </c>
      <c r="BK21" s="68" t="e">
        <f>IF(OR(#REF!="",#REF!="Sem monitoramento"),"VAZIO",IFERROR(#REF!/($AI21*24),"-"))</f>
        <v>#REF!</v>
      </c>
      <c r="BL21" s="68">
        <f t="shared" si="40"/>
        <v>9.6375000000000002E-2</v>
      </c>
      <c r="BM21" s="68">
        <f t="shared" si="41"/>
        <v>0.13904166666666667</v>
      </c>
      <c r="BN21" s="68">
        <f t="shared" si="19"/>
        <v>7.7374999999999999E-2</v>
      </c>
      <c r="BO21" s="70">
        <f t="shared" si="6"/>
        <v>0.1366027777777778</v>
      </c>
      <c r="BP21" s="198">
        <f t="shared" si="42"/>
        <v>0.168125</v>
      </c>
      <c r="BQ21" s="72">
        <f t="shared" si="23"/>
        <v>16.8125</v>
      </c>
      <c r="BR21" s="73">
        <f t="shared" si="24"/>
        <v>-1.8791666666666679E-2</v>
      </c>
      <c r="BS21" s="74">
        <f t="shared" si="9"/>
        <v>-3.1522222222222201E-2</v>
      </c>
      <c r="BT21" s="15" t="s">
        <v>26</v>
      </c>
      <c r="BU21" s="3"/>
      <c r="BV21" s="2"/>
      <c r="BW21" s="2"/>
    </row>
    <row r="22" spans="2:75" x14ac:dyDescent="0.3">
      <c r="B22" s="775"/>
      <c r="C22" s="326" t="s">
        <v>28</v>
      </c>
      <c r="D22" s="62">
        <v>375.1</v>
      </c>
      <c r="E22" s="63">
        <v>343</v>
      </c>
      <c r="F22" s="63">
        <v>522.9</v>
      </c>
      <c r="G22" s="63">
        <v>501.2</v>
      </c>
      <c r="H22" s="63">
        <v>334.1</v>
      </c>
      <c r="I22" s="63">
        <v>343</v>
      </c>
      <c r="J22" s="63">
        <v>483.3</v>
      </c>
      <c r="K22" s="63">
        <v>516.79999999999995</v>
      </c>
      <c r="L22" s="63">
        <v>238.9</v>
      </c>
      <c r="M22" s="63">
        <v>507.1</v>
      </c>
      <c r="N22" s="319">
        <v>511.1</v>
      </c>
      <c r="O22" s="319">
        <v>506.3</v>
      </c>
      <c r="P22" s="319">
        <v>514.79999999999995</v>
      </c>
      <c r="Q22" s="355">
        <v>510.7</v>
      </c>
      <c r="R22" s="355">
        <v>502.1</v>
      </c>
      <c r="S22" s="355">
        <v>509.1</v>
      </c>
      <c r="T22" s="63">
        <v>503.2</v>
      </c>
      <c r="U22" s="319">
        <v>504.6</v>
      </c>
      <c r="V22" s="319">
        <v>496.9</v>
      </c>
      <c r="W22" s="355">
        <v>501.5</v>
      </c>
      <c r="X22" s="63">
        <v>486.6</v>
      </c>
      <c r="Y22" s="63">
        <v>443.9</v>
      </c>
      <c r="Z22" s="15">
        <v>433.3</v>
      </c>
      <c r="AA22" s="18">
        <v>465.6</v>
      </c>
      <c r="AB22" s="20">
        <v>446.5</v>
      </c>
      <c r="AC22" s="15">
        <v>344.8</v>
      </c>
      <c r="AD22" s="221">
        <v>451.6</v>
      </c>
      <c r="AE22" s="15">
        <v>371.2</v>
      </c>
      <c r="AF22" s="15">
        <v>451.1</v>
      </c>
      <c r="AG22" s="269">
        <v>201</v>
      </c>
      <c r="AH22" s="290">
        <f t="shared" si="0"/>
        <v>13321.300000000001</v>
      </c>
      <c r="AI22" s="118">
        <v>100</v>
      </c>
      <c r="AJ22" s="121">
        <f t="shared" si="21"/>
        <v>1.2104166666666666E-2</v>
      </c>
      <c r="AK22" s="67">
        <f t="shared" si="28"/>
        <v>0.15629166666666669</v>
      </c>
      <c r="AL22" s="68">
        <f t="shared" si="29"/>
        <v>0.14291666666666666</v>
      </c>
      <c r="AM22" s="68">
        <f t="shared" si="30"/>
        <v>0.21787499999999999</v>
      </c>
      <c r="AN22" s="68">
        <f t="shared" si="31"/>
        <v>0.20883333333333332</v>
      </c>
      <c r="AO22" s="68">
        <f t="shared" si="32"/>
        <v>0.13920833333333335</v>
      </c>
      <c r="AP22" s="68">
        <f t="shared" si="33"/>
        <v>0.14291666666666666</v>
      </c>
      <c r="AQ22" s="68">
        <f t="shared" si="34"/>
        <v>0.201375</v>
      </c>
      <c r="AR22" s="68">
        <f t="shared" si="43"/>
        <v>0.21533333333333332</v>
      </c>
      <c r="AS22" s="68">
        <f t="shared" si="44"/>
        <v>9.9541666666666667E-2</v>
      </c>
      <c r="AT22" s="68" t="e">
        <f>IF(OR(#REF!="",#REF!="Sem monitoramento"),"VAZIO",IFERROR(#REF!/($AI22*24),"-"))</f>
        <v>#REF!</v>
      </c>
      <c r="AU22" s="68">
        <f>IF(OR(N22="",N22="Sem monitoramento"),"VAZIO",IFERROR(N22/($AI22*24),"-"))</f>
        <v>0.21295833333333333</v>
      </c>
      <c r="AV22" s="68">
        <f t="shared" si="38"/>
        <v>0.21095833333333333</v>
      </c>
      <c r="AW22" s="68">
        <f t="shared" si="38"/>
        <v>0.21449999999999997</v>
      </c>
      <c r="AX22" s="68">
        <f t="shared" si="38"/>
        <v>0.21279166666666666</v>
      </c>
      <c r="AY22" s="68">
        <f t="shared" si="38"/>
        <v>0.20920833333333333</v>
      </c>
      <c r="AZ22" s="68">
        <f t="shared" ref="AZ22:AZ31" si="46">IF(OR(S22="",S22="Sem monitoramento"),"VAZIO",IFERROR(S22/($AI22*24),"-"))</f>
        <v>0.21212500000000001</v>
      </c>
      <c r="BA22" s="68">
        <f t="shared" si="39"/>
        <v>0.20966666666666667</v>
      </c>
      <c r="BB22" s="68">
        <f t="shared" si="37"/>
        <v>0.21025000000000002</v>
      </c>
      <c r="BC22" s="68">
        <f>IF(OR(V22="",V22="Sem monitoramento"),"VAZIO",IFERROR(V22/($AI22*24),"-"))</f>
        <v>0.20704166666666665</v>
      </c>
      <c r="BD22" s="68">
        <f t="shared" si="22"/>
        <v>0.20895833333333333</v>
      </c>
      <c r="BE22" s="68">
        <f>IF(OR(X22="",X22="Sem monitoramento"),"VAZIO",IFERROR(X22/($AI22*24),"-"))</f>
        <v>0.20275000000000001</v>
      </c>
      <c r="BF22" s="68">
        <f t="shared" si="45"/>
        <v>0.18495833333333334</v>
      </c>
      <c r="BG22" s="68">
        <f t="shared" si="36"/>
        <v>0.18054166666666668</v>
      </c>
      <c r="BH22" s="68">
        <f t="shared" si="26"/>
        <v>0.19400000000000001</v>
      </c>
      <c r="BI22" s="68">
        <f>IF(OR(AB21="",AB21="Sem monitoramento"),"VAZIO",IFERROR(AB21/($AI22*24),"-"))</f>
        <v>0.14249999999999999</v>
      </c>
      <c r="BJ22" s="68">
        <f t="shared" si="18"/>
        <v>0.14366666666666666</v>
      </c>
      <c r="BK22" s="68">
        <f t="shared" ref="BK22:BK31" si="47">IF(OR(AD22="",AD22="Sem monitoramento"),"VAZIO",IFERROR(AD22/($AI22*24),"-"))</f>
        <v>0.18816666666666668</v>
      </c>
      <c r="BL22" s="68">
        <f t="shared" si="40"/>
        <v>0.15466666666666667</v>
      </c>
      <c r="BM22" s="68">
        <f t="shared" si="41"/>
        <v>0.18795833333333334</v>
      </c>
      <c r="BN22" s="68">
        <f t="shared" si="19"/>
        <v>8.3750000000000005E-2</v>
      </c>
      <c r="BO22" s="70">
        <f t="shared" si="6"/>
        <v>0.18501805555555556</v>
      </c>
      <c r="BP22" s="198">
        <f t="shared" si="42"/>
        <v>0.168125</v>
      </c>
      <c r="BQ22" s="72">
        <f t="shared" si="23"/>
        <v>16.8125</v>
      </c>
      <c r="BR22" s="73">
        <f t="shared" si="24"/>
        <v>4.9749999999999989E-2</v>
      </c>
      <c r="BS22" s="74">
        <f t="shared" si="9"/>
        <v>1.6893055555555564E-2</v>
      </c>
      <c r="BT22" s="15" t="s">
        <v>27</v>
      </c>
      <c r="BU22" s="3"/>
      <c r="BV22" s="2"/>
      <c r="BW22" s="2"/>
    </row>
    <row r="23" spans="2:75" x14ac:dyDescent="0.3">
      <c r="B23" s="775"/>
      <c r="C23" s="326" t="s">
        <v>29</v>
      </c>
      <c r="D23" s="223">
        <v>303.89999999999998</v>
      </c>
      <c r="E23" s="63">
        <v>276.89999999999998</v>
      </c>
      <c r="F23" s="283">
        <v>438.6</v>
      </c>
      <c r="G23" s="63">
        <v>426.6</v>
      </c>
      <c r="H23" s="63">
        <v>280</v>
      </c>
      <c r="I23" s="63">
        <v>280.89999999999998</v>
      </c>
      <c r="J23" s="63">
        <v>406.1</v>
      </c>
      <c r="K23" s="63">
        <v>436</v>
      </c>
      <c r="L23" s="63">
        <v>189.1</v>
      </c>
      <c r="M23" s="316">
        <v>443.4</v>
      </c>
      <c r="N23" s="319">
        <v>462.6</v>
      </c>
      <c r="O23" s="511">
        <v>461.5</v>
      </c>
      <c r="P23" s="319">
        <v>471.3</v>
      </c>
      <c r="Q23" s="355">
        <v>469.4</v>
      </c>
      <c r="R23" s="319">
        <v>455.8</v>
      </c>
      <c r="S23" s="319">
        <v>463.3</v>
      </c>
      <c r="T23" s="63">
        <v>459.6</v>
      </c>
      <c r="U23" s="319">
        <v>459</v>
      </c>
      <c r="V23" s="319">
        <v>451.6</v>
      </c>
      <c r="W23" s="355">
        <v>455.7</v>
      </c>
      <c r="X23" s="63">
        <v>441.7</v>
      </c>
      <c r="Y23" s="63">
        <v>411.4</v>
      </c>
      <c r="Z23" s="15">
        <v>394.1</v>
      </c>
      <c r="AA23" s="18">
        <v>427.2</v>
      </c>
      <c r="AB23" s="20">
        <v>404.6</v>
      </c>
      <c r="AC23" s="15">
        <v>309.10000000000002</v>
      </c>
      <c r="AD23" s="15">
        <v>409.3</v>
      </c>
      <c r="AE23" s="15">
        <v>332.2</v>
      </c>
      <c r="AF23" s="15">
        <v>408.5</v>
      </c>
      <c r="AG23" s="269">
        <v>177.7</v>
      </c>
      <c r="AH23" s="290">
        <f t="shared" si="0"/>
        <v>11807.100000000004</v>
      </c>
      <c r="AI23" s="118">
        <v>100</v>
      </c>
      <c r="AJ23" s="121">
        <f t="shared" si="21"/>
        <v>1.0152777777777778E-2</v>
      </c>
      <c r="AK23" s="67">
        <f t="shared" si="28"/>
        <v>0.12662499999999999</v>
      </c>
      <c r="AL23" s="68">
        <f t="shared" si="29"/>
        <v>0.11537499999999999</v>
      </c>
      <c r="AM23" s="68">
        <f t="shared" si="30"/>
        <v>0.18275</v>
      </c>
      <c r="AN23" s="68">
        <f t="shared" si="31"/>
        <v>0.17775000000000002</v>
      </c>
      <c r="AO23" s="68">
        <f t="shared" si="32"/>
        <v>0.11666666666666667</v>
      </c>
      <c r="AP23" s="68">
        <f t="shared" si="33"/>
        <v>0.11704166666666665</v>
      </c>
      <c r="AQ23" s="68">
        <f t="shared" si="34"/>
        <v>0.16920833333333335</v>
      </c>
      <c r="AR23" s="68">
        <f t="shared" si="43"/>
        <v>0.18166666666666667</v>
      </c>
      <c r="AS23" s="68">
        <f t="shared" si="44"/>
        <v>7.8791666666666663E-2</v>
      </c>
      <c r="AT23" s="68">
        <f>IF(OR(M22="",M22="Sem monitoramento"),"VAZIO",IFERROR(M22/($AI23*24),"-"))</f>
        <v>0.21129166666666668</v>
      </c>
      <c r="AU23" s="68">
        <f>IF(OR(N23="",N23="Sem monitoramento"),"VAZIO",IFERROR(N23/($AI23*24),"-"))</f>
        <v>0.19275</v>
      </c>
      <c r="AV23" s="68">
        <f>IF(OR(O20="",O20="Sem monitoramento"),"VAZIO",IFERROR(O20/($AI23*24),"-"))</f>
        <v>0.21591666666666667</v>
      </c>
      <c r="AW23" s="68">
        <f t="shared" ref="AW23:AW31" si="48">IF(OR(P23="",P23="Sem monitoramento"),"VAZIO",IFERROR(P23/($AI23*24),"-"))</f>
        <v>0.19637499999999999</v>
      </c>
      <c r="AX23" s="68">
        <f t="shared" ref="AX23:AX31" si="49">IF(OR(Q23="",Q23="Sem monitoramento"),"VAZIO",IFERROR(Q23/($AI23*24),"-"))</f>
        <v>0.19558333333333333</v>
      </c>
      <c r="AY23" s="68">
        <f t="shared" ref="AY23:AY31" si="50">IF(OR(R23="",R23="Sem monitoramento"),"VAZIO",IFERROR(R23/($AI23*24),"-"))</f>
        <v>0.18991666666666668</v>
      </c>
      <c r="AZ23" s="68">
        <f t="shared" si="46"/>
        <v>0.19304166666666667</v>
      </c>
      <c r="BA23" s="68">
        <f t="shared" si="39"/>
        <v>0.1915</v>
      </c>
      <c r="BB23" s="68">
        <f t="shared" si="37"/>
        <v>0.19125</v>
      </c>
      <c r="BC23" s="68">
        <f>IF(OR(V23="",V23="Sem monitoramento"),"VAZIO",IFERROR(V23/($AI23*24),"-"))</f>
        <v>0.18816666666666668</v>
      </c>
      <c r="BD23" s="68">
        <f t="shared" si="22"/>
        <v>0.18987499999999999</v>
      </c>
      <c r="BE23" s="68">
        <f>IF(OR(X23="",X23="Sem monitoramento"),"VAZIO",IFERROR(X23/($AI23*24),"-"))</f>
        <v>0.18404166666666666</v>
      </c>
      <c r="BF23" s="68">
        <f t="shared" si="45"/>
        <v>0.17141666666666666</v>
      </c>
      <c r="BG23" s="68">
        <f t="shared" si="36"/>
        <v>0.16420833333333335</v>
      </c>
      <c r="BH23" s="68">
        <f t="shared" si="26"/>
        <v>0.17799999999999999</v>
      </c>
      <c r="BI23" s="68">
        <f t="shared" ref="BI23:BI31" si="51">IF(OR(AB23="",AB23="Sem monitoramento"),"VAZIO",IFERROR(AB23/($AI23*24),"-"))</f>
        <v>0.16858333333333334</v>
      </c>
      <c r="BJ23" s="68">
        <f t="shared" si="18"/>
        <v>0.12879166666666667</v>
      </c>
      <c r="BK23" s="68">
        <f t="shared" si="47"/>
        <v>0.17054166666666667</v>
      </c>
      <c r="BL23" s="68">
        <f t="shared" si="40"/>
        <v>0.13841666666666666</v>
      </c>
      <c r="BM23" s="68">
        <f t="shared" si="41"/>
        <v>0.17020833333333332</v>
      </c>
      <c r="BN23" s="68">
        <f t="shared" si="19"/>
        <v>7.4041666666666658E-2</v>
      </c>
      <c r="BO23" s="70">
        <f t="shared" si="6"/>
        <v>0.16398750000000006</v>
      </c>
      <c r="BP23" s="198">
        <f t="shared" si="42"/>
        <v>0.168125</v>
      </c>
      <c r="BQ23" s="72">
        <f t="shared" si="23"/>
        <v>16.8125</v>
      </c>
      <c r="BR23" s="73">
        <f t="shared" si="24"/>
        <v>1.4624999999999999E-2</v>
      </c>
      <c r="BS23" s="74">
        <f t="shared" si="9"/>
        <v>-4.1374999999999329E-3</v>
      </c>
      <c r="BT23" s="15" t="s">
        <v>28</v>
      </c>
      <c r="BU23" s="3"/>
      <c r="BV23" s="2"/>
      <c r="BW23" s="2"/>
    </row>
    <row r="24" spans="2:75" x14ac:dyDescent="0.3">
      <c r="B24" s="775"/>
      <c r="C24" s="326" t="s">
        <v>30</v>
      </c>
      <c r="D24" s="223">
        <f>323+442.3+428.1</f>
        <v>1193.4000000000001</v>
      </c>
      <c r="E24" s="63">
        <f>398.5+297.1+388</f>
        <v>1083.5999999999999</v>
      </c>
      <c r="F24" s="63">
        <v>1719.4</v>
      </c>
      <c r="G24" s="63">
        <v>1667.3</v>
      </c>
      <c r="H24" s="63">
        <v>1089.3</v>
      </c>
      <c r="I24" s="63">
        <v>1098.9000000000001</v>
      </c>
      <c r="J24" s="63">
        <v>1586.1</v>
      </c>
      <c r="K24" s="63">
        <f>637.5+468.9+612</f>
        <v>1718.4</v>
      </c>
      <c r="L24" s="63">
        <v>740.7</v>
      </c>
      <c r="M24" s="63">
        <v>1738.9</v>
      </c>
      <c r="N24" s="355">
        <v>1810.6</v>
      </c>
      <c r="O24" s="355">
        <v>1801.9</v>
      </c>
      <c r="P24" s="355">
        <v>1854.8</v>
      </c>
      <c r="Q24" s="355">
        <v>1828</v>
      </c>
      <c r="R24" s="319">
        <v>1780.9</v>
      </c>
      <c r="S24" s="319">
        <v>1823.9</v>
      </c>
      <c r="T24" s="63">
        <v>1794.2</v>
      </c>
      <c r="U24" s="319">
        <f>663.5+493.3+645.2</f>
        <v>1802</v>
      </c>
      <c r="V24" s="487">
        <v>1769.1</v>
      </c>
      <c r="W24" s="355">
        <v>1790.4</v>
      </c>
      <c r="X24" s="316">
        <v>1731.8</v>
      </c>
      <c r="Y24" s="63">
        <v>1597.7</v>
      </c>
      <c r="Z24" s="15">
        <v>1555.9</v>
      </c>
      <c r="AA24" s="18">
        <v>1681.6</v>
      </c>
      <c r="AB24" s="323">
        <f>593.6+435.2+571.9</f>
        <v>1600.6999999999998</v>
      </c>
      <c r="AC24" s="221">
        <v>1222.2</v>
      </c>
      <c r="AD24" s="15">
        <f>600.2+440.3+577.8</f>
        <v>1618.3</v>
      </c>
      <c r="AE24" s="15">
        <v>1321.8</v>
      </c>
      <c r="AF24" s="15">
        <f>595.8+439.8+575.5</f>
        <v>1611.1</v>
      </c>
      <c r="AG24" s="269">
        <v>707.2</v>
      </c>
      <c r="AH24" s="290">
        <f t="shared" si="0"/>
        <v>46340.1</v>
      </c>
      <c r="AI24" s="118">
        <v>383</v>
      </c>
      <c r="AJ24" s="121">
        <f t="shared" si="21"/>
        <v>1.0391886664732619E-2</v>
      </c>
      <c r="AK24" s="67">
        <f t="shared" si="28"/>
        <v>0.12983028720626633</v>
      </c>
      <c r="AL24" s="68">
        <f t="shared" si="29"/>
        <v>0.11788511749347258</v>
      </c>
      <c r="AM24" s="68">
        <f t="shared" si="30"/>
        <v>0.18705395996518712</v>
      </c>
      <c r="AN24" s="68">
        <f t="shared" si="31"/>
        <v>0.18138598781549173</v>
      </c>
      <c r="AO24" s="68">
        <f t="shared" si="32"/>
        <v>0.11850522193211488</v>
      </c>
      <c r="AP24" s="68">
        <f t="shared" si="33"/>
        <v>0.11954960835509139</v>
      </c>
      <c r="AQ24" s="68">
        <f t="shared" si="34"/>
        <v>0.17255221932114881</v>
      </c>
      <c r="AR24" s="68">
        <f t="shared" si="43"/>
        <v>0.18694516971279374</v>
      </c>
      <c r="AS24" s="68">
        <f t="shared" si="44"/>
        <v>8.0580939947780678E-2</v>
      </c>
      <c r="AT24" s="68">
        <f t="shared" ref="AT24:AT31" si="52">IF(OR(M24="",M24="Sem monitoramento"),"VAZIO",IFERROR(M24/($AI24*24),"-"))</f>
        <v>0.18917536988685815</v>
      </c>
      <c r="AU24" s="68">
        <f>IF(OR(N24="",N24="Sem monitoramento"),"VAZIO",IFERROR(N24/($AI24*24),"-"))</f>
        <v>0.19697563098346388</v>
      </c>
      <c r="AV24" s="68">
        <f t="shared" ref="AV24:AV31" si="53">IF(OR(O24="",O24="Sem monitoramento"),"VAZIO",IFERROR(O24/($AI24*24),"-"))</f>
        <v>0.19602915578764143</v>
      </c>
      <c r="AW24" s="68">
        <f t="shared" si="48"/>
        <v>0.20178416013925152</v>
      </c>
      <c r="AX24" s="68">
        <f t="shared" si="49"/>
        <v>0.19886858137510879</v>
      </c>
      <c r="AY24" s="68">
        <f t="shared" si="50"/>
        <v>0.19374456048738034</v>
      </c>
      <c r="AZ24" s="68">
        <f t="shared" si="46"/>
        <v>0.19842254134029591</v>
      </c>
      <c r="BA24" s="68">
        <f t="shared" si="39"/>
        <v>0.19519147084421237</v>
      </c>
      <c r="BB24" s="68">
        <f t="shared" si="37"/>
        <v>0.19604003481288076</v>
      </c>
      <c r="BC24" s="68" t="e">
        <f>IF(OR(#REF!="",#REF!="Sem monitoramento"),"VAZIO",IFERROR(#REF!/($AI24*24),"-"))</f>
        <v>#REF!</v>
      </c>
      <c r="BD24" s="68">
        <f t="shared" si="22"/>
        <v>0.19477806788511751</v>
      </c>
      <c r="BE24" s="68" t="e">
        <f>IF(OR(#REF!="",#REF!="Sem monitoramento"),"VAZIO",IFERROR(#REF!/($AI24*24),"-"))</f>
        <v>#REF!</v>
      </c>
      <c r="BF24" s="68">
        <f t="shared" si="45"/>
        <v>0.17381418624891209</v>
      </c>
      <c r="BG24" s="68">
        <f t="shared" si="36"/>
        <v>0.16926675369886859</v>
      </c>
      <c r="BH24" s="68">
        <f t="shared" si="26"/>
        <v>0.18294168842471714</v>
      </c>
      <c r="BI24" s="68">
        <f t="shared" si="51"/>
        <v>0.17414055700609224</v>
      </c>
      <c r="BJ24" s="68">
        <f t="shared" si="18"/>
        <v>0.13296344647519584</v>
      </c>
      <c r="BK24" s="68">
        <f t="shared" si="47"/>
        <v>0.17605526544821584</v>
      </c>
      <c r="BL24" s="68">
        <f t="shared" si="40"/>
        <v>0.14379895561357703</v>
      </c>
      <c r="BM24" s="68">
        <f t="shared" si="41"/>
        <v>0.17527197563098346</v>
      </c>
      <c r="BN24" s="68">
        <f t="shared" si="19"/>
        <v>7.6936466492602273E-2</v>
      </c>
      <c r="BO24" s="70">
        <f t="shared" si="6"/>
        <v>0.16804503916449084</v>
      </c>
      <c r="BP24" s="198">
        <f t="shared" si="42"/>
        <v>0.168125</v>
      </c>
      <c r="BQ24" s="72">
        <f>AI24*BP24</f>
        <v>64.391874999999999</v>
      </c>
      <c r="BR24" s="73">
        <f t="shared" si="24"/>
        <v>1.892895996518712E-2</v>
      </c>
      <c r="BS24" s="74">
        <f t="shared" si="9"/>
        <v>-7.9960835509151895E-5</v>
      </c>
      <c r="BT24" s="15" t="s">
        <v>29</v>
      </c>
      <c r="BU24" s="3"/>
      <c r="BV24" s="2"/>
      <c r="BW24" s="2"/>
    </row>
    <row r="25" spans="2:75" x14ac:dyDescent="0.3">
      <c r="B25" s="775"/>
      <c r="C25" s="326" t="s">
        <v>111</v>
      </c>
      <c r="D25" s="223">
        <v>501.1</v>
      </c>
      <c r="E25" s="319">
        <v>555.4</v>
      </c>
      <c r="F25" s="63">
        <v>542.70000000000005</v>
      </c>
      <c r="G25" s="63">
        <v>260.10000000000002</v>
      </c>
      <c r="H25" s="63">
        <v>252.7</v>
      </c>
      <c r="I25" s="63">
        <v>22.7</v>
      </c>
      <c r="J25" s="63">
        <v>548.4</v>
      </c>
      <c r="K25" s="319">
        <v>549.1</v>
      </c>
      <c r="L25" s="319">
        <v>532.70000000000005</v>
      </c>
      <c r="M25" s="319">
        <v>540.70000000000005</v>
      </c>
      <c r="N25" s="319">
        <v>555.1</v>
      </c>
      <c r="O25" s="319">
        <v>556.20000000000005</v>
      </c>
      <c r="P25" s="319">
        <v>560</v>
      </c>
      <c r="Q25" s="355">
        <v>555.5</v>
      </c>
      <c r="R25" s="319">
        <v>557.6</v>
      </c>
      <c r="S25" s="319">
        <v>561</v>
      </c>
      <c r="T25" s="63">
        <v>559.70000000000005</v>
      </c>
      <c r="U25" s="319">
        <v>559.9</v>
      </c>
      <c r="V25" s="355">
        <v>558.70000000000005</v>
      </c>
      <c r="W25" s="355">
        <v>558.1</v>
      </c>
      <c r="X25" s="63">
        <v>554</v>
      </c>
      <c r="Y25" s="63">
        <v>537.29999999999995</v>
      </c>
      <c r="Z25" s="148">
        <v>542.4</v>
      </c>
      <c r="AA25" s="18">
        <v>541.79999999999995</v>
      </c>
      <c r="AB25" s="20">
        <v>403</v>
      </c>
      <c r="AC25" s="15">
        <v>450.3</v>
      </c>
      <c r="AD25" s="15">
        <v>276.2</v>
      </c>
      <c r="AE25" s="15">
        <v>405.6</v>
      </c>
      <c r="AF25" s="15">
        <v>355.8</v>
      </c>
      <c r="AG25" s="269">
        <v>52</v>
      </c>
      <c r="AH25" s="290">
        <f t="shared" si="0"/>
        <v>14005.8</v>
      </c>
      <c r="AI25" s="118">
        <v>100</v>
      </c>
      <c r="AJ25" s="121">
        <f t="shared" si="21"/>
        <v>1.2562500000000001E-2</v>
      </c>
      <c r="AK25" s="67">
        <f t="shared" si="28"/>
        <v>0.20879166666666668</v>
      </c>
      <c r="AL25" s="68">
        <f t="shared" si="29"/>
        <v>0.23141666666666666</v>
      </c>
      <c r="AM25" s="68">
        <f t="shared" si="30"/>
        <v>0.22612500000000002</v>
      </c>
      <c r="AN25" s="68">
        <f t="shared" si="31"/>
        <v>0.10837500000000001</v>
      </c>
      <c r="AO25" s="68">
        <f t="shared" si="32"/>
        <v>0.10529166666666666</v>
      </c>
      <c r="AP25" s="68">
        <f t="shared" si="33"/>
        <v>9.4583333333333325E-3</v>
      </c>
      <c r="AQ25" s="68">
        <f t="shared" si="34"/>
        <v>0.22849999999999998</v>
      </c>
      <c r="AR25" s="68">
        <f t="shared" si="43"/>
        <v>0.22879166666666667</v>
      </c>
      <c r="AS25" s="68">
        <f t="shared" si="44"/>
        <v>0.22195833333333334</v>
      </c>
      <c r="AT25" s="68">
        <f t="shared" si="52"/>
        <v>0.2252916666666667</v>
      </c>
      <c r="AU25" s="68" t="e">
        <f>IF(OR(#REF!="",#REF!="Sem monitoramento"),"VAZIO",IFERROR(#REF!/($AI25*24),"-"))</f>
        <v>#REF!</v>
      </c>
      <c r="AV25" s="68">
        <f t="shared" si="53"/>
        <v>0.23175000000000001</v>
      </c>
      <c r="AW25" s="68">
        <f t="shared" si="48"/>
        <v>0.23333333333333334</v>
      </c>
      <c r="AX25" s="68">
        <f t="shared" si="49"/>
        <v>0.23145833333333332</v>
      </c>
      <c r="AY25" s="68">
        <f t="shared" si="50"/>
        <v>0.23233333333333334</v>
      </c>
      <c r="AZ25" s="68">
        <f t="shared" si="46"/>
        <v>0.23375000000000001</v>
      </c>
      <c r="BA25" s="68">
        <f t="shared" si="39"/>
        <v>0.23320833333333335</v>
      </c>
      <c r="BB25" s="68">
        <f t="shared" si="37"/>
        <v>0.23329166666666665</v>
      </c>
      <c r="BC25" s="68">
        <f t="shared" ref="BC25:BC31" si="54">IF(OR(V25="",V25="Sem monitoramento"),"VAZIO",IFERROR(V25/($AI25*24),"-"))</f>
        <v>0.23279166666666667</v>
      </c>
      <c r="BD25" s="68" t="e">
        <f>IF(OR(#REF!="",#REF!="Sem monitoramento"),"VAZIO",IFERROR(#REF!/($AI25*24),"-"))</f>
        <v>#REF!</v>
      </c>
      <c r="BE25" s="68">
        <f t="shared" ref="BE25:BE31" si="55">IF(OR(X25="",X25="Sem monitoramento"),"VAZIO",IFERROR(X25/($AI25*24),"-"))</f>
        <v>0.23083333333333333</v>
      </c>
      <c r="BF25" s="68">
        <f t="shared" si="45"/>
        <v>0.22387499999999999</v>
      </c>
      <c r="BG25" s="68">
        <f>IF(OR(Z26="",Z26="Sem monitoramento"),"VAZIO",IFERROR(Z26/($AI25*24),"-"))</f>
        <v>0.14708333333333334</v>
      </c>
      <c r="BH25" s="68">
        <f t="shared" si="26"/>
        <v>0.22574999999999998</v>
      </c>
      <c r="BI25" s="68">
        <f t="shared" si="51"/>
        <v>0.16791666666666666</v>
      </c>
      <c r="BJ25" s="68">
        <f t="shared" si="18"/>
        <v>0.18762500000000001</v>
      </c>
      <c r="BK25" s="68">
        <f t="shared" si="47"/>
        <v>0.11508333333333333</v>
      </c>
      <c r="BL25" s="68">
        <f t="shared" si="40"/>
        <v>0.16900000000000001</v>
      </c>
      <c r="BM25" s="68">
        <f t="shared" si="41"/>
        <v>0.14824999999999999</v>
      </c>
      <c r="BN25" s="68">
        <f t="shared" si="19"/>
        <v>2.1666666666666667E-2</v>
      </c>
      <c r="BO25" s="70">
        <f t="shared" si="6"/>
        <v>0.194525</v>
      </c>
      <c r="BP25" s="198">
        <f t="shared" si="42"/>
        <v>0.168125</v>
      </c>
      <c r="BQ25" s="72">
        <f t="shared" si="23"/>
        <v>16.8125</v>
      </c>
      <c r="BR25" s="73">
        <f t="shared" si="24"/>
        <v>5.8000000000000024E-2</v>
      </c>
      <c r="BS25" s="74">
        <f t="shared" si="9"/>
        <v>2.6400000000000007E-2</v>
      </c>
      <c r="BT25" s="15" t="s">
        <v>30</v>
      </c>
      <c r="BU25" s="3"/>
      <c r="BV25" s="2"/>
      <c r="BW25" s="2"/>
    </row>
    <row r="26" spans="2:75" x14ac:dyDescent="0.3">
      <c r="B26" s="775"/>
      <c r="C26" s="326" t="s">
        <v>32</v>
      </c>
      <c r="D26" s="62">
        <v>352.7</v>
      </c>
      <c r="E26" s="283">
        <v>307.89999999999998</v>
      </c>
      <c r="F26" s="63">
        <v>432.2</v>
      </c>
      <c r="G26" s="63">
        <v>368.1</v>
      </c>
      <c r="H26" s="63">
        <v>401</v>
      </c>
      <c r="I26" s="283">
        <v>360.9</v>
      </c>
      <c r="J26" s="63">
        <v>449.1</v>
      </c>
      <c r="K26" s="63">
        <v>461</v>
      </c>
      <c r="L26" s="63">
        <v>229.4</v>
      </c>
      <c r="M26" s="63">
        <v>470.9</v>
      </c>
      <c r="N26" s="511">
        <v>475.1</v>
      </c>
      <c r="O26" s="319">
        <v>477</v>
      </c>
      <c r="P26" s="319">
        <v>479.3</v>
      </c>
      <c r="Q26" s="355">
        <v>472.8</v>
      </c>
      <c r="R26" s="319">
        <v>473.9</v>
      </c>
      <c r="S26" s="319">
        <v>471.6</v>
      </c>
      <c r="T26" s="63">
        <v>470</v>
      </c>
      <c r="U26" s="319">
        <v>468.7</v>
      </c>
      <c r="V26" s="355">
        <v>457.2</v>
      </c>
      <c r="W26" s="561">
        <v>465.8</v>
      </c>
      <c r="X26" s="63">
        <v>436</v>
      </c>
      <c r="Y26" s="63">
        <v>440.7</v>
      </c>
      <c r="Z26" s="221">
        <v>353</v>
      </c>
      <c r="AA26" s="320">
        <v>328.3</v>
      </c>
      <c r="AB26" s="20">
        <v>404.8</v>
      </c>
      <c r="AC26" s="15">
        <v>389</v>
      </c>
      <c r="AD26" s="221">
        <v>379</v>
      </c>
      <c r="AE26" s="15">
        <v>332.8</v>
      </c>
      <c r="AF26" s="283">
        <v>393</v>
      </c>
      <c r="AG26" s="370">
        <v>110.1</v>
      </c>
      <c r="AH26" s="290">
        <f t="shared" si="0"/>
        <v>12111.3</v>
      </c>
      <c r="AI26" s="118">
        <v>100</v>
      </c>
      <c r="AJ26" s="121">
        <f t="shared" si="21"/>
        <v>1.0004629629629629E-2</v>
      </c>
      <c r="AK26" s="67">
        <f t="shared" ref="AK26:AN31" si="56">IF(OR(D26="",D26="Sem monitoramento"),"VAZIO",IFERROR(D26/($AI26*24),"-"))</f>
        <v>0.14695833333333333</v>
      </c>
      <c r="AL26" s="68">
        <f t="shared" si="56"/>
        <v>0.12829166666666666</v>
      </c>
      <c r="AM26" s="68">
        <f t="shared" si="56"/>
        <v>0.18008333333333332</v>
      </c>
      <c r="AN26" s="68">
        <f t="shared" si="56"/>
        <v>0.15337500000000001</v>
      </c>
      <c r="AO26" s="68" t="e">
        <f>IF(OR(#REF!="",#REF!="Sem monitoramento"),"VAZIO",IFERROR(#REF!/($AI26*24),"-"))</f>
        <v>#REF!</v>
      </c>
      <c r="AP26" s="68">
        <f t="shared" ref="AP26:AQ28" si="57">IF(OR(I26="",I26="Sem monitoramento"),"VAZIO",IFERROR(I26/($AI26*24),"-"))</f>
        <v>0.15037499999999998</v>
      </c>
      <c r="AQ26" s="68">
        <f t="shared" si="57"/>
        <v>0.18712500000000001</v>
      </c>
      <c r="AR26" s="68">
        <f t="shared" si="43"/>
        <v>0.19208333333333333</v>
      </c>
      <c r="AS26" s="68">
        <f t="shared" si="44"/>
        <v>9.558333333333334E-2</v>
      </c>
      <c r="AT26" s="68">
        <f t="shared" si="52"/>
        <v>0.19620833333333332</v>
      </c>
      <c r="AU26" s="68">
        <f>IF(OR(N25="",N25="Sem monitoramento"),"VAZIO",IFERROR(N25/($AI26*24),"-"))</f>
        <v>0.23129166666666667</v>
      </c>
      <c r="AV26" s="68">
        <f t="shared" si="53"/>
        <v>0.19875000000000001</v>
      </c>
      <c r="AW26" s="68">
        <f t="shared" si="48"/>
        <v>0.19970833333333335</v>
      </c>
      <c r="AX26" s="68">
        <f t="shared" si="49"/>
        <v>0.19700000000000001</v>
      </c>
      <c r="AY26" s="68">
        <f t="shared" si="50"/>
        <v>0.19745833333333332</v>
      </c>
      <c r="AZ26" s="68">
        <f t="shared" si="46"/>
        <v>0.19650000000000001</v>
      </c>
      <c r="BA26" s="68">
        <f t="shared" si="39"/>
        <v>0.19583333333333333</v>
      </c>
      <c r="BB26" s="68">
        <f t="shared" si="37"/>
        <v>0.19529166666666667</v>
      </c>
      <c r="BC26" s="68">
        <f t="shared" si="54"/>
        <v>0.1905</v>
      </c>
      <c r="BD26" s="68">
        <f>IF(OR(W25="",W25="Sem monitoramento"),"VAZIO",IFERROR(W25/($AI26*24),"-"))</f>
        <v>0.23254166666666667</v>
      </c>
      <c r="BE26" s="68">
        <f t="shared" si="55"/>
        <v>0.18166666666666667</v>
      </c>
      <c r="BF26" s="68">
        <f t="shared" si="45"/>
        <v>0.18362499999999998</v>
      </c>
      <c r="BG26" s="68" t="e">
        <f>IF(OR(#REF!="",#REF!="Sem monitoramento"),"VAZIO",IFERROR(#REF!/($AI26*24),"-"))</f>
        <v>#REF!</v>
      </c>
      <c r="BH26" s="68">
        <f t="shared" si="26"/>
        <v>0.13679166666666667</v>
      </c>
      <c r="BI26" s="68">
        <f t="shared" si="51"/>
        <v>0.16866666666666666</v>
      </c>
      <c r="BJ26" s="68">
        <f t="shared" si="18"/>
        <v>0.16208333333333333</v>
      </c>
      <c r="BK26" s="68">
        <f t="shared" si="47"/>
        <v>0.15791666666666668</v>
      </c>
      <c r="BL26" s="68">
        <f t="shared" si="40"/>
        <v>0.13866666666666666</v>
      </c>
      <c r="BM26" s="68">
        <f t="shared" si="41"/>
        <v>0.16375000000000001</v>
      </c>
      <c r="BN26" s="68">
        <f t="shared" si="19"/>
        <v>4.5874999999999999E-2</v>
      </c>
      <c r="BO26" s="70">
        <f t="shared" si="6"/>
        <v>0.16821249999999999</v>
      </c>
      <c r="BP26" s="198">
        <f t="shared" si="42"/>
        <v>0.168125</v>
      </c>
      <c r="BQ26" s="72">
        <f t="shared" si="23"/>
        <v>16.8125</v>
      </c>
      <c r="BR26" s="73">
        <f t="shared" si="24"/>
        <v>1.1958333333333321E-2</v>
      </c>
      <c r="BS26" s="74">
        <f t="shared" si="9"/>
        <v>8.7499999999990363E-5</v>
      </c>
      <c r="BT26" s="15" t="s">
        <v>111</v>
      </c>
      <c r="BU26" s="3"/>
      <c r="BV26" s="2"/>
      <c r="BW26" s="2"/>
    </row>
    <row r="27" spans="2:75" x14ac:dyDescent="0.3">
      <c r="B27" s="775"/>
      <c r="C27" s="326" t="s">
        <v>288</v>
      </c>
      <c r="D27" s="223">
        <v>363.6</v>
      </c>
      <c r="E27" s="63">
        <v>428.5</v>
      </c>
      <c r="F27" s="63">
        <v>430.7</v>
      </c>
      <c r="G27" s="308">
        <v>201.6</v>
      </c>
      <c r="H27" s="316">
        <v>298.5</v>
      </c>
      <c r="I27" s="283">
        <v>405.1</v>
      </c>
      <c r="J27" s="283">
        <v>427.8</v>
      </c>
      <c r="K27" s="283">
        <v>437.7</v>
      </c>
      <c r="L27" s="359">
        <v>299.7</v>
      </c>
      <c r="M27" s="556">
        <v>0</v>
      </c>
      <c r="N27" s="504">
        <v>1.4</v>
      </c>
      <c r="O27" s="319">
        <v>438.8</v>
      </c>
      <c r="P27" s="319">
        <v>444</v>
      </c>
      <c r="Q27" s="355">
        <v>442.9</v>
      </c>
      <c r="R27" s="319">
        <v>442.9</v>
      </c>
      <c r="S27" s="319">
        <v>439.9</v>
      </c>
      <c r="T27" s="283">
        <v>435.1</v>
      </c>
      <c r="U27" s="355">
        <v>433.6</v>
      </c>
      <c r="V27" s="355">
        <v>429.5</v>
      </c>
      <c r="W27" s="355">
        <v>429.1</v>
      </c>
      <c r="X27" s="283">
        <v>417.2</v>
      </c>
      <c r="Y27" s="283">
        <v>394.3</v>
      </c>
      <c r="Z27" s="221">
        <v>412.8</v>
      </c>
      <c r="AA27" s="320">
        <v>408.3</v>
      </c>
      <c r="AB27" s="323">
        <v>296.60000000000002</v>
      </c>
      <c r="AC27" s="283">
        <v>400.8</v>
      </c>
      <c r="AD27" s="15">
        <v>208.6</v>
      </c>
      <c r="AE27" s="221">
        <v>294.2</v>
      </c>
      <c r="AF27" s="15">
        <v>330.1</v>
      </c>
      <c r="AG27" s="269">
        <v>24.6</v>
      </c>
      <c r="AH27" s="290">
        <f t="shared" si="0"/>
        <v>10417.9</v>
      </c>
      <c r="AI27" s="118">
        <v>100</v>
      </c>
      <c r="AJ27" s="121">
        <f t="shared" si="21"/>
        <v>9.9699074074074065E-3</v>
      </c>
      <c r="AK27" s="67">
        <f t="shared" si="56"/>
        <v>0.1515</v>
      </c>
      <c r="AL27" s="68">
        <f t="shared" si="56"/>
        <v>0.17854166666666665</v>
      </c>
      <c r="AM27" s="68">
        <f t="shared" si="56"/>
        <v>0.17945833333333333</v>
      </c>
      <c r="AN27" s="68">
        <f t="shared" si="56"/>
        <v>8.3999999999999991E-2</v>
      </c>
      <c r="AO27" s="68">
        <f>IF(OR(H26="",H26="Sem monitoramento"),"VAZIO",IFERROR(H26/($AI27*24),"-"))</f>
        <v>0.16708333333333333</v>
      </c>
      <c r="AP27" s="68">
        <f t="shared" si="57"/>
        <v>0.16879166666666667</v>
      </c>
      <c r="AQ27" s="68">
        <f t="shared" si="57"/>
        <v>0.17824999999999999</v>
      </c>
      <c r="AR27" s="68">
        <f t="shared" si="43"/>
        <v>0.18237499999999998</v>
      </c>
      <c r="AS27" s="68">
        <f t="shared" si="44"/>
        <v>0.124875</v>
      </c>
      <c r="AT27" s="68">
        <f t="shared" si="52"/>
        <v>0</v>
      </c>
      <c r="AU27" s="68">
        <f>IF(OR(N27="",N27="Sem monitoramento"),"VAZIO",IFERROR(N27/($AI27*24),"-"))</f>
        <v>5.8333333333333327E-4</v>
      </c>
      <c r="AV27" s="68">
        <f t="shared" si="53"/>
        <v>0.18283333333333335</v>
      </c>
      <c r="AW27" s="68">
        <f t="shared" si="48"/>
        <v>0.185</v>
      </c>
      <c r="AX27" s="68">
        <f t="shared" si="49"/>
        <v>0.18454166666666666</v>
      </c>
      <c r="AY27" s="68">
        <f t="shared" si="50"/>
        <v>0.18454166666666666</v>
      </c>
      <c r="AZ27" s="68">
        <f t="shared" si="46"/>
        <v>0.18329166666666666</v>
      </c>
      <c r="BA27" s="68">
        <f t="shared" si="39"/>
        <v>0.18129166666666668</v>
      </c>
      <c r="BB27" s="68">
        <f t="shared" si="37"/>
        <v>0.18066666666666667</v>
      </c>
      <c r="BC27" s="68">
        <f t="shared" si="54"/>
        <v>0.17895833333333333</v>
      </c>
      <c r="BD27" s="68">
        <f>IF(OR(W27="",W27="Sem monitoramento"),"VAZIO",IFERROR(W27/($AI27*24),"-"))</f>
        <v>0.17879166666666668</v>
      </c>
      <c r="BE27" s="68">
        <f t="shared" si="55"/>
        <v>0.17383333333333334</v>
      </c>
      <c r="BF27" s="68">
        <f t="shared" si="45"/>
        <v>0.16429166666666667</v>
      </c>
      <c r="BG27" s="68">
        <f>IF(OR(Z27="",Z27="Sem monitoramento"),"VAZIO",IFERROR(Z27/($AI27*24),"-"))</f>
        <v>0.17200000000000001</v>
      </c>
      <c r="BH27" s="68">
        <f t="shared" si="26"/>
        <v>0.170125</v>
      </c>
      <c r="BI27" s="68">
        <f t="shared" si="51"/>
        <v>0.12358333333333334</v>
      </c>
      <c r="BJ27" s="68">
        <f t="shared" si="18"/>
        <v>0.16700000000000001</v>
      </c>
      <c r="BK27" s="68">
        <f t="shared" si="47"/>
        <v>8.691666666666667E-2</v>
      </c>
      <c r="BL27" s="68">
        <f t="shared" si="40"/>
        <v>0.12258333333333332</v>
      </c>
      <c r="BM27" s="68">
        <f t="shared" si="41"/>
        <v>0.13754166666666667</v>
      </c>
      <c r="BN27" s="68">
        <f t="shared" si="19"/>
        <v>1.025E-2</v>
      </c>
      <c r="BO27" s="70">
        <f t="shared" si="6"/>
        <v>0.14469305555555556</v>
      </c>
      <c r="BP27" s="198">
        <f t="shared" si="42"/>
        <v>0.168125</v>
      </c>
      <c r="BQ27" s="72">
        <f t="shared" si="23"/>
        <v>16.8125</v>
      </c>
      <c r="BR27" s="73">
        <f t="shared" si="24"/>
        <v>1.1333333333333334E-2</v>
      </c>
      <c r="BS27" s="74">
        <f t="shared" si="9"/>
        <v>-2.3431944444444436E-2</v>
      </c>
      <c r="BT27" s="15" t="s">
        <v>32</v>
      </c>
      <c r="BU27" s="3"/>
      <c r="BV27" s="2"/>
      <c r="BW27" s="2"/>
    </row>
    <row r="28" spans="2:75" x14ac:dyDescent="0.3">
      <c r="B28" s="775"/>
      <c r="C28" s="326" t="s">
        <v>112</v>
      </c>
      <c r="D28" s="223">
        <v>323.7</v>
      </c>
      <c r="E28" s="63">
        <v>392.6</v>
      </c>
      <c r="F28" s="63">
        <v>405.9</v>
      </c>
      <c r="G28" s="308">
        <v>184.8</v>
      </c>
      <c r="H28" s="63">
        <v>257.10000000000002</v>
      </c>
      <c r="I28" s="283">
        <v>362.7</v>
      </c>
      <c r="J28" s="283">
        <v>376.5</v>
      </c>
      <c r="K28" s="283">
        <v>406.4</v>
      </c>
      <c r="L28" s="63">
        <v>394.8</v>
      </c>
      <c r="M28" s="319">
        <v>412.9</v>
      </c>
      <c r="N28" s="319">
        <v>409.6</v>
      </c>
      <c r="O28" s="319">
        <v>412.2</v>
      </c>
      <c r="P28" s="319">
        <v>422.2</v>
      </c>
      <c r="Q28" s="355">
        <v>421.4</v>
      </c>
      <c r="R28" s="319">
        <v>420.1</v>
      </c>
      <c r="S28" s="319">
        <v>417.3</v>
      </c>
      <c r="T28" s="283">
        <v>411.8</v>
      </c>
      <c r="U28" s="355">
        <v>411</v>
      </c>
      <c r="V28" s="355">
        <v>405.4</v>
      </c>
      <c r="W28" s="504">
        <v>401</v>
      </c>
      <c r="X28" s="282">
        <v>0</v>
      </c>
      <c r="Y28" s="282">
        <v>0</v>
      </c>
      <c r="Z28" s="282">
        <v>0</v>
      </c>
      <c r="AA28" s="282">
        <v>0</v>
      </c>
      <c r="AB28" s="323">
        <v>296.10000000000002</v>
      </c>
      <c r="AC28" s="283">
        <v>400.8</v>
      </c>
      <c r="AD28" s="15">
        <v>206.4</v>
      </c>
      <c r="AE28" s="221">
        <v>308.5</v>
      </c>
      <c r="AF28" s="15">
        <v>344.3</v>
      </c>
      <c r="AG28" s="269">
        <v>23.9</v>
      </c>
      <c r="AH28" s="290">
        <f t="shared" si="0"/>
        <v>9229.4</v>
      </c>
      <c r="AI28" s="301">
        <v>100</v>
      </c>
      <c r="AJ28" s="121">
        <f t="shared" si="21"/>
        <v>9.3958333333333324E-3</v>
      </c>
      <c r="AK28" s="302">
        <f t="shared" si="56"/>
        <v>0.13487499999999999</v>
      </c>
      <c r="AL28" s="303">
        <f t="shared" si="56"/>
        <v>0.16358333333333333</v>
      </c>
      <c r="AM28" s="303">
        <f t="shared" si="56"/>
        <v>0.169125</v>
      </c>
      <c r="AN28" s="303">
        <f t="shared" si="56"/>
        <v>7.6999999999999999E-2</v>
      </c>
      <c r="AO28" s="303">
        <f>IF(OR(H28="",H28="Sem monitoramento"),"VAZIO",IFERROR(H28/($AI28*24),"-"))</f>
        <v>0.10712500000000001</v>
      </c>
      <c r="AP28" s="303">
        <f t="shared" si="57"/>
        <v>0.15112499999999998</v>
      </c>
      <c r="AQ28" s="303">
        <f t="shared" si="57"/>
        <v>0.15687499999999999</v>
      </c>
      <c r="AR28" s="303">
        <f t="shared" si="43"/>
        <v>0.16933333333333334</v>
      </c>
      <c r="AS28" s="303">
        <f t="shared" si="44"/>
        <v>0.16450000000000001</v>
      </c>
      <c r="AT28" s="303">
        <f t="shared" si="52"/>
        <v>0.17204166666666665</v>
      </c>
      <c r="AU28" s="303">
        <f>IF(OR(N28="",N28="Sem monitoramento"),"VAZIO",IFERROR(N28/($AI28*24),"-"))</f>
        <v>0.17066666666666669</v>
      </c>
      <c r="AV28" s="303">
        <f t="shared" si="53"/>
        <v>0.17174999999999999</v>
      </c>
      <c r="AW28" s="303">
        <f t="shared" si="48"/>
        <v>0.17591666666666667</v>
      </c>
      <c r="AX28" s="303">
        <f t="shared" si="49"/>
        <v>0.17558333333333331</v>
      </c>
      <c r="AY28" s="303">
        <f t="shared" si="50"/>
        <v>0.17504166666666668</v>
      </c>
      <c r="AZ28" s="303">
        <f t="shared" si="46"/>
        <v>0.173875</v>
      </c>
      <c r="BA28" s="303">
        <f t="shared" si="39"/>
        <v>0.17158333333333334</v>
      </c>
      <c r="BB28" s="303">
        <f t="shared" si="37"/>
        <v>0.17125000000000001</v>
      </c>
      <c r="BC28" s="303">
        <f t="shared" si="54"/>
        <v>0.16891666666666666</v>
      </c>
      <c r="BD28" s="303">
        <f>IF(OR(W28="",W28="Sem monitoramento"),"VAZIO",IFERROR(W28/($AI28*24),"-"))</f>
        <v>0.16708333333333333</v>
      </c>
      <c r="BE28" s="303">
        <f t="shared" si="55"/>
        <v>0</v>
      </c>
      <c r="BF28" s="303">
        <f t="shared" si="45"/>
        <v>0</v>
      </c>
      <c r="BG28" s="303">
        <f>IF(OR(Z28="",Z28="Sem monitoramento"),"VAZIO",IFERROR(Z28/($AI28*24),"-"))</f>
        <v>0</v>
      </c>
      <c r="BH28" s="303">
        <f t="shared" si="26"/>
        <v>0</v>
      </c>
      <c r="BI28" s="303">
        <f t="shared" si="51"/>
        <v>0.12337500000000001</v>
      </c>
      <c r="BJ28" s="303">
        <f t="shared" si="18"/>
        <v>0.16700000000000001</v>
      </c>
      <c r="BK28" s="303">
        <f t="shared" si="47"/>
        <v>8.6000000000000007E-2</v>
      </c>
      <c r="BL28" s="303">
        <f t="shared" si="40"/>
        <v>0.12854166666666667</v>
      </c>
      <c r="BM28" s="303">
        <f t="shared" si="41"/>
        <v>0.14345833333333333</v>
      </c>
      <c r="BN28" s="303">
        <f t="shared" si="19"/>
        <v>9.9583333333333329E-3</v>
      </c>
      <c r="BO28" s="304">
        <f t="shared" si="6"/>
        <v>0.12818611111111111</v>
      </c>
      <c r="BP28" s="198">
        <f t="shared" si="42"/>
        <v>0.168125</v>
      </c>
      <c r="BQ28" s="72">
        <f t="shared" si="23"/>
        <v>16.8125</v>
      </c>
      <c r="BR28" s="73">
        <f t="shared" si="24"/>
        <v>1.0000000000000009E-3</v>
      </c>
      <c r="BS28" s="74">
        <f>BO28-BP28</f>
        <v>-3.9938888888888885E-2</v>
      </c>
      <c r="BT28" s="15" t="s">
        <v>440</v>
      </c>
      <c r="BU28" s="3"/>
      <c r="BV28" s="2"/>
      <c r="BW28" s="2"/>
    </row>
    <row r="29" spans="2:75" ht="15" thickBot="1" x14ac:dyDescent="0.35">
      <c r="B29" s="775"/>
      <c r="C29" s="326" t="s">
        <v>289</v>
      </c>
      <c r="D29" s="223">
        <v>313.2</v>
      </c>
      <c r="E29" s="517">
        <v>400</v>
      </c>
      <c r="F29" s="517">
        <v>429</v>
      </c>
      <c r="G29" s="308">
        <v>196.2</v>
      </c>
      <c r="H29" s="283">
        <v>256.5</v>
      </c>
      <c r="I29" s="308">
        <v>373.7</v>
      </c>
      <c r="J29" s="308">
        <v>395.2</v>
      </c>
      <c r="K29" s="283">
        <v>413</v>
      </c>
      <c r="L29" s="283">
        <v>389.1</v>
      </c>
      <c r="M29" s="555">
        <v>311</v>
      </c>
      <c r="N29" s="355">
        <v>410.6</v>
      </c>
      <c r="O29" s="355">
        <v>419.3</v>
      </c>
      <c r="P29" s="355">
        <v>421.7</v>
      </c>
      <c r="Q29" s="355">
        <v>427.4</v>
      </c>
      <c r="R29" s="355">
        <v>423.6</v>
      </c>
      <c r="S29" s="355">
        <v>419.3</v>
      </c>
      <c r="T29" s="283">
        <v>411.7</v>
      </c>
      <c r="U29" s="355">
        <v>411.9</v>
      </c>
      <c r="V29" s="355">
        <v>412.5</v>
      </c>
      <c r="W29" s="355">
        <v>407.3</v>
      </c>
      <c r="X29" s="283">
        <v>396.5</v>
      </c>
      <c r="Y29" s="283">
        <v>389.6</v>
      </c>
      <c r="Z29" s="221">
        <v>393.9</v>
      </c>
      <c r="AA29" s="320">
        <v>389.1</v>
      </c>
      <c r="AB29" s="323">
        <v>263.2</v>
      </c>
      <c r="AC29" s="283">
        <v>371.1</v>
      </c>
      <c r="AD29" s="221">
        <v>187.1</v>
      </c>
      <c r="AE29" s="221">
        <v>296.2</v>
      </c>
      <c r="AF29" s="221">
        <v>315.2</v>
      </c>
      <c r="AG29" s="370">
        <v>22.7</v>
      </c>
      <c r="AH29" s="290">
        <f t="shared" si="0"/>
        <v>10666.800000000003</v>
      </c>
      <c r="AI29" s="119">
        <v>100</v>
      </c>
      <c r="AJ29" s="121">
        <f t="shared" si="21"/>
        <v>9.9305555555555553E-3</v>
      </c>
      <c r="AK29" s="98">
        <f t="shared" si="56"/>
        <v>0.1305</v>
      </c>
      <c r="AL29" s="99">
        <f t="shared" si="56"/>
        <v>0.16666666666666666</v>
      </c>
      <c r="AM29" s="99">
        <f t="shared" si="56"/>
        <v>0.17874999999999999</v>
      </c>
      <c r="AN29" s="99">
        <f t="shared" si="56"/>
        <v>8.1749999999999989E-2</v>
      </c>
      <c r="AO29" s="99">
        <f>IF(OR(H29="",H29="Sem monitoramento"),"VAZIO",IFERROR(H29/($AI29*24),"-"))</f>
        <v>0.106875</v>
      </c>
      <c r="AP29" s="99">
        <f>IF(OR(I29="",I29="Sem monitoramento"),"VAZIO",IFERROR(I29/($AI29*24),"-"))</f>
        <v>0.15570833333333334</v>
      </c>
      <c r="AQ29" s="99">
        <f>IF(OR(J30="",J30="Sem monitoramento"),"VAZIO",IFERROR(J30/($AI29*24),"-"))</f>
        <v>0.15229166666666666</v>
      </c>
      <c r="AR29" s="99">
        <f t="shared" si="43"/>
        <v>0.17208333333333334</v>
      </c>
      <c r="AS29" s="99">
        <f t="shared" si="44"/>
        <v>0.16212500000000002</v>
      </c>
      <c r="AT29" s="99">
        <f t="shared" si="52"/>
        <v>0.12958333333333333</v>
      </c>
      <c r="AU29" s="99">
        <f>IF(OR(N29="",N29="Sem monitoramento"),"VAZIO",IFERROR(N29/($AI29*24),"-"))</f>
        <v>0.17108333333333334</v>
      </c>
      <c r="AV29" s="99">
        <f t="shared" si="53"/>
        <v>0.17470833333333333</v>
      </c>
      <c r="AW29" s="99">
        <f t="shared" si="48"/>
        <v>0.17570833333333333</v>
      </c>
      <c r="AX29" s="99">
        <f t="shared" si="49"/>
        <v>0.17808333333333332</v>
      </c>
      <c r="AY29" s="99">
        <f t="shared" si="50"/>
        <v>0.17650000000000002</v>
      </c>
      <c r="AZ29" s="99">
        <f t="shared" si="46"/>
        <v>0.17470833333333333</v>
      </c>
      <c r="BA29" s="99">
        <f t="shared" si="39"/>
        <v>0.17154166666666668</v>
      </c>
      <c r="BB29" s="99">
        <f t="shared" si="37"/>
        <v>0.171625</v>
      </c>
      <c r="BC29" s="99">
        <f t="shared" si="54"/>
        <v>0.171875</v>
      </c>
      <c r="BD29" s="99">
        <f>IF(OR(W29="",W29="Sem monitoramento"),"VAZIO",IFERROR(W29/($AI29*24),"-"))</f>
        <v>0.16970833333333335</v>
      </c>
      <c r="BE29" s="99">
        <f t="shared" si="55"/>
        <v>0.16520833333333335</v>
      </c>
      <c r="BF29" s="99">
        <f t="shared" si="45"/>
        <v>0.16233333333333333</v>
      </c>
      <c r="BG29" s="99">
        <f>IF(OR(Z29="",Z29="Sem monitoramento"),"VAZIO",IFERROR(Z29/($AI29*24),"-"))</f>
        <v>0.16412499999999999</v>
      </c>
      <c r="BH29" s="99">
        <f t="shared" si="26"/>
        <v>0.16212500000000002</v>
      </c>
      <c r="BI29" s="99">
        <f t="shared" si="51"/>
        <v>0.10966666666666666</v>
      </c>
      <c r="BJ29" s="99">
        <f t="shared" si="18"/>
        <v>0.15462500000000001</v>
      </c>
      <c r="BK29" s="99">
        <f t="shared" si="47"/>
        <v>7.7958333333333338E-2</v>
      </c>
      <c r="BL29" s="99">
        <f t="shared" si="40"/>
        <v>0.12341666666666666</v>
      </c>
      <c r="BM29" s="99">
        <f t="shared" si="41"/>
        <v>0.13133333333333333</v>
      </c>
      <c r="BN29" s="99">
        <f t="shared" si="19"/>
        <v>9.4583333333333325E-3</v>
      </c>
      <c r="BO29" s="101">
        <f t="shared" si="6"/>
        <v>0.14815000000000003</v>
      </c>
      <c r="BP29" s="198">
        <f t="shared" si="42"/>
        <v>0.168125</v>
      </c>
      <c r="BQ29" s="72">
        <f t="shared" si="23"/>
        <v>16.8125</v>
      </c>
      <c r="BR29" s="73">
        <f t="shared" si="24"/>
        <v>1.0624999999999996E-2</v>
      </c>
      <c r="BS29" s="74">
        <f t="shared" si="9"/>
        <v>-1.9974999999999965E-2</v>
      </c>
      <c r="BT29" s="15" t="s">
        <v>112</v>
      </c>
      <c r="BU29" s="3"/>
      <c r="BV29" s="2"/>
      <c r="BW29" s="2"/>
    </row>
    <row r="30" spans="2:75" ht="15" thickBot="1" x14ac:dyDescent="0.35">
      <c r="B30" s="773" t="s">
        <v>290</v>
      </c>
      <c r="C30" s="326" t="s">
        <v>291</v>
      </c>
      <c r="D30" s="223">
        <v>263.3</v>
      </c>
      <c r="E30" s="223">
        <v>263.60000000000002</v>
      </c>
      <c r="F30" s="63">
        <v>347.2</v>
      </c>
      <c r="G30" s="63">
        <v>290.8</v>
      </c>
      <c r="H30" s="63">
        <v>206.2</v>
      </c>
      <c r="I30" s="470">
        <v>301.39999999999998</v>
      </c>
      <c r="J30" s="308">
        <v>365.5</v>
      </c>
      <c r="K30" s="283">
        <v>368.7</v>
      </c>
      <c r="L30" s="283">
        <v>193.2</v>
      </c>
      <c r="M30" s="283">
        <v>369.9</v>
      </c>
      <c r="N30" s="283">
        <v>372.8</v>
      </c>
      <c r="O30" s="355">
        <v>377.2</v>
      </c>
      <c r="P30" s="355">
        <v>375.8</v>
      </c>
      <c r="Q30" s="283">
        <v>110.4</v>
      </c>
      <c r="R30" s="355">
        <v>336.6</v>
      </c>
      <c r="S30" s="355">
        <v>375.5</v>
      </c>
      <c r="T30" s="283">
        <v>370.7</v>
      </c>
      <c r="U30" s="355">
        <v>372.2</v>
      </c>
      <c r="V30" s="355">
        <v>366.3</v>
      </c>
      <c r="W30" s="355">
        <v>369.2</v>
      </c>
      <c r="X30" s="63">
        <v>340.1</v>
      </c>
      <c r="Y30" s="320">
        <v>364.5</v>
      </c>
      <c r="Z30" s="320">
        <v>342.6</v>
      </c>
      <c r="AA30" s="320">
        <v>324.60000000000002</v>
      </c>
      <c r="AB30" s="323">
        <v>335.7</v>
      </c>
      <c r="AC30" s="15">
        <v>250.2</v>
      </c>
      <c r="AD30" s="221">
        <v>336.4</v>
      </c>
      <c r="AE30" s="221">
        <v>246.9</v>
      </c>
      <c r="AF30" s="15">
        <v>343.4</v>
      </c>
      <c r="AG30" s="269">
        <v>134.6</v>
      </c>
      <c r="AH30" s="290">
        <f t="shared" si="0"/>
        <v>9415.5</v>
      </c>
      <c r="AI30" s="2">
        <v>100</v>
      </c>
      <c r="AJ30" s="285">
        <f t="shared" si="21"/>
        <v>8.037037037037037E-3</v>
      </c>
      <c r="AK30" s="98">
        <f t="shared" si="56"/>
        <v>0.10970833333333334</v>
      </c>
      <c r="AL30" s="99">
        <f t="shared" si="56"/>
        <v>0.10983333333333334</v>
      </c>
      <c r="AM30" s="99">
        <f t="shared" si="56"/>
        <v>0.14466666666666667</v>
      </c>
      <c r="AN30" s="99">
        <f t="shared" si="56"/>
        <v>0.12116666666666667</v>
      </c>
      <c r="AO30" s="99">
        <f>IF(OR(H30="",H30="Sem monitoramento"),"VAZIO",IFERROR(H30/($AI30*24),"-"))</f>
        <v>8.5916666666666655E-2</v>
      </c>
      <c r="AP30" s="99">
        <f>IF(OR(I30="",I30="Sem monitoramento"),"VAZIO",IFERROR(I30/($AI30*24),"-"))</f>
        <v>0.12558333333333332</v>
      </c>
      <c r="AQ30" s="99" t="e">
        <f>IF(OR(#REF!="",#REF!="Sem monitoramento"),"VAZIO",IFERROR(#REF!/($AI30*24),"-"))</f>
        <v>#REF!</v>
      </c>
      <c r="AR30" s="99">
        <f t="shared" si="43"/>
        <v>0.15362499999999998</v>
      </c>
      <c r="AS30" s="99">
        <f t="shared" si="44"/>
        <v>8.0500000000000002E-2</v>
      </c>
      <c r="AT30" s="99">
        <f t="shared" si="52"/>
        <v>0.15412499999999998</v>
      </c>
      <c r="AU30" s="99">
        <f>IF(OR(N30="",N30="Sem monitoramento"),"VAZIO",IFERROR(N30/($AI30*24),"-"))</f>
        <v>0.15533333333333335</v>
      </c>
      <c r="AV30" s="99">
        <f t="shared" si="53"/>
        <v>0.15716666666666665</v>
      </c>
      <c r="AW30" s="99">
        <f t="shared" si="48"/>
        <v>0.15658333333333332</v>
      </c>
      <c r="AX30" s="99">
        <f t="shared" si="49"/>
        <v>4.5999999999999999E-2</v>
      </c>
      <c r="AY30" s="99">
        <f t="shared" si="50"/>
        <v>0.14025000000000001</v>
      </c>
      <c r="AZ30" s="99">
        <f t="shared" si="46"/>
        <v>0.15645833333333334</v>
      </c>
      <c r="BA30" s="99">
        <f t="shared" si="39"/>
        <v>0.15445833333333334</v>
      </c>
      <c r="BB30" s="99">
        <f t="shared" si="37"/>
        <v>0.15508333333333332</v>
      </c>
      <c r="BC30" s="99">
        <f t="shared" si="54"/>
        <v>0.15262500000000001</v>
      </c>
      <c r="BD30" s="99">
        <f>IF(OR(W30="",W30="Sem monitoramento"),"VAZIO",IFERROR(W30/($AI30*24),"-"))</f>
        <v>0.15383333333333332</v>
      </c>
      <c r="BE30" s="99">
        <f t="shared" si="55"/>
        <v>0.14170833333333335</v>
      </c>
      <c r="BF30" s="99">
        <f t="shared" si="45"/>
        <v>0.15187500000000001</v>
      </c>
      <c r="BG30" s="99">
        <f>IF(OR(Z30="",Z30="Sem monitoramento"),"VAZIO",IFERROR(Z30/($AI30*24),"-"))</f>
        <v>0.14275000000000002</v>
      </c>
      <c r="BH30" s="99">
        <f t="shared" si="26"/>
        <v>0.13525000000000001</v>
      </c>
      <c r="BI30" s="99">
        <f t="shared" si="51"/>
        <v>0.139875</v>
      </c>
      <c r="BJ30" s="99">
        <f t="shared" si="18"/>
        <v>0.10425</v>
      </c>
      <c r="BK30" s="99">
        <f t="shared" si="47"/>
        <v>0.14016666666666666</v>
      </c>
      <c r="BL30" s="99">
        <f t="shared" si="40"/>
        <v>0.10287500000000001</v>
      </c>
      <c r="BM30" s="286">
        <f t="shared" si="41"/>
        <v>0.14308333333333331</v>
      </c>
      <c r="BN30" s="286">
        <f t="shared" si="19"/>
        <v>5.6083333333333332E-2</v>
      </c>
      <c r="BO30" s="286">
        <f t="shared" si="6"/>
        <v>0.13077083333333334</v>
      </c>
      <c r="BP30" s="198">
        <f t="shared" si="42"/>
        <v>0.168125</v>
      </c>
      <c r="BQ30" s="72">
        <f t="shared" si="23"/>
        <v>16.8125</v>
      </c>
      <c r="BR30" s="73">
        <f t="shared" si="24"/>
        <v>-2.3458333333333331E-2</v>
      </c>
      <c r="BS30" s="74">
        <f t="shared" si="9"/>
        <v>-3.7354166666666661E-2</v>
      </c>
      <c r="BT30" s="2"/>
      <c r="BU30" s="3"/>
      <c r="BV30" s="2"/>
      <c r="BW30" s="2"/>
    </row>
    <row r="31" spans="2:75" ht="15" thickBot="1" x14ac:dyDescent="0.35">
      <c r="B31" s="777"/>
      <c r="C31" s="329" t="s">
        <v>563</v>
      </c>
      <c r="D31" s="224">
        <v>162.4</v>
      </c>
      <c r="E31" s="93">
        <v>229.3</v>
      </c>
      <c r="F31" s="93">
        <v>274</v>
      </c>
      <c r="G31" s="115">
        <v>290.04000000000002</v>
      </c>
      <c r="H31" s="532">
        <v>166.6</v>
      </c>
      <c r="I31" s="115">
        <v>159.1</v>
      </c>
      <c r="J31" s="115">
        <v>289.5</v>
      </c>
      <c r="K31" s="93">
        <v>278.2</v>
      </c>
      <c r="L31" s="93">
        <v>121.5</v>
      </c>
      <c r="M31" s="93">
        <v>290.8</v>
      </c>
      <c r="N31" s="93">
        <v>289.60000000000002</v>
      </c>
      <c r="O31" s="558">
        <v>293.39999999999998</v>
      </c>
      <c r="P31" s="558">
        <v>291.39999999999998</v>
      </c>
      <c r="Q31" s="560">
        <v>295.10000000000002</v>
      </c>
      <c r="R31" s="558">
        <v>289.8</v>
      </c>
      <c r="S31" s="558">
        <v>291.39999999999998</v>
      </c>
      <c r="T31" s="558">
        <v>289.60000000000002</v>
      </c>
      <c r="U31" s="192">
        <v>289.10000000000002</v>
      </c>
      <c r="V31" s="192">
        <v>284.8</v>
      </c>
      <c r="W31" s="560">
        <v>285.89999999999998</v>
      </c>
      <c r="X31" s="22">
        <v>228.7</v>
      </c>
      <c r="Y31" s="93">
        <v>270.3</v>
      </c>
      <c r="Z31" s="22">
        <v>258.8</v>
      </c>
      <c r="AA31" s="322">
        <v>217.1</v>
      </c>
      <c r="AB31" s="569">
        <v>260.89999999999998</v>
      </c>
      <c r="AC31" s="22">
        <v>178.6</v>
      </c>
      <c r="AD31" s="277">
        <v>258.89999999999998</v>
      </c>
      <c r="AE31" s="22">
        <v>178.8</v>
      </c>
      <c r="AF31" s="22">
        <v>255.1</v>
      </c>
      <c r="AG31" s="571">
        <v>70.34</v>
      </c>
      <c r="AH31" s="290">
        <f t="shared" si="0"/>
        <v>7339.0800000000017</v>
      </c>
      <c r="AI31" s="2"/>
      <c r="AJ31" s="285"/>
      <c r="AK31" s="286" t="str">
        <f t="shared" si="56"/>
        <v>-</v>
      </c>
      <c r="AL31" s="286" t="str">
        <f t="shared" si="56"/>
        <v>-</v>
      </c>
      <c r="AM31" s="286" t="str">
        <f t="shared" si="56"/>
        <v>-</v>
      </c>
      <c r="AN31" s="286" t="str">
        <f t="shared" si="56"/>
        <v>-</v>
      </c>
      <c r="AO31" s="286" t="str">
        <f>IF(OR(H31="",H31="Sem monitoramento"),"VAZIO",IFERROR(H31/($AI31*24),"-"))</f>
        <v>-</v>
      </c>
      <c r="AP31" s="286" t="str">
        <f>IF(OR(I31="",I31="Sem monitoramento"),"VAZIO",IFERROR(I31/($AI31*24),"-"))</f>
        <v>-</v>
      </c>
      <c r="AQ31" s="286" t="str">
        <f>IF(OR(J31="",J31="Sem monitoramento"),"VAZIO",IFERROR(J31/($AI31*24),"-"))</f>
        <v>-</v>
      </c>
      <c r="AR31" s="286" t="str">
        <f t="shared" si="43"/>
        <v>-</v>
      </c>
      <c r="AS31" s="286" t="str">
        <f t="shared" si="44"/>
        <v>-</v>
      </c>
      <c r="AT31" s="286" t="str">
        <f t="shared" si="52"/>
        <v>-</v>
      </c>
      <c r="AU31" s="286" t="str">
        <f>IF(OR(N31="",N31="Sem monitoramento"),"VAZIO",IFERROR(N31/($AI31*24),"-"))</f>
        <v>-</v>
      </c>
      <c r="AV31" s="286" t="str">
        <f t="shared" si="53"/>
        <v>-</v>
      </c>
      <c r="AW31" s="286" t="str">
        <f t="shared" si="48"/>
        <v>-</v>
      </c>
      <c r="AX31" s="286" t="str">
        <f t="shared" si="49"/>
        <v>-</v>
      </c>
      <c r="AY31" s="286" t="str">
        <f t="shared" si="50"/>
        <v>-</v>
      </c>
      <c r="AZ31" s="286" t="str">
        <f t="shared" si="46"/>
        <v>-</v>
      </c>
      <c r="BA31" s="286" t="str">
        <f t="shared" si="39"/>
        <v>-</v>
      </c>
      <c r="BB31" s="286" t="str">
        <f t="shared" si="37"/>
        <v>-</v>
      </c>
      <c r="BC31" s="286" t="str">
        <f t="shared" si="54"/>
        <v>-</v>
      </c>
      <c r="BD31" s="286" t="str">
        <f>IF(OR(W31="",W31="Sem monitoramento"),"VAZIO",IFERROR(W31/($AI31*24),"-"))</f>
        <v>-</v>
      </c>
      <c r="BE31" s="286" t="str">
        <f t="shared" si="55"/>
        <v>-</v>
      </c>
      <c r="BF31" s="286" t="str">
        <f t="shared" si="45"/>
        <v>-</v>
      </c>
      <c r="BG31" s="286" t="str">
        <f>IF(OR(Z31="",Z31="Sem monitoramento"),"VAZIO",IFERROR(Z31/($AI31*24),"-"))</f>
        <v>-</v>
      </c>
      <c r="BH31" s="286" t="str">
        <f t="shared" si="26"/>
        <v>-</v>
      </c>
      <c r="BI31" s="286" t="str">
        <f t="shared" si="51"/>
        <v>-</v>
      </c>
      <c r="BJ31" s="286" t="str">
        <f t="shared" si="18"/>
        <v>-</v>
      </c>
      <c r="BK31" s="286" t="str">
        <f t="shared" si="47"/>
        <v>-</v>
      </c>
      <c r="BL31" s="286" t="str">
        <f t="shared" si="40"/>
        <v>-</v>
      </c>
      <c r="BM31" s="286" t="str">
        <f t="shared" si="41"/>
        <v>-</v>
      </c>
      <c r="BN31" s="286" t="str">
        <f t="shared" si="19"/>
        <v>-</v>
      </c>
      <c r="BO31" s="286" t="e">
        <f t="shared" si="6"/>
        <v>#DIV/0!</v>
      </c>
      <c r="BP31" s="198"/>
      <c r="BQ31" s="287"/>
      <c r="BR31" s="288"/>
      <c r="BS31" s="289"/>
      <c r="BT31" s="2"/>
      <c r="BU31" s="3"/>
      <c r="BV31" s="2"/>
      <c r="BW31" s="2"/>
    </row>
    <row r="32" spans="2:75" ht="18" x14ac:dyDescent="0.3">
      <c r="B32" s="776" t="s">
        <v>113</v>
      </c>
      <c r="C32" s="776"/>
      <c r="D32" s="103">
        <f>SUM(D5:D31)</f>
        <v>7285.5</v>
      </c>
      <c r="E32" s="103">
        <f>SUM(E5:E31)</f>
        <v>7125.4000000000005</v>
      </c>
      <c r="F32" s="103">
        <f>SUM(F5:F31)</f>
        <v>10276.000000000002</v>
      </c>
      <c r="G32" s="103">
        <f>SUM(G5:G31)</f>
        <v>9307.6400000000012</v>
      </c>
      <c r="H32" s="103">
        <f t="shared" ref="H32:AG32" si="58">SUM(H5:H31)</f>
        <v>7137</v>
      </c>
      <c r="I32" s="103">
        <f t="shared" si="58"/>
        <v>6387.0999999999995</v>
      </c>
      <c r="J32" s="103">
        <f t="shared" si="58"/>
        <v>10145.700000000001</v>
      </c>
      <c r="K32" s="103">
        <f t="shared" si="58"/>
        <v>10509.500000000004</v>
      </c>
      <c r="L32" s="103">
        <f t="shared" si="58"/>
        <v>6332.5</v>
      </c>
      <c r="M32" s="103">
        <f t="shared" si="58"/>
        <v>10256.699999999999</v>
      </c>
      <c r="N32" s="103">
        <f t="shared" si="58"/>
        <v>10508.200000000003</v>
      </c>
      <c r="O32" s="103">
        <f t="shared" si="58"/>
        <v>10990</v>
      </c>
      <c r="P32" s="103">
        <f t="shared" si="58"/>
        <v>11025.199999999999</v>
      </c>
      <c r="Q32" s="103">
        <f t="shared" si="58"/>
        <v>10783.299999999997</v>
      </c>
      <c r="R32" s="103">
        <f t="shared" si="58"/>
        <v>10914.2</v>
      </c>
      <c r="S32" s="103">
        <f t="shared" si="58"/>
        <v>10971.499999999998</v>
      </c>
      <c r="T32" s="103">
        <f t="shared" si="58"/>
        <v>10910.300000000001</v>
      </c>
      <c r="U32" s="103">
        <f t="shared" si="58"/>
        <v>10894.400000000003</v>
      </c>
      <c r="V32" s="103">
        <f t="shared" si="58"/>
        <v>10762.599999999999</v>
      </c>
      <c r="W32" s="103">
        <f t="shared" si="58"/>
        <v>10699.9</v>
      </c>
      <c r="X32" s="103">
        <f t="shared" si="58"/>
        <v>10037.500000000002</v>
      </c>
      <c r="Y32" s="103">
        <f t="shared" si="58"/>
        <v>9710.9</v>
      </c>
      <c r="Z32" s="103">
        <f t="shared" si="58"/>
        <v>8866.2000000000007</v>
      </c>
      <c r="AA32" s="103">
        <f t="shared" si="58"/>
        <v>9353.8000000000011</v>
      </c>
      <c r="AB32" s="103">
        <f t="shared" si="58"/>
        <v>9352.0000000000018</v>
      </c>
      <c r="AC32" s="103">
        <f t="shared" si="58"/>
        <v>7872.3000000000011</v>
      </c>
      <c r="AD32" s="103">
        <f t="shared" si="58"/>
        <v>9037.5000000000018</v>
      </c>
      <c r="AE32" s="103">
        <f t="shared" si="58"/>
        <v>7864.5</v>
      </c>
      <c r="AF32" s="103">
        <f t="shared" si="58"/>
        <v>9395.4000000000015</v>
      </c>
      <c r="AG32" s="103">
        <f t="shared" si="58"/>
        <v>3711.74</v>
      </c>
      <c r="AH32" s="189">
        <f>SUM(AH5:AH31)</f>
        <v>278424.48</v>
      </c>
      <c r="AI32" s="104">
        <f>SUM(AI5:AI31)</f>
        <v>2329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U32" s="3"/>
      <c r="BV32" s="2"/>
      <c r="BW32" s="2"/>
    </row>
    <row r="33" spans="2:75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190" t="str">
        <f>_xlfn.CONCAT(ROUND(AH32/1000,3)," MWh")</f>
        <v>278,424 MWh</v>
      </c>
      <c r="AI33" s="2"/>
      <c r="AV33">
        <v>1000</v>
      </c>
      <c r="AW33">
        <v>1000</v>
      </c>
      <c r="BQ33" s="9"/>
      <c r="BS33" s="2"/>
      <c r="BU33" s="2"/>
      <c r="BV33" s="2"/>
      <c r="BW33" s="2"/>
    </row>
    <row r="34" spans="2:75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91" t="str">
        <f>_xlfn.CONCAT(ROUND($AH$32/COUNTIF($D$32:$AG$32,"&lt;&gt;0"),3)," kWh")</f>
        <v>9280,816 kWh</v>
      </c>
      <c r="AI34" s="2"/>
      <c r="AJ34" s="2"/>
      <c r="AK34" s="2"/>
      <c r="AL34" s="2"/>
      <c r="AU34">
        <v>900</v>
      </c>
      <c r="AV34">
        <v>100</v>
      </c>
      <c r="BQ34" s="11"/>
      <c r="BS34" s="106"/>
      <c r="BT34" s="3" t="s">
        <v>114</v>
      </c>
    </row>
    <row r="35" spans="2:75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91" t="str">
        <f>_xlfn.CONCAT(ROUND($AH$32/COUNTIF($D$32:$AG$32,"&lt;&gt;0"),3)*30," kWh")</f>
        <v>278424,48 kWh</v>
      </c>
      <c r="AI35" s="2"/>
      <c r="AJ35" s="2"/>
      <c r="AK35" s="2"/>
      <c r="AL35" s="2"/>
      <c r="BQ35" s="2"/>
      <c r="BS35" s="109"/>
      <c r="BT35" s="5" t="s">
        <v>116</v>
      </c>
    </row>
    <row r="36" spans="2:75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91" t="str">
        <f>_xlfn.CONCAT(ROUND(($AH$32/COUNTIF($D$32:$AG$32,"&lt;&gt;0"))*30/1000,3)," MWh")</f>
        <v>278,424 MWh</v>
      </c>
    </row>
    <row r="37" spans="2:75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</row>
    <row r="38" spans="2:75" x14ac:dyDescent="0.3">
      <c r="AC38">
        <v>60.6</v>
      </c>
    </row>
    <row r="39" spans="2:75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5" x14ac:dyDescent="0.3">
      <c r="N40">
        <v>91151.5</v>
      </c>
      <c r="O40">
        <f>N41-N40</f>
        <v>734</v>
      </c>
      <c r="X40" s="102"/>
      <c r="AF40">
        <f>AF39-20.4</f>
        <v>53905.2</v>
      </c>
    </row>
    <row r="41" spans="2:75" x14ac:dyDescent="0.3">
      <c r="N41">
        <v>91885.5</v>
      </c>
      <c r="X41" s="102"/>
      <c r="AF41">
        <f>AF40-AD39</f>
        <v>263.19999999999709</v>
      </c>
    </row>
    <row r="42" spans="2:75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5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L43" s="63">
        <v>19.7</v>
      </c>
    </row>
    <row r="44" spans="2:75" x14ac:dyDescent="0.3">
      <c r="B44" s="751" t="s">
        <v>6</v>
      </c>
      <c r="C44" s="18" t="s">
        <v>7</v>
      </c>
      <c r="D44" s="163">
        <f>D5+Agosto23!AF41</f>
        <v>48872.6</v>
      </c>
      <c r="E44" s="164">
        <f t="shared" ref="E44:F59" si="59">D44+E5</f>
        <v>48896.2</v>
      </c>
      <c r="F44" s="164">
        <f t="shared" si="59"/>
        <v>48941.7</v>
      </c>
      <c r="G44" s="165">
        <v>49036.4</v>
      </c>
      <c r="H44" s="166">
        <v>49076</v>
      </c>
      <c r="I44" s="163">
        <f t="shared" ref="I44:V59" si="60">H44+I5</f>
        <v>49103.8</v>
      </c>
      <c r="J44" s="163">
        <f t="shared" si="60"/>
        <v>49143</v>
      </c>
      <c r="K44" s="163">
        <f t="shared" si="60"/>
        <v>49188.7</v>
      </c>
      <c r="L44" s="163">
        <f t="shared" si="60"/>
        <v>49213.799999999996</v>
      </c>
      <c r="M44" s="163">
        <f t="shared" si="60"/>
        <v>49262.799999999996</v>
      </c>
      <c r="N44" s="163">
        <f t="shared" si="60"/>
        <v>49311.499999999993</v>
      </c>
      <c r="O44" s="163">
        <f t="shared" si="60"/>
        <v>49360.799999999996</v>
      </c>
      <c r="P44" s="163">
        <f t="shared" si="60"/>
        <v>49410.899999999994</v>
      </c>
      <c r="Q44" s="163">
        <f t="shared" si="60"/>
        <v>49460.499999999993</v>
      </c>
      <c r="R44" s="163">
        <f t="shared" si="60"/>
        <v>49509.999999999993</v>
      </c>
      <c r="S44" s="163">
        <f t="shared" si="60"/>
        <v>49558.999999999993</v>
      </c>
      <c r="T44" s="163">
        <f t="shared" si="60"/>
        <v>49606.69999999999</v>
      </c>
      <c r="U44" s="163">
        <f t="shared" si="60"/>
        <v>49655.69999999999</v>
      </c>
      <c r="V44" s="163">
        <f t="shared" si="60"/>
        <v>49703.999999999993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L44" s="63">
        <f>20.7+88.5</f>
        <v>109.2</v>
      </c>
    </row>
    <row r="45" spans="2:75" x14ac:dyDescent="0.3">
      <c r="B45" s="752"/>
      <c r="C45" s="18" t="s">
        <v>8</v>
      </c>
      <c r="D45" s="163">
        <f>D6+Agosto23!AF42</f>
        <v>98951.1</v>
      </c>
      <c r="E45" s="164">
        <f t="shared" si="59"/>
        <v>99079.3</v>
      </c>
      <c r="F45" s="164">
        <f t="shared" si="59"/>
        <v>99385.900000000009</v>
      </c>
      <c r="G45" s="165">
        <f>21775+78123.8</f>
        <v>99898.8</v>
      </c>
      <c r="H45" s="166">
        <f>21823+78322.8</f>
        <v>100145.8</v>
      </c>
      <c r="I45" s="163">
        <f t="shared" si="60"/>
        <v>100268</v>
      </c>
      <c r="J45" s="163">
        <f t="shared" si="60"/>
        <v>100545.3</v>
      </c>
      <c r="K45" s="163">
        <f t="shared" si="60"/>
        <v>100820.2</v>
      </c>
      <c r="L45" s="163">
        <f t="shared" si="60"/>
        <v>100956.9</v>
      </c>
      <c r="M45" s="163">
        <f t="shared" si="60"/>
        <v>101281.7</v>
      </c>
      <c r="N45" s="163">
        <f t="shared" si="60"/>
        <v>101606.5</v>
      </c>
      <c r="O45" s="163">
        <f t="shared" si="60"/>
        <v>101932.7</v>
      </c>
      <c r="P45" s="163">
        <f t="shared" si="60"/>
        <v>102265.7</v>
      </c>
      <c r="Q45" s="163">
        <f t="shared" si="60"/>
        <v>102598</v>
      </c>
      <c r="R45" s="163">
        <f t="shared" si="60"/>
        <v>102929</v>
      </c>
      <c r="S45" s="163">
        <f t="shared" si="60"/>
        <v>103257.8</v>
      </c>
      <c r="T45" s="163">
        <f t="shared" si="60"/>
        <v>103580.7</v>
      </c>
      <c r="U45" s="163">
        <f t="shared" si="60"/>
        <v>103909.3</v>
      </c>
      <c r="V45" s="163">
        <f t="shared" si="60"/>
        <v>104233.8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L45" s="63">
        <v>82.2</v>
      </c>
    </row>
    <row r="46" spans="2:75" x14ac:dyDescent="0.3">
      <c r="B46" s="752"/>
      <c r="C46" s="18" t="s">
        <v>9</v>
      </c>
      <c r="D46" s="163">
        <f>D7+Agosto23!AF43</f>
        <v>69802.8</v>
      </c>
      <c r="E46" s="164">
        <f t="shared" si="59"/>
        <v>69906</v>
      </c>
      <c r="F46" s="164">
        <f t="shared" si="59"/>
        <v>70116.399999999994</v>
      </c>
      <c r="G46" s="165">
        <v>70458.2</v>
      </c>
      <c r="H46" s="166">
        <v>70615.5</v>
      </c>
      <c r="I46" s="163">
        <f t="shared" si="60"/>
        <v>70739.600000000006</v>
      </c>
      <c r="J46" s="163">
        <f t="shared" si="60"/>
        <v>70924.200000000012</v>
      </c>
      <c r="K46" s="163">
        <f t="shared" si="60"/>
        <v>71132.500000000015</v>
      </c>
      <c r="L46" s="163">
        <f t="shared" si="60"/>
        <v>71248.800000000017</v>
      </c>
      <c r="M46" s="163">
        <f t="shared" si="60"/>
        <v>71480.000000000015</v>
      </c>
      <c r="N46" s="163">
        <f t="shared" si="60"/>
        <v>71710.60000000002</v>
      </c>
      <c r="O46" s="163">
        <f t="shared" si="60"/>
        <v>71943.400000000023</v>
      </c>
      <c r="P46" s="163">
        <f t="shared" si="60"/>
        <v>72180.60000000002</v>
      </c>
      <c r="Q46" s="163">
        <f t="shared" si="60"/>
        <v>72415.700000000026</v>
      </c>
      <c r="R46" s="163">
        <f t="shared" si="60"/>
        <v>72649.60000000002</v>
      </c>
      <c r="S46" s="163">
        <f t="shared" si="60"/>
        <v>72881.900000000023</v>
      </c>
      <c r="T46" s="163">
        <f t="shared" si="60"/>
        <v>73210.300000000017</v>
      </c>
      <c r="U46" s="163" t="e">
        <f>T46+#REF!</f>
        <v>#REF!</v>
      </c>
      <c r="V46" s="163" t="e">
        <f t="shared" si="60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L46" s="63">
        <v>57.3</v>
      </c>
    </row>
    <row r="47" spans="2:75" x14ac:dyDescent="0.3">
      <c r="B47" s="752"/>
      <c r="C47" s="18" t="s">
        <v>10</v>
      </c>
      <c r="D47" s="163">
        <f>D8+Agosto23!AF44</f>
        <v>95698.2</v>
      </c>
      <c r="E47" s="164">
        <f t="shared" si="59"/>
        <v>95756</v>
      </c>
      <c r="F47" s="164">
        <f t="shared" si="59"/>
        <v>95871.8</v>
      </c>
      <c r="G47" s="165">
        <v>96154</v>
      </c>
      <c r="H47" s="166">
        <v>96261.9</v>
      </c>
      <c r="I47" s="163">
        <f t="shared" si="60"/>
        <v>96333.099999999991</v>
      </c>
      <c r="J47" s="163">
        <f t="shared" si="60"/>
        <v>96435.499999999985</v>
      </c>
      <c r="K47" s="163">
        <f t="shared" si="60"/>
        <v>96553.099999999991</v>
      </c>
      <c r="L47" s="163">
        <f t="shared" si="60"/>
        <v>96618.599999999991</v>
      </c>
      <c r="M47" s="163">
        <f t="shared" si="60"/>
        <v>96749.4</v>
      </c>
      <c r="N47" s="163">
        <f t="shared" si="60"/>
        <v>96879.4</v>
      </c>
      <c r="O47" s="163">
        <f t="shared" si="60"/>
        <v>97011.199999999997</v>
      </c>
      <c r="P47" s="163">
        <f t="shared" si="60"/>
        <v>97146.2</v>
      </c>
      <c r="Q47" s="163">
        <f t="shared" si="60"/>
        <v>97279.8</v>
      </c>
      <c r="R47" s="163">
        <f t="shared" si="60"/>
        <v>97412.400000000009</v>
      </c>
      <c r="S47" s="163">
        <f t="shared" si="60"/>
        <v>97543.700000000012</v>
      </c>
      <c r="T47" s="163">
        <f t="shared" si="60"/>
        <v>97672.400000000009</v>
      </c>
      <c r="U47" s="163" t="e">
        <f>T47+#REF!</f>
        <v>#REF!</v>
      </c>
      <c r="V47" s="163" t="e">
        <f t="shared" si="60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L47" s="63">
        <v>17.7</v>
      </c>
    </row>
    <row r="48" spans="2:75" x14ac:dyDescent="0.3">
      <c r="B48" s="752"/>
      <c r="C48" s="18" t="s">
        <v>11</v>
      </c>
      <c r="D48" s="163">
        <f>D9+Agosto23!AF45</f>
        <v>18785.2</v>
      </c>
      <c r="E48" s="164">
        <f t="shared" si="59"/>
        <v>18807</v>
      </c>
      <c r="F48" s="164">
        <f t="shared" si="59"/>
        <v>18858.900000000001</v>
      </c>
      <c r="G48" s="165">
        <v>18957</v>
      </c>
      <c r="H48" s="166">
        <v>18998</v>
      </c>
      <c r="I48" s="163">
        <f t="shared" si="60"/>
        <v>19020.7</v>
      </c>
      <c r="J48" s="163">
        <f t="shared" si="60"/>
        <v>19070</v>
      </c>
      <c r="K48" s="163">
        <f t="shared" si="60"/>
        <v>19116.900000000001</v>
      </c>
      <c r="L48" s="163">
        <f t="shared" si="60"/>
        <v>19140.100000000002</v>
      </c>
      <c r="M48" s="163">
        <f t="shared" si="60"/>
        <v>19195.800000000003</v>
      </c>
      <c r="N48" s="163">
        <f t="shared" si="60"/>
        <v>19251.100000000002</v>
      </c>
      <c r="O48" s="163">
        <f t="shared" si="60"/>
        <v>19306.900000000001</v>
      </c>
      <c r="P48" s="163">
        <f t="shared" si="60"/>
        <v>19363.7</v>
      </c>
      <c r="Q48" s="163">
        <f t="shared" si="60"/>
        <v>19420.100000000002</v>
      </c>
      <c r="R48" s="163">
        <f t="shared" si="60"/>
        <v>19476.2</v>
      </c>
      <c r="S48" s="163">
        <f t="shared" si="60"/>
        <v>19532.100000000002</v>
      </c>
      <c r="T48" s="163">
        <f t="shared" si="60"/>
        <v>19587.300000000003</v>
      </c>
      <c r="U48" s="163">
        <f>T48+U7</f>
        <v>19820.800000000003</v>
      </c>
      <c r="V48" s="163">
        <f t="shared" si="60"/>
        <v>19876.200000000004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L48" s="63">
        <v>37.700000000000003</v>
      </c>
    </row>
    <row r="49" spans="2:38" x14ac:dyDescent="0.3">
      <c r="B49" s="752"/>
      <c r="C49" s="18" t="s">
        <v>12</v>
      </c>
      <c r="D49" s="163">
        <f>D10+Agosto23!AF46</f>
        <v>58179.6</v>
      </c>
      <c r="E49" s="164">
        <f t="shared" si="59"/>
        <v>58209.1</v>
      </c>
      <c r="F49" s="164">
        <f t="shared" si="59"/>
        <v>58271.5</v>
      </c>
      <c r="G49" s="165">
        <v>58550</v>
      </c>
      <c r="H49" s="166">
        <v>58640</v>
      </c>
      <c r="I49" s="163">
        <f t="shared" si="60"/>
        <v>58667.5</v>
      </c>
      <c r="J49" s="163">
        <f t="shared" si="60"/>
        <v>58727.4</v>
      </c>
      <c r="K49" s="163">
        <f t="shared" si="60"/>
        <v>58784.9</v>
      </c>
      <c r="L49" s="163">
        <f t="shared" si="60"/>
        <v>58815.3</v>
      </c>
      <c r="M49" s="163">
        <f t="shared" si="60"/>
        <v>58884.200000000004</v>
      </c>
      <c r="N49" s="163">
        <f t="shared" si="60"/>
        <v>58952.600000000006</v>
      </c>
      <c r="O49" s="163">
        <f t="shared" si="60"/>
        <v>59021.400000000009</v>
      </c>
      <c r="P49" s="163">
        <f t="shared" si="60"/>
        <v>59091.000000000007</v>
      </c>
      <c r="Q49" s="163">
        <f t="shared" si="60"/>
        <v>59160.400000000009</v>
      </c>
      <c r="R49" s="163">
        <f t="shared" si="60"/>
        <v>59229.80000000001</v>
      </c>
      <c r="S49" s="163">
        <f t="shared" si="60"/>
        <v>59298.600000000013</v>
      </c>
      <c r="T49" s="163">
        <f t="shared" si="60"/>
        <v>59366.600000000013</v>
      </c>
      <c r="U49" s="163">
        <f>T49+U8</f>
        <v>59499.100000000013</v>
      </c>
      <c r="V49" s="163">
        <f t="shared" si="60"/>
        <v>59568.000000000015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L49" s="63">
        <v>151.30000000000001</v>
      </c>
    </row>
    <row r="50" spans="2:38" x14ac:dyDescent="0.3">
      <c r="B50" s="752"/>
      <c r="C50" s="18" t="s">
        <v>13</v>
      </c>
      <c r="D50" s="163">
        <f>D11+Agosto23!AF47</f>
        <v>230151.2</v>
      </c>
      <c r="E50" s="164">
        <f t="shared" si="59"/>
        <v>230311.6</v>
      </c>
      <c r="F50" s="164">
        <f t="shared" si="59"/>
        <v>230585</v>
      </c>
      <c r="G50" s="165">
        <v>231148.9</v>
      </c>
      <c r="H50" s="166">
        <v>231319.5</v>
      </c>
      <c r="I50" s="163">
        <f t="shared" si="60"/>
        <v>231487.2</v>
      </c>
      <c r="J50" s="163">
        <f t="shared" si="60"/>
        <v>231807.40000000002</v>
      </c>
      <c r="K50" s="163">
        <f t="shared" si="60"/>
        <v>232145.10000000003</v>
      </c>
      <c r="L50" s="163">
        <f t="shared" si="60"/>
        <v>232294.80000000005</v>
      </c>
      <c r="M50" s="163">
        <f t="shared" si="60"/>
        <v>232631.50000000006</v>
      </c>
      <c r="N50" s="163">
        <f t="shared" si="60"/>
        <v>232970.50000000006</v>
      </c>
      <c r="O50" s="163">
        <f t="shared" si="60"/>
        <v>233309.20000000007</v>
      </c>
      <c r="P50" s="163">
        <f t="shared" si="60"/>
        <v>233651.20000000007</v>
      </c>
      <c r="Q50" s="163">
        <f t="shared" si="60"/>
        <v>233993.60000000006</v>
      </c>
      <c r="R50" s="163">
        <f t="shared" si="60"/>
        <v>234335.50000000006</v>
      </c>
      <c r="S50" s="163">
        <f t="shared" si="60"/>
        <v>234673.00000000006</v>
      </c>
      <c r="T50" s="163">
        <f t="shared" si="60"/>
        <v>235001.20000000007</v>
      </c>
      <c r="U50" s="163">
        <f t="shared" si="60"/>
        <v>235336.40000000008</v>
      </c>
      <c r="V50" s="163">
        <f t="shared" si="60"/>
        <v>235669.80000000008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L50" s="82">
        <v>81.099999999999994</v>
      </c>
    </row>
    <row r="51" spans="2:38" x14ac:dyDescent="0.3">
      <c r="B51" s="753"/>
      <c r="C51" s="18" t="s">
        <v>14</v>
      </c>
      <c r="D51" s="163">
        <f>D12+Agosto23!AF48</f>
        <v>751.4</v>
      </c>
      <c r="E51" s="164">
        <f t="shared" si="59"/>
        <v>863.5</v>
      </c>
      <c r="F51" s="164">
        <f t="shared" si="59"/>
        <v>1101.3</v>
      </c>
      <c r="G51" s="165">
        <v>1440</v>
      </c>
      <c r="H51" s="166">
        <v>1620</v>
      </c>
      <c r="I51" s="163">
        <f t="shared" si="60"/>
        <v>1712.1</v>
      </c>
      <c r="J51" s="163">
        <f t="shared" si="60"/>
        <v>1951.3</v>
      </c>
      <c r="K51" s="163">
        <f t="shared" si="60"/>
        <v>2201.6</v>
      </c>
      <c r="L51" s="163">
        <f t="shared" si="60"/>
        <v>2311.7999999999997</v>
      </c>
      <c r="M51" s="163">
        <f t="shared" si="60"/>
        <v>2576.8999999999996</v>
      </c>
      <c r="N51" s="163">
        <f t="shared" si="60"/>
        <v>2840.0999999999995</v>
      </c>
      <c r="O51" s="163">
        <f t="shared" si="60"/>
        <v>3106.0999999999995</v>
      </c>
      <c r="P51" s="163">
        <f t="shared" si="60"/>
        <v>3374.5999999999995</v>
      </c>
      <c r="Q51" s="163">
        <f t="shared" si="60"/>
        <v>3644.1999999999994</v>
      </c>
      <c r="R51" s="163">
        <f t="shared" si="60"/>
        <v>3912.5999999999995</v>
      </c>
      <c r="S51" s="163">
        <f t="shared" si="60"/>
        <v>4179.5999999999995</v>
      </c>
      <c r="T51" s="163">
        <f t="shared" si="60"/>
        <v>4441.7</v>
      </c>
      <c r="U51" s="163">
        <f t="shared" si="60"/>
        <v>4707.8999999999996</v>
      </c>
      <c r="V51" s="163">
        <f t="shared" si="60"/>
        <v>4970.7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L51" s="63">
        <v>156.9</v>
      </c>
    </row>
    <row r="52" spans="2:38" x14ac:dyDescent="0.3">
      <c r="B52" s="751" t="s">
        <v>16</v>
      </c>
      <c r="C52" s="18" t="s">
        <v>17</v>
      </c>
      <c r="D52" s="163">
        <f>D13+Agosto23!AF49</f>
        <v>137182.30000000002</v>
      </c>
      <c r="E52" s="164">
        <f t="shared" si="59"/>
        <v>137371.70000000001</v>
      </c>
      <c r="F52" s="164">
        <f t="shared" si="59"/>
        <v>137797.5</v>
      </c>
      <c r="G52" s="165">
        <v>138545</v>
      </c>
      <c r="H52" s="166">
        <v>138937</v>
      </c>
      <c r="I52" s="163">
        <f t="shared" si="60"/>
        <v>139094.79999999999</v>
      </c>
      <c r="J52" s="163">
        <f t="shared" si="60"/>
        <v>139516.29999999999</v>
      </c>
      <c r="K52" s="163">
        <f t="shared" si="60"/>
        <v>139929.4</v>
      </c>
      <c r="L52" s="163">
        <f t="shared" si="60"/>
        <v>140111.5</v>
      </c>
      <c r="M52" s="163">
        <f t="shared" si="60"/>
        <v>140578.5</v>
      </c>
      <c r="N52" s="163">
        <f t="shared" si="60"/>
        <v>141049.5</v>
      </c>
      <c r="O52" s="163">
        <f t="shared" si="60"/>
        <v>141525.79999999999</v>
      </c>
      <c r="P52" s="163">
        <f t="shared" si="60"/>
        <v>142007.59999999998</v>
      </c>
      <c r="Q52" s="163">
        <f t="shared" si="60"/>
        <v>142491.19999999998</v>
      </c>
      <c r="R52" s="163">
        <f t="shared" si="60"/>
        <v>142973.9</v>
      </c>
      <c r="S52" s="163">
        <f t="shared" si="60"/>
        <v>143452.69999999998</v>
      </c>
      <c r="T52" s="163">
        <f t="shared" si="60"/>
        <v>143925.69999999998</v>
      </c>
      <c r="U52" s="163">
        <f t="shared" si="60"/>
        <v>144401.09999999998</v>
      </c>
      <c r="V52" s="163">
        <f t="shared" si="60"/>
        <v>144871.99999999997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L52" s="63">
        <v>195.6</v>
      </c>
    </row>
    <row r="53" spans="2:38" x14ac:dyDescent="0.3">
      <c r="B53" s="752"/>
      <c r="C53" s="18" t="s">
        <v>18</v>
      </c>
      <c r="D53" s="163">
        <f>D14+Agosto23!AF50</f>
        <v>127544</v>
      </c>
      <c r="E53" s="164">
        <f t="shared" si="59"/>
        <v>127766.39999999999</v>
      </c>
      <c r="F53" s="164">
        <f t="shared" si="59"/>
        <v>128216.79999999999</v>
      </c>
      <c r="G53" s="165">
        <v>128878</v>
      </c>
      <c r="H53" s="166">
        <v>129112</v>
      </c>
      <c r="I53" s="163">
        <f t="shared" si="60"/>
        <v>129344.1</v>
      </c>
      <c r="J53" s="163">
        <f t="shared" si="60"/>
        <v>129798.90000000001</v>
      </c>
      <c r="K53" s="163">
        <f t="shared" si="60"/>
        <v>130274.3</v>
      </c>
      <c r="L53" s="163">
        <f t="shared" si="60"/>
        <v>130481.2</v>
      </c>
      <c r="M53" s="163">
        <f t="shared" si="60"/>
        <v>130954.59999999999</v>
      </c>
      <c r="N53" s="163">
        <f t="shared" si="60"/>
        <v>131434.9</v>
      </c>
      <c r="O53" s="163">
        <f>N53+O14</f>
        <v>131915.79999999999</v>
      </c>
      <c r="P53" s="163">
        <f t="shared" si="60"/>
        <v>132389.69999999998</v>
      </c>
      <c r="Q53" s="163">
        <f t="shared" si="60"/>
        <v>132875.59999999998</v>
      </c>
      <c r="R53" s="163">
        <f t="shared" si="60"/>
        <v>133360.59999999998</v>
      </c>
      <c r="S53" s="163">
        <f t="shared" si="60"/>
        <v>133841.39999999997</v>
      </c>
      <c r="T53" s="163" t="e">
        <f>S53+#REF!</f>
        <v>#REF!</v>
      </c>
      <c r="U53" s="163" t="e">
        <f>T53+U14</f>
        <v>#REF!</v>
      </c>
      <c r="V53" s="163" t="e">
        <f t="shared" si="60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L53" s="63">
        <v>55.4</v>
      </c>
    </row>
    <row r="54" spans="2:38" x14ac:dyDescent="0.3">
      <c r="B54" s="752"/>
      <c r="C54" s="18" t="s">
        <v>19</v>
      </c>
      <c r="D54" s="163">
        <f>D15+Agosto23!AF51</f>
        <v>37774.800000000003</v>
      </c>
      <c r="E54" s="164">
        <f t="shared" si="59"/>
        <v>37834.600000000006</v>
      </c>
      <c r="F54" s="164">
        <f t="shared" si="59"/>
        <v>37959.400000000009</v>
      </c>
      <c r="G54" s="165">
        <v>38160</v>
      </c>
      <c r="H54" s="166">
        <v>38222</v>
      </c>
      <c r="I54" s="163">
        <f t="shared" si="60"/>
        <v>38285.699999999997</v>
      </c>
      <c r="J54" s="163">
        <f t="shared" si="60"/>
        <v>38405.799999999996</v>
      </c>
      <c r="K54" s="163">
        <f t="shared" si="60"/>
        <v>38532.699999999997</v>
      </c>
      <c r="L54" s="163">
        <f t="shared" si="60"/>
        <v>38589</v>
      </c>
      <c r="M54" s="163">
        <f t="shared" si="60"/>
        <v>38715.300000000003</v>
      </c>
      <c r="N54" s="163">
        <f t="shared" si="60"/>
        <v>38842.100000000006</v>
      </c>
      <c r="O54" s="163">
        <f>N54+O15</f>
        <v>38969.200000000004</v>
      </c>
      <c r="P54" s="163">
        <f t="shared" si="60"/>
        <v>39097.700000000004</v>
      </c>
      <c r="Q54" s="163">
        <f t="shared" si="60"/>
        <v>39226.000000000007</v>
      </c>
      <c r="R54" s="163">
        <f t="shared" si="60"/>
        <v>39353.600000000006</v>
      </c>
      <c r="S54" s="163">
        <f t="shared" si="60"/>
        <v>39480.300000000003</v>
      </c>
      <c r="T54" s="163">
        <f>S54+T15</f>
        <v>39604.800000000003</v>
      </c>
      <c r="U54" s="163">
        <f>T54+U15</f>
        <v>39730.100000000006</v>
      </c>
      <c r="V54" s="163">
        <f t="shared" si="60"/>
        <v>39854.800000000003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L54" s="63">
        <v>183.6</v>
      </c>
    </row>
    <row r="55" spans="2:38" x14ac:dyDescent="0.3">
      <c r="B55" s="753"/>
      <c r="C55" s="18" t="s">
        <v>20</v>
      </c>
      <c r="D55" s="163">
        <f>D16+Agosto23!AF52</f>
        <v>97190.2</v>
      </c>
      <c r="E55" s="164">
        <f t="shared" si="59"/>
        <v>97445.7</v>
      </c>
      <c r="F55" s="164">
        <f t="shared" si="59"/>
        <v>97909.3</v>
      </c>
      <c r="G55" s="165">
        <v>98510</v>
      </c>
      <c r="H55" s="166">
        <v>98809</v>
      </c>
      <c r="I55" s="163">
        <f t="shared" si="60"/>
        <v>99058.3</v>
      </c>
      <c r="J55" s="163">
        <f t="shared" si="60"/>
        <v>99557.8</v>
      </c>
      <c r="K55" s="163">
        <f t="shared" si="60"/>
        <v>100056.90000000001</v>
      </c>
      <c r="L55" s="163">
        <f t="shared" si="60"/>
        <v>100258.6</v>
      </c>
      <c r="M55" s="163">
        <f t="shared" si="60"/>
        <v>100763.1</v>
      </c>
      <c r="N55" s="163">
        <f t="shared" si="60"/>
        <v>101267</v>
      </c>
      <c r="O55" s="163">
        <f t="shared" si="60"/>
        <v>101774.39999999999</v>
      </c>
      <c r="P55" s="163">
        <f t="shared" si="60"/>
        <v>102285.4</v>
      </c>
      <c r="Q55" s="163">
        <f t="shared" si="60"/>
        <v>102796.09999999999</v>
      </c>
      <c r="R55" s="163">
        <f t="shared" si="60"/>
        <v>103300.4</v>
      </c>
      <c r="S55" s="163">
        <f t="shared" si="60"/>
        <v>103805.4</v>
      </c>
      <c r="T55" s="163">
        <f>S55+T14</f>
        <v>104276.59999999999</v>
      </c>
      <c r="U55" s="163">
        <f t="shared" si="60"/>
        <v>104776.2</v>
      </c>
      <c r="V55" s="163">
        <f t="shared" si="60"/>
        <v>105270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L55" s="63" t="s">
        <v>31</v>
      </c>
    </row>
    <row r="56" spans="2:38" x14ac:dyDescent="0.3">
      <c r="B56" s="754" t="s">
        <v>21</v>
      </c>
      <c r="C56" s="18" t="s">
        <v>22</v>
      </c>
      <c r="D56" s="163">
        <f>D17+Agosto23!AF53</f>
        <v>65986.100000000006</v>
      </c>
      <c r="E56" s="164">
        <f t="shared" si="59"/>
        <v>66289</v>
      </c>
      <c r="F56" s="164">
        <f t="shared" si="59"/>
        <v>66685.8</v>
      </c>
      <c r="G56" s="165">
        <v>67299</v>
      </c>
      <c r="H56" s="166">
        <v>67726</v>
      </c>
      <c r="I56" s="163">
        <f t="shared" si="60"/>
        <v>68012.100000000006</v>
      </c>
      <c r="J56" s="163">
        <f t="shared" si="60"/>
        <v>68427.100000000006</v>
      </c>
      <c r="K56" s="163" t="e">
        <f>J56+#REF!</f>
        <v>#REF!</v>
      </c>
      <c r="L56" s="163" t="e">
        <f t="shared" si="60"/>
        <v>#REF!</v>
      </c>
      <c r="M56" s="163" t="e">
        <f t="shared" si="60"/>
        <v>#REF!</v>
      </c>
      <c r="N56" s="163" t="e">
        <f>M56+N18</f>
        <v>#REF!</v>
      </c>
      <c r="O56" s="163" t="e">
        <f t="shared" si="60"/>
        <v>#REF!</v>
      </c>
      <c r="P56" s="163" t="e">
        <f t="shared" si="60"/>
        <v>#REF!</v>
      </c>
      <c r="Q56" s="163" t="e">
        <f t="shared" si="60"/>
        <v>#REF!</v>
      </c>
      <c r="R56" s="163" t="e">
        <f t="shared" si="60"/>
        <v>#REF!</v>
      </c>
      <c r="S56" s="163" t="e">
        <f t="shared" si="60"/>
        <v>#REF!</v>
      </c>
      <c r="T56" s="163" t="e">
        <f t="shared" si="60"/>
        <v>#REF!</v>
      </c>
      <c r="U56" s="163" t="e">
        <f t="shared" si="60"/>
        <v>#REF!</v>
      </c>
      <c r="V56" s="163" t="e">
        <f t="shared" si="60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L56" s="63">
        <v>40.200000000000003</v>
      </c>
    </row>
    <row r="57" spans="2:38" x14ac:dyDescent="0.3">
      <c r="B57" s="754"/>
      <c r="C57" s="18" t="s">
        <v>23</v>
      </c>
      <c r="D57" s="163">
        <f>D18+Agosto23!AF54</f>
        <v>74540.800000000003</v>
      </c>
      <c r="E57" s="164">
        <f t="shared" si="59"/>
        <v>74839</v>
      </c>
      <c r="F57" s="164">
        <f t="shared" si="59"/>
        <v>75231.3</v>
      </c>
      <c r="G57" s="165">
        <v>75901</v>
      </c>
      <c r="H57" s="166">
        <v>76333</v>
      </c>
      <c r="I57" s="163">
        <f t="shared" si="60"/>
        <v>76621.899999999994</v>
      </c>
      <c r="J57" s="163">
        <f t="shared" si="60"/>
        <v>77040.399999999994</v>
      </c>
      <c r="K57" s="163">
        <f t="shared" si="60"/>
        <v>77464.2</v>
      </c>
      <c r="L57" s="163">
        <f t="shared" si="60"/>
        <v>77806.599999999991</v>
      </c>
      <c r="M57" s="163">
        <f>L57+M19</f>
        <v>78185.7</v>
      </c>
      <c r="N57" s="163" t="e">
        <f>M57+#REF!</f>
        <v>#REF!</v>
      </c>
      <c r="O57" s="163" t="e">
        <f t="shared" si="60"/>
        <v>#REF!</v>
      </c>
      <c r="P57" s="163" t="e">
        <f t="shared" si="60"/>
        <v>#REF!</v>
      </c>
      <c r="Q57" s="163" t="e">
        <f t="shared" si="60"/>
        <v>#REF!</v>
      </c>
      <c r="R57" s="163" t="e">
        <f t="shared" si="60"/>
        <v>#REF!</v>
      </c>
      <c r="S57" s="163" t="e">
        <f t="shared" si="60"/>
        <v>#REF!</v>
      </c>
      <c r="T57" s="163" t="e">
        <f t="shared" si="60"/>
        <v>#REF!</v>
      </c>
      <c r="U57" s="163" t="e">
        <f t="shared" si="60"/>
        <v>#REF!</v>
      </c>
      <c r="V57" s="163" t="e">
        <f t="shared" si="60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L57" s="63">
        <v>115</v>
      </c>
    </row>
    <row r="58" spans="2:38" x14ac:dyDescent="0.3">
      <c r="B58" s="754"/>
      <c r="C58" s="18" t="s">
        <v>24</v>
      </c>
      <c r="D58" s="163">
        <f>D19+Agosto23!AF55</f>
        <v>136222.40000000002</v>
      </c>
      <c r="E58" s="164">
        <f t="shared" si="59"/>
        <v>136487.10000000003</v>
      </c>
      <c r="F58" s="164">
        <f t="shared" si="59"/>
        <v>136836.90000000002</v>
      </c>
      <c r="G58" s="165">
        <v>137294</v>
      </c>
      <c r="H58" s="166">
        <v>137664</v>
      </c>
      <c r="I58" s="163">
        <f>H58+I19</f>
        <v>137894.39999999999</v>
      </c>
      <c r="J58" s="163">
        <f t="shared" si="60"/>
        <v>138256.9</v>
      </c>
      <c r="K58" s="163">
        <f t="shared" si="60"/>
        <v>138622.9</v>
      </c>
      <c r="L58" s="163">
        <f>K58+L21</f>
        <v>138932.9</v>
      </c>
      <c r="M58" s="163" t="e">
        <f>L58+#REF!</f>
        <v>#REF!</v>
      </c>
      <c r="N58" s="163" t="e">
        <f t="shared" si="60"/>
        <v>#REF!</v>
      </c>
      <c r="O58" s="163" t="e">
        <f t="shared" si="60"/>
        <v>#REF!</v>
      </c>
      <c r="P58" s="163" t="e">
        <f t="shared" si="60"/>
        <v>#REF!</v>
      </c>
      <c r="Q58" s="163" t="e">
        <f t="shared" si="60"/>
        <v>#REF!</v>
      </c>
      <c r="R58" s="163" t="e">
        <f t="shared" si="60"/>
        <v>#REF!</v>
      </c>
      <c r="S58" s="163" t="e">
        <f t="shared" si="60"/>
        <v>#REF!</v>
      </c>
      <c r="T58" s="163" t="e">
        <f t="shared" si="60"/>
        <v>#REF!</v>
      </c>
      <c r="U58" s="163" t="e">
        <f t="shared" si="60"/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L58" s="63">
        <v>160.30000000000001</v>
      </c>
    </row>
    <row r="59" spans="2:38" x14ac:dyDescent="0.3">
      <c r="B59" s="754"/>
      <c r="C59" s="18" t="s">
        <v>25</v>
      </c>
      <c r="D59" s="163">
        <f>D20+Agosto23!AF56</f>
        <v>174663.1</v>
      </c>
      <c r="E59" s="164">
        <f t="shared" si="59"/>
        <v>175010.30000000002</v>
      </c>
      <c r="F59" s="164">
        <f t="shared" si="59"/>
        <v>175478.00000000003</v>
      </c>
      <c r="G59" s="165">
        <v>176032</v>
      </c>
      <c r="H59" s="166">
        <v>176536</v>
      </c>
      <c r="I59" s="163">
        <f>H59+I20</f>
        <v>176833.7</v>
      </c>
      <c r="J59" s="163">
        <f t="shared" si="60"/>
        <v>177324.90000000002</v>
      </c>
      <c r="K59" s="163">
        <f>J59+K17</f>
        <v>177754.90000000002</v>
      </c>
      <c r="L59" s="163">
        <f t="shared" si="60"/>
        <v>178154.90000000002</v>
      </c>
      <c r="M59" s="163">
        <f t="shared" si="60"/>
        <v>178644.90000000002</v>
      </c>
      <c r="N59" s="163">
        <f>M59+N21</f>
        <v>179022.90000000002</v>
      </c>
      <c r="O59" s="163" t="e">
        <f>N59+#REF!</f>
        <v>#REF!</v>
      </c>
      <c r="P59" s="163" t="e">
        <f t="shared" si="60"/>
        <v>#REF!</v>
      </c>
      <c r="Q59" s="163" t="e">
        <f t="shared" si="60"/>
        <v>#REF!</v>
      </c>
      <c r="R59" s="163" t="e">
        <f t="shared" si="60"/>
        <v>#REF!</v>
      </c>
      <c r="S59" s="163" t="e">
        <f>R59+S21</f>
        <v>#REF!</v>
      </c>
      <c r="T59" s="163" t="e">
        <f t="shared" si="60"/>
        <v>#REF!</v>
      </c>
      <c r="U59" s="163" t="e">
        <f t="shared" si="60"/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L59" s="63">
        <v>136.9</v>
      </c>
    </row>
    <row r="60" spans="2:38" x14ac:dyDescent="0.3">
      <c r="B60" s="754"/>
      <c r="C60" s="18" t="s">
        <v>26</v>
      </c>
      <c r="D60" s="163">
        <f>D21+Agosto23!AF57</f>
        <v>82416.900000000009</v>
      </c>
      <c r="E60" s="164">
        <f t="shared" ref="E60:F66" si="61">D60+E21</f>
        <v>82684.800000000003</v>
      </c>
      <c r="F60" s="164">
        <f t="shared" si="61"/>
        <v>83043.199999999997</v>
      </c>
      <c r="G60" s="165">
        <v>83628</v>
      </c>
      <c r="H60" s="166">
        <v>84081</v>
      </c>
      <c r="I60" s="163">
        <f t="shared" ref="I60:L66" si="62">H60+I21</f>
        <v>84298.4</v>
      </c>
      <c r="J60" s="163">
        <f t="shared" si="62"/>
        <v>84661.4</v>
      </c>
      <c r="K60" s="163">
        <f t="shared" si="62"/>
        <v>85020.4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3">N60+O21</f>
        <v>#REF!</v>
      </c>
      <c r="P60" s="163" t="e">
        <f t="shared" si="63"/>
        <v>#REF!</v>
      </c>
      <c r="Q60" s="163" t="e">
        <f t="shared" si="63"/>
        <v>#REF!</v>
      </c>
      <c r="R60" s="163" t="e">
        <f t="shared" si="63"/>
        <v>#REF!</v>
      </c>
      <c r="S60" s="163" t="e">
        <f>R60+#REF!</f>
        <v>#REF!</v>
      </c>
      <c r="T60" s="163" t="e">
        <f t="shared" ref="T60:V66" si="64">S60+T21</f>
        <v>#REF!</v>
      </c>
      <c r="U60" s="163" t="e">
        <f t="shared" si="64"/>
        <v>#REF!</v>
      </c>
      <c r="V60" s="163" t="e">
        <f t="shared" si="64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L60" s="63">
        <v>147.5</v>
      </c>
    </row>
    <row r="61" spans="2:38" x14ac:dyDescent="0.3">
      <c r="B61" s="754"/>
      <c r="C61" s="18" t="s">
        <v>27</v>
      </c>
      <c r="D61" s="163">
        <f>D22+Agosto23!AF58</f>
        <v>61484.7</v>
      </c>
      <c r="E61" s="164">
        <f t="shared" si="61"/>
        <v>61827.7</v>
      </c>
      <c r="F61" s="164">
        <f t="shared" si="61"/>
        <v>62350.6</v>
      </c>
      <c r="G61" s="165">
        <v>63058</v>
      </c>
      <c r="H61" s="166">
        <v>63281</v>
      </c>
      <c r="I61" s="163">
        <f t="shared" si="62"/>
        <v>63624</v>
      </c>
      <c r="J61" s="163">
        <f t="shared" si="62"/>
        <v>64107.3</v>
      </c>
      <c r="K61" s="163">
        <f t="shared" si="62"/>
        <v>64624.100000000006</v>
      </c>
      <c r="L61" s="163">
        <f t="shared" si="62"/>
        <v>64863.000000000007</v>
      </c>
      <c r="M61" s="163" t="e">
        <f>L61+#REF!</f>
        <v>#REF!</v>
      </c>
      <c r="N61" s="163" t="e">
        <f t="shared" si="63"/>
        <v>#REF!</v>
      </c>
      <c r="O61" s="163" t="e">
        <f t="shared" si="63"/>
        <v>#REF!</v>
      </c>
      <c r="P61" s="163" t="e">
        <f t="shared" si="63"/>
        <v>#REF!</v>
      </c>
      <c r="Q61" s="163" t="e">
        <f t="shared" si="63"/>
        <v>#REF!</v>
      </c>
      <c r="R61" s="163" t="e">
        <f t="shared" si="63"/>
        <v>#REF!</v>
      </c>
      <c r="S61" s="163" t="e">
        <f t="shared" si="63"/>
        <v>#REF!</v>
      </c>
      <c r="T61" s="163" t="e">
        <f t="shared" si="64"/>
        <v>#REF!</v>
      </c>
      <c r="U61" s="163" t="e">
        <f t="shared" si="64"/>
        <v>#REF!</v>
      </c>
      <c r="V61" s="163" t="e">
        <f t="shared" si="64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L61" s="63">
        <v>189.83</v>
      </c>
    </row>
    <row r="62" spans="2:38" x14ac:dyDescent="0.3">
      <c r="B62" s="754"/>
      <c r="C62" s="18" t="s">
        <v>28</v>
      </c>
      <c r="D62" s="163">
        <f>D23+Agosto23!AF59</f>
        <v>87579.37</v>
      </c>
      <c r="E62" s="164">
        <f t="shared" si="61"/>
        <v>87856.26999999999</v>
      </c>
      <c r="F62" s="164">
        <f t="shared" si="61"/>
        <v>88294.87</v>
      </c>
      <c r="G62" s="165">
        <v>87693.64</v>
      </c>
      <c r="H62" s="166">
        <v>87903.16</v>
      </c>
      <c r="I62" s="163">
        <f t="shared" si="62"/>
        <v>88184.06</v>
      </c>
      <c r="J62" s="163">
        <f t="shared" si="62"/>
        <v>88590.16</v>
      </c>
      <c r="K62" s="163">
        <f>J62+K23</f>
        <v>89026.16</v>
      </c>
      <c r="L62" s="163">
        <f t="shared" si="62"/>
        <v>89215.260000000009</v>
      </c>
      <c r="M62" s="163">
        <f>L62+M22</f>
        <v>89722.360000000015</v>
      </c>
      <c r="N62" s="163">
        <f t="shared" si="63"/>
        <v>90184.960000000021</v>
      </c>
      <c r="O62" s="163">
        <f>N62+O20</f>
        <v>90703.160000000018</v>
      </c>
      <c r="P62" s="163">
        <f t="shared" si="63"/>
        <v>91174.460000000021</v>
      </c>
      <c r="Q62" s="163">
        <f t="shared" si="63"/>
        <v>91643.860000000015</v>
      </c>
      <c r="R62" s="163">
        <f t="shared" si="63"/>
        <v>92099.660000000018</v>
      </c>
      <c r="S62" s="163">
        <f t="shared" si="63"/>
        <v>92562.960000000021</v>
      </c>
      <c r="T62" s="163">
        <f t="shared" si="64"/>
        <v>93022.560000000027</v>
      </c>
      <c r="U62" s="163">
        <f t="shared" si="64"/>
        <v>93481.560000000027</v>
      </c>
      <c r="V62" s="163">
        <f>U62+V23</f>
        <v>93933.160000000033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L62" s="63">
        <v>223.4</v>
      </c>
    </row>
    <row r="63" spans="2:38" x14ac:dyDescent="0.3">
      <c r="B63" s="754"/>
      <c r="C63" s="18" t="s">
        <v>29</v>
      </c>
      <c r="D63" s="163">
        <f>D24+Agosto23!AF60</f>
        <v>129722.29999999999</v>
      </c>
      <c r="E63" s="164">
        <f t="shared" si="61"/>
        <v>130805.9</v>
      </c>
      <c r="F63" s="164">
        <f t="shared" si="61"/>
        <v>132525.29999999999</v>
      </c>
      <c r="G63" s="165">
        <v>130195</v>
      </c>
      <c r="H63" s="166">
        <v>130451</v>
      </c>
      <c r="I63" s="163">
        <f t="shared" si="62"/>
        <v>131549.9</v>
      </c>
      <c r="J63" s="163">
        <f t="shared" si="62"/>
        <v>133136</v>
      </c>
      <c r="K63" s="163">
        <f>J63+K24</f>
        <v>134854.39999999999</v>
      </c>
      <c r="L63" s="163">
        <f t="shared" si="62"/>
        <v>135595.1</v>
      </c>
      <c r="M63" s="163">
        <f t="shared" si="63"/>
        <v>137334</v>
      </c>
      <c r="N63" s="163">
        <f t="shared" si="63"/>
        <v>139144.6</v>
      </c>
      <c r="O63" s="163">
        <f t="shared" si="63"/>
        <v>140946.5</v>
      </c>
      <c r="P63" s="163">
        <f t="shared" si="63"/>
        <v>142801.29999999999</v>
      </c>
      <c r="Q63" s="163">
        <f t="shared" si="63"/>
        <v>144629.29999999999</v>
      </c>
      <c r="R63" s="163">
        <f t="shared" si="63"/>
        <v>146410.19999999998</v>
      </c>
      <c r="S63" s="163">
        <f t="shared" si="63"/>
        <v>148234.09999999998</v>
      </c>
      <c r="T63" s="163">
        <f t="shared" si="64"/>
        <v>150028.29999999999</v>
      </c>
      <c r="U63" s="163">
        <f t="shared" si="64"/>
        <v>151830.29999999999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L63" s="63">
        <v>619</v>
      </c>
    </row>
    <row r="64" spans="2:38" x14ac:dyDescent="0.3">
      <c r="B64" s="754"/>
      <c r="C64" s="18" t="s">
        <v>30</v>
      </c>
      <c r="D64" s="163">
        <f>D25+Agosto23!AF61</f>
        <v>14579.1</v>
      </c>
      <c r="E64" s="164">
        <f t="shared" si="61"/>
        <v>15134.5</v>
      </c>
      <c r="F64" s="164">
        <f t="shared" si="61"/>
        <v>15677.2</v>
      </c>
      <c r="G64" s="165">
        <v>18667</v>
      </c>
      <c r="H64" s="166">
        <v>19364</v>
      </c>
      <c r="I64" s="163">
        <f t="shared" si="62"/>
        <v>19386.7</v>
      </c>
      <c r="J64" s="163">
        <f t="shared" si="62"/>
        <v>19935.100000000002</v>
      </c>
      <c r="K64" s="163">
        <f t="shared" si="62"/>
        <v>20484.2</v>
      </c>
      <c r="L64" s="163">
        <f t="shared" si="62"/>
        <v>21016.9</v>
      </c>
      <c r="M64" s="163">
        <f t="shared" si="63"/>
        <v>21557.600000000002</v>
      </c>
      <c r="N64" s="163" t="e">
        <f>M64+#REF!</f>
        <v>#REF!</v>
      </c>
      <c r="O64" s="163" t="e">
        <f t="shared" si="63"/>
        <v>#REF!</v>
      </c>
      <c r="P64" s="163" t="e">
        <f t="shared" si="63"/>
        <v>#REF!</v>
      </c>
      <c r="Q64" s="163" t="e">
        <f t="shared" si="63"/>
        <v>#REF!</v>
      </c>
      <c r="R64" s="163" t="e">
        <f t="shared" si="63"/>
        <v>#REF!</v>
      </c>
      <c r="S64" s="163" t="e">
        <f t="shared" si="63"/>
        <v>#REF!</v>
      </c>
      <c r="T64" s="163" t="e">
        <f t="shared" si="64"/>
        <v>#REF!</v>
      </c>
      <c r="U64" s="163" t="e">
        <f t="shared" si="64"/>
        <v>#REF!</v>
      </c>
      <c r="V64" s="163" t="e">
        <f t="shared" si="64"/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L64" s="63">
        <v>219.3</v>
      </c>
    </row>
    <row r="65" spans="2:38" x14ac:dyDescent="0.3">
      <c r="B65" s="754"/>
      <c r="C65" s="18" t="s">
        <v>111</v>
      </c>
      <c r="D65" s="163">
        <f>D26+Agosto23!AF62</f>
        <v>45178.6</v>
      </c>
      <c r="E65" s="164">
        <f t="shared" si="61"/>
        <v>45486.5</v>
      </c>
      <c r="F65" s="164">
        <f t="shared" si="61"/>
        <v>45918.7</v>
      </c>
      <c r="G65" s="165">
        <v>46772</v>
      </c>
      <c r="H65" s="166">
        <v>47086</v>
      </c>
      <c r="I65" s="163">
        <f t="shared" si="62"/>
        <v>47446.9</v>
      </c>
      <c r="J65" s="163">
        <f t="shared" si="62"/>
        <v>47896</v>
      </c>
      <c r="K65" s="163">
        <f t="shared" si="62"/>
        <v>48357</v>
      </c>
      <c r="L65" s="163">
        <f t="shared" si="62"/>
        <v>48586.400000000001</v>
      </c>
      <c r="M65" s="163">
        <f t="shared" si="63"/>
        <v>49057.3</v>
      </c>
      <c r="N65" s="163">
        <f>M65+N25</f>
        <v>49612.4</v>
      </c>
      <c r="O65" s="163">
        <f t="shared" si="63"/>
        <v>50089.4</v>
      </c>
      <c r="P65" s="163">
        <f t="shared" si="63"/>
        <v>50568.700000000004</v>
      </c>
      <c r="Q65" s="163">
        <f t="shared" si="63"/>
        <v>51041.500000000007</v>
      </c>
      <c r="R65" s="163">
        <f t="shared" si="63"/>
        <v>51515.400000000009</v>
      </c>
      <c r="S65" s="163">
        <f t="shared" si="63"/>
        <v>51987.000000000007</v>
      </c>
      <c r="T65" s="163">
        <f t="shared" si="64"/>
        <v>52457.000000000007</v>
      </c>
      <c r="U65" s="163">
        <f t="shared" si="64"/>
        <v>52925.700000000004</v>
      </c>
      <c r="V65" s="163">
        <f t="shared" si="64"/>
        <v>53382.9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L65" s="63">
        <v>66.900000000000006</v>
      </c>
    </row>
    <row r="66" spans="2:38" ht="15" thickBot="1" x14ac:dyDescent="0.35">
      <c r="B66" s="754"/>
      <c r="C66" s="18" t="s">
        <v>32</v>
      </c>
      <c r="D66" s="163">
        <f>D27+Agosto23!AF63</f>
        <v>9515.3000000000011</v>
      </c>
      <c r="E66" s="164">
        <f t="shared" si="61"/>
        <v>9943.8000000000011</v>
      </c>
      <c r="F66" s="164">
        <f t="shared" si="61"/>
        <v>10374.500000000002</v>
      </c>
      <c r="G66" s="165">
        <v>10779</v>
      </c>
      <c r="H66" s="166">
        <v>10940</v>
      </c>
      <c r="I66" s="163">
        <f t="shared" si="62"/>
        <v>11345.1</v>
      </c>
      <c r="J66" s="163">
        <f t="shared" si="62"/>
        <v>11772.9</v>
      </c>
      <c r="K66" s="163">
        <f t="shared" si="62"/>
        <v>12210.6</v>
      </c>
      <c r="L66" s="163">
        <f t="shared" si="62"/>
        <v>12510.300000000001</v>
      </c>
      <c r="M66" s="163">
        <f t="shared" si="63"/>
        <v>12510.300000000001</v>
      </c>
      <c r="N66" s="163">
        <f t="shared" si="63"/>
        <v>12511.7</v>
      </c>
      <c r="O66" s="163">
        <f t="shared" si="63"/>
        <v>12950.5</v>
      </c>
      <c r="P66" s="163">
        <f t="shared" si="63"/>
        <v>13394.5</v>
      </c>
      <c r="Q66" s="163">
        <f t="shared" si="63"/>
        <v>13837.4</v>
      </c>
      <c r="R66" s="163">
        <f t="shared" si="63"/>
        <v>14280.3</v>
      </c>
      <c r="S66" s="163">
        <f t="shared" si="63"/>
        <v>14720.199999999999</v>
      </c>
      <c r="T66" s="163">
        <f t="shared" si="64"/>
        <v>15155.3</v>
      </c>
      <c r="U66" s="163">
        <f t="shared" si="64"/>
        <v>15588.9</v>
      </c>
      <c r="V66" s="163">
        <f t="shared" si="64"/>
        <v>16018.4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L66" s="93">
        <v>150.6</v>
      </c>
    </row>
    <row r="67" spans="2:38" x14ac:dyDescent="0.3">
      <c r="B67" s="754"/>
      <c r="C67" s="18" t="s">
        <v>112</v>
      </c>
      <c r="D67" s="163">
        <f>D29+Agosto23!AF64</f>
        <v>18919</v>
      </c>
      <c r="E67" s="164">
        <f>D67+E29</f>
        <v>19319</v>
      </c>
      <c r="F67" s="164">
        <f>E67+F29</f>
        <v>19748</v>
      </c>
      <c r="G67" s="165">
        <v>20520.400000000001</v>
      </c>
      <c r="H67" s="166">
        <v>20739</v>
      </c>
      <c r="I67" s="163">
        <f t="shared" ref="I67:V67" si="65">H67+I29</f>
        <v>21112.7</v>
      </c>
      <c r="J67" s="163">
        <f>I67+J30</f>
        <v>21478.2</v>
      </c>
      <c r="K67" s="163">
        <f t="shared" si="65"/>
        <v>21891.200000000001</v>
      </c>
      <c r="L67" s="163">
        <f t="shared" si="65"/>
        <v>22280.3</v>
      </c>
      <c r="M67" s="163">
        <f t="shared" si="65"/>
        <v>22591.3</v>
      </c>
      <c r="N67" s="163">
        <f t="shared" si="65"/>
        <v>23001.899999999998</v>
      </c>
      <c r="O67" s="163">
        <f t="shared" si="65"/>
        <v>23421.199999999997</v>
      </c>
      <c r="P67" s="163">
        <f t="shared" si="65"/>
        <v>23842.899999999998</v>
      </c>
      <c r="Q67" s="163">
        <f t="shared" si="65"/>
        <v>24270.3</v>
      </c>
      <c r="R67" s="163">
        <f t="shared" si="65"/>
        <v>24693.899999999998</v>
      </c>
      <c r="S67" s="163">
        <f t="shared" si="65"/>
        <v>25113.199999999997</v>
      </c>
      <c r="T67" s="163">
        <f t="shared" si="65"/>
        <v>25524.899999999998</v>
      </c>
      <c r="U67" s="163">
        <f t="shared" si="65"/>
        <v>25936.799999999999</v>
      </c>
      <c r="V67" s="163">
        <f t="shared" si="65"/>
        <v>26349.3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8" x14ac:dyDescent="0.3">
      <c r="B68" s="756" t="s">
        <v>196</v>
      </c>
      <c r="C68" s="756"/>
      <c r="D68" s="756"/>
      <c r="E68" s="756"/>
    </row>
    <row r="69" spans="2:38" x14ac:dyDescent="0.3">
      <c r="B69" s="757" t="s">
        <v>132</v>
      </c>
      <c r="C69" s="757"/>
      <c r="D69" s="757"/>
      <c r="E69" s="757"/>
    </row>
  </sheetData>
  <mergeCells count="14">
    <mergeCell ref="B68:E68"/>
    <mergeCell ref="B69:E69"/>
    <mergeCell ref="AE34:AG34"/>
    <mergeCell ref="AE35:AG35"/>
    <mergeCell ref="AE36:AG36"/>
    <mergeCell ref="B44:B51"/>
    <mergeCell ref="B52:B55"/>
    <mergeCell ref="B56:B67"/>
    <mergeCell ref="B32:C32"/>
    <mergeCell ref="B4:C4"/>
    <mergeCell ref="B5:B12"/>
    <mergeCell ref="B13:B16"/>
    <mergeCell ref="B17:B29"/>
    <mergeCell ref="B30:B31"/>
  </mergeCells>
  <conditionalFormatting sqref="AK5:BN31">
    <cfRule type="cellIs" dxfId="108" priority="2" operator="equal">
      <formula>"VAZIO"</formula>
    </cfRule>
  </conditionalFormatting>
  <conditionalFormatting sqref="AK5:BO31">
    <cfRule type="expression" dxfId="107" priority="6">
      <formula>AK5&gt;$BP5</formula>
    </cfRule>
    <cfRule type="expression" dxfId="106" priority="7">
      <formula>AK5&lt;($BP5-0.01)</formula>
    </cfRule>
  </conditionalFormatting>
  <conditionalFormatting sqref="AL8:BN8 BI9 AL16:BN16 BF17 AL24:BN25">
    <cfRule type="cellIs" dxfId="105" priority="3" operator="equal">
      <formula>"""VAZIO"""</formula>
    </cfRule>
  </conditionalFormatting>
  <conditionalFormatting sqref="AO5:BN31">
    <cfRule type="expression" dxfId="104" priority="1">
      <formula>AO5=0</formula>
    </cfRule>
  </conditionalFormatting>
  <conditionalFormatting sqref="BS5:BS31">
    <cfRule type="cellIs" dxfId="103" priority="4" operator="greaterThan">
      <formula>0</formula>
    </cfRule>
    <cfRule type="cellIs" dxfId="102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068EF-6173-4439-B505-AAE1B0D0D4D3}">
  <dimension ref="B3:BX69"/>
  <sheetViews>
    <sheetView zoomScale="93" zoomScaleNormal="93" workbookViewId="0">
      <pane xSplit="3" ySplit="4" topLeftCell="AC5" activePane="bottomRight" state="frozen"/>
      <selection pane="topRight" activeCell="D1" sqref="D1"/>
      <selection pane="bottomLeft" activeCell="A5" sqref="A5"/>
      <selection pane="bottomRight" activeCell="AI14" sqref="AI14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7.5546875" customWidth="1"/>
    <col min="9" max="10" width="16.44140625" customWidth="1"/>
    <col min="11" max="11" width="16" customWidth="1"/>
    <col min="12" max="12" width="16.33203125" customWidth="1"/>
    <col min="13" max="34" width="16.4414062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564</v>
      </c>
      <c r="E4" s="344" t="s">
        <v>565</v>
      </c>
      <c r="F4" s="344" t="s">
        <v>566</v>
      </c>
      <c r="G4" s="344" t="s">
        <v>567</v>
      </c>
      <c r="H4" s="344" t="s">
        <v>568</v>
      </c>
      <c r="I4" s="344" t="s">
        <v>569</v>
      </c>
      <c r="J4" s="344" t="s">
        <v>570</v>
      </c>
      <c r="K4" s="344" t="s">
        <v>571</v>
      </c>
      <c r="L4" s="344" t="s">
        <v>572</v>
      </c>
      <c r="M4" s="344" t="s">
        <v>573</v>
      </c>
      <c r="N4" s="344" t="s">
        <v>574</v>
      </c>
      <c r="O4" s="344" t="s">
        <v>575</v>
      </c>
      <c r="P4" s="344" t="s">
        <v>576</v>
      </c>
      <c r="Q4" s="344" t="s">
        <v>577</v>
      </c>
      <c r="R4" s="344" t="s">
        <v>578</v>
      </c>
      <c r="S4" s="344" t="s">
        <v>579</v>
      </c>
      <c r="T4" s="344" t="s">
        <v>580</v>
      </c>
      <c r="U4" s="344" t="s">
        <v>581</v>
      </c>
      <c r="V4" s="344" t="s">
        <v>582</v>
      </c>
      <c r="W4" s="344" t="s">
        <v>583</v>
      </c>
      <c r="X4" s="344" t="s">
        <v>584</v>
      </c>
      <c r="Y4" s="344" t="s">
        <v>585</v>
      </c>
      <c r="Z4" s="344" t="s">
        <v>586</v>
      </c>
      <c r="AA4" s="344" t="s">
        <v>587</v>
      </c>
      <c r="AB4" s="344" t="s">
        <v>588</v>
      </c>
      <c r="AC4" s="344" t="s">
        <v>589</v>
      </c>
      <c r="AD4" s="344" t="s">
        <v>590</v>
      </c>
      <c r="AE4" s="344" t="s">
        <v>591</v>
      </c>
      <c r="AF4" s="344" t="s">
        <v>592</v>
      </c>
      <c r="AG4" s="345" t="s">
        <v>593</v>
      </c>
      <c r="AH4" s="345" t="s">
        <v>594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5.5</v>
      </c>
      <c r="E5" s="103">
        <v>15.3</v>
      </c>
      <c r="F5" s="103">
        <v>34</v>
      </c>
      <c r="G5" s="103">
        <v>44.2</v>
      </c>
      <c r="H5" s="103">
        <v>41.9</v>
      </c>
      <c r="I5" s="331">
        <v>48.9</v>
      </c>
      <c r="J5" s="103">
        <v>42</v>
      </c>
      <c r="K5" s="103">
        <v>47.2</v>
      </c>
      <c r="L5" s="103">
        <v>36</v>
      </c>
      <c r="M5" s="103">
        <v>48.5</v>
      </c>
      <c r="N5" s="283">
        <v>47.4</v>
      </c>
      <c r="O5" s="103">
        <v>47.6</v>
      </c>
      <c r="P5" s="103">
        <v>35.799999999999997</v>
      </c>
      <c r="Q5" s="331">
        <v>44</v>
      </c>
      <c r="R5" s="509">
        <v>50.1</v>
      </c>
      <c r="S5" s="103">
        <v>41.3</v>
      </c>
      <c r="T5" s="103">
        <v>37.9</v>
      </c>
      <c r="U5" s="103">
        <v>47.4</v>
      </c>
      <c r="V5" s="103">
        <v>31.2</v>
      </c>
      <c r="W5" s="331">
        <v>51.8</v>
      </c>
      <c r="X5" s="103">
        <v>31.1</v>
      </c>
      <c r="Y5" s="103">
        <v>52.3</v>
      </c>
      <c r="Z5" s="581">
        <v>53.4</v>
      </c>
      <c r="AA5" s="332">
        <v>52.9</v>
      </c>
      <c r="AB5" s="333">
        <v>49.7</v>
      </c>
      <c r="AC5" s="104">
        <v>47.5</v>
      </c>
      <c r="AD5" s="104">
        <v>40.799999999999997</v>
      </c>
      <c r="AE5" s="104">
        <v>49.9</v>
      </c>
      <c r="AF5" s="104">
        <v>49.3</v>
      </c>
      <c r="AG5" s="104">
        <v>27.6</v>
      </c>
      <c r="AH5" s="506">
        <v>45</v>
      </c>
      <c r="AI5" s="335">
        <f>SUM(D5:AH5)</f>
        <v>1297.4999999999998</v>
      </c>
      <c r="AJ5" s="160">
        <v>12</v>
      </c>
      <c r="AK5" s="336">
        <f t="shared" ref="AK5:AK11" si="0">F5/(AJ5*432)</f>
        <v>6.5586419753086416E-3</v>
      </c>
      <c r="AL5" s="337">
        <f t="shared" ref="AL5:AU8" si="1">IF(OR(D5="",D5="Sem monitoramento"),"VAZIO",IFERROR(D5/($AJ5*24),"-"))</f>
        <v>1.9097222222222224E-2</v>
      </c>
      <c r="AM5" s="338">
        <f t="shared" si="1"/>
        <v>5.3125000000000006E-2</v>
      </c>
      <c r="AN5" s="338">
        <f t="shared" si="1"/>
        <v>0.11805555555555555</v>
      </c>
      <c r="AO5" s="338">
        <f t="shared" si="1"/>
        <v>0.15347222222222223</v>
      </c>
      <c r="AP5" s="338">
        <f t="shared" si="1"/>
        <v>0.14548611111111109</v>
      </c>
      <c r="AQ5" s="338">
        <f t="shared" si="1"/>
        <v>0.16979166666666667</v>
      </c>
      <c r="AR5" s="338">
        <f t="shared" si="1"/>
        <v>0.14583333333333334</v>
      </c>
      <c r="AS5" s="338">
        <f t="shared" si="1"/>
        <v>0.16388888888888889</v>
      </c>
      <c r="AT5" s="338">
        <f t="shared" si="1"/>
        <v>0.125</v>
      </c>
      <c r="AU5" s="338">
        <f t="shared" si="1"/>
        <v>0.16840277777777779</v>
      </c>
      <c r="AV5" s="338">
        <f t="shared" ref="AV5:BE8" si="2">IF(OR(N5="",N5="Sem monitoramento"),"VAZIO",IFERROR(N5/($AJ5*24),"-"))</f>
        <v>0.16458333333333333</v>
      </c>
      <c r="AW5" s="338">
        <f t="shared" si="2"/>
        <v>0.16527777777777777</v>
      </c>
      <c r="AX5" s="338">
        <f t="shared" si="2"/>
        <v>0.12430555555555554</v>
      </c>
      <c r="AY5" s="338">
        <f t="shared" si="2"/>
        <v>0.15277777777777779</v>
      </c>
      <c r="AZ5" s="338">
        <f t="shared" si="2"/>
        <v>0.17395833333333333</v>
      </c>
      <c r="BA5" s="338">
        <f t="shared" si="2"/>
        <v>0.14340277777777777</v>
      </c>
      <c r="BB5" s="338">
        <f t="shared" si="2"/>
        <v>0.13159722222222223</v>
      </c>
      <c r="BC5" s="338">
        <f t="shared" si="2"/>
        <v>0.16458333333333333</v>
      </c>
      <c r="BD5" s="338">
        <f t="shared" si="2"/>
        <v>0.10833333333333334</v>
      </c>
      <c r="BE5" s="338">
        <f t="shared" si="2"/>
        <v>0.17986111111111111</v>
      </c>
      <c r="BF5" s="338">
        <f t="shared" ref="BF5:BJ8" si="3">IF(OR(X5="",X5="Sem monitoramento"),"VAZIO",IFERROR(X5/($AJ5*24),"-"))</f>
        <v>0.10798611111111112</v>
      </c>
      <c r="BG5" s="338">
        <f t="shared" si="3"/>
        <v>0.18159722222222222</v>
      </c>
      <c r="BH5" s="338">
        <f t="shared" si="3"/>
        <v>0.18541666666666667</v>
      </c>
      <c r="BI5" s="338">
        <f t="shared" si="3"/>
        <v>0.18368055555555554</v>
      </c>
      <c r="BJ5" s="338">
        <f t="shared" si="3"/>
        <v>0.17256944444444444</v>
      </c>
      <c r="BK5" s="338" t="e">
        <f>IF(OR(#REF!="",#REF!="Sem monitoramento"),"VAZIO",IFERROR(#REF!/($AJ5*24),"-"))</f>
        <v>#REF!</v>
      </c>
      <c r="BL5" s="338">
        <f t="shared" ref="BL5:BO6" si="4">IF(OR(AD5="",AD5="Sem monitoramento"),"VAZIO",IFERROR(AD5/($AJ5*24),"-"))</f>
        <v>0.14166666666666666</v>
      </c>
      <c r="BM5" s="338">
        <f t="shared" si="4"/>
        <v>0.17326388888888888</v>
      </c>
      <c r="BN5" s="338">
        <f t="shared" si="4"/>
        <v>0.17118055555555556</v>
      </c>
      <c r="BO5" s="338">
        <f t="shared" si="4"/>
        <v>9.583333333333334E-2</v>
      </c>
      <c r="BP5" s="339">
        <f t="shared" ref="BP5:BP31" si="5">AI5/(AJ5*(COUNTA(D5:AG5)*24))</f>
        <v>0.15017361111111108</v>
      </c>
      <c r="BQ5" s="180">
        <f>'FCs estimados em PVsyst'!Y3</f>
        <v>0.1804398148148148</v>
      </c>
      <c r="BR5" s="340">
        <f t="shared" ref="BR5:BR11" si="6">AJ5*BQ5</f>
        <v>2.1652777777777779</v>
      </c>
      <c r="BS5" s="341">
        <f t="shared" ref="BS5:BS11" si="7">AN5-BQ5</f>
        <v>-6.238425925925925E-2</v>
      </c>
      <c r="BT5" s="342">
        <f t="shared" ref="BT5:BT30" si="8">BP5-BQ5</f>
        <v>-3.0266203703703726E-2</v>
      </c>
      <c r="BU5" s="15" t="s">
        <v>7</v>
      </c>
      <c r="BV5" s="75" t="s">
        <v>107</v>
      </c>
      <c r="BW5" s="7">
        <f>COUNTIF(BT5:BT29,"&gt;0")</f>
        <v>3</v>
      </c>
      <c r="BX5" s="2"/>
    </row>
    <row r="6" spans="2:76" x14ac:dyDescent="0.3">
      <c r="B6" s="771"/>
      <c r="C6" s="325" t="s">
        <v>8</v>
      </c>
      <c r="D6" s="62">
        <v>29.5</v>
      </c>
      <c r="E6" s="63">
        <v>79.3</v>
      </c>
      <c r="F6" s="63">
        <v>191</v>
      </c>
      <c r="G6" s="63">
        <v>296.39999999999998</v>
      </c>
      <c r="H6" s="63">
        <v>283.39999999999998</v>
      </c>
      <c r="I6" s="283">
        <v>307.89999999999998</v>
      </c>
      <c r="J6" s="63">
        <v>224.5</v>
      </c>
      <c r="K6" s="63">
        <v>282.8</v>
      </c>
      <c r="L6" s="63">
        <v>206</v>
      </c>
      <c r="M6" s="63">
        <v>295.5</v>
      </c>
      <c r="N6" s="282">
        <v>85.2</v>
      </c>
      <c r="O6" s="282">
        <v>280</v>
      </c>
      <c r="P6" s="282">
        <v>200</v>
      </c>
      <c r="Q6" s="283">
        <v>201.2</v>
      </c>
      <c r="R6" s="319">
        <v>318</v>
      </c>
      <c r="S6" s="63">
        <v>210.7</v>
      </c>
      <c r="T6" s="63">
        <v>192.4</v>
      </c>
      <c r="U6" s="63">
        <v>304.39999999999998</v>
      </c>
      <c r="V6" s="63">
        <v>168.6</v>
      </c>
      <c r="W6" s="283">
        <v>314.10000000000002</v>
      </c>
      <c r="X6" s="63">
        <v>171.5</v>
      </c>
      <c r="Y6" s="63">
        <v>304.39999999999998</v>
      </c>
      <c r="Z6" s="583">
        <v>293.7</v>
      </c>
      <c r="AA6" s="522">
        <v>265</v>
      </c>
      <c r="AB6" s="20">
        <v>306.3</v>
      </c>
      <c r="AC6" s="31">
        <v>307.5</v>
      </c>
      <c r="AD6" s="15">
        <v>261.10000000000002</v>
      </c>
      <c r="AE6" s="15">
        <v>315.89999999999998</v>
      </c>
      <c r="AF6" s="15">
        <v>316.7</v>
      </c>
      <c r="AG6" s="15">
        <v>175.3</v>
      </c>
      <c r="AH6" s="278">
        <v>258.3</v>
      </c>
      <c r="AI6" s="335">
        <f t="shared" ref="AI6:AI31" si="9">SUM(D6:AH6)</f>
        <v>7446.6</v>
      </c>
      <c r="AJ6" s="118">
        <v>67</v>
      </c>
      <c r="AK6" s="121">
        <f t="shared" si="0"/>
        <v>6.5989496959646217E-3</v>
      </c>
      <c r="AL6" s="67">
        <f t="shared" si="1"/>
        <v>1.8345771144278607E-2</v>
      </c>
      <c r="AM6" s="68">
        <f t="shared" si="1"/>
        <v>4.9315920398009951E-2</v>
      </c>
      <c r="AN6" s="68">
        <f t="shared" si="1"/>
        <v>0.11878109452736318</v>
      </c>
      <c r="AO6" s="68">
        <f t="shared" si="1"/>
        <v>0.18432835820895521</v>
      </c>
      <c r="AP6" s="68">
        <f t="shared" si="1"/>
        <v>0.17624378109452735</v>
      </c>
      <c r="AQ6" s="68">
        <f t="shared" si="1"/>
        <v>0.19148009950248754</v>
      </c>
      <c r="AR6" s="68">
        <f t="shared" si="1"/>
        <v>0.13961442786069653</v>
      </c>
      <c r="AS6" s="68">
        <f t="shared" si="1"/>
        <v>0.17587064676616915</v>
      </c>
      <c r="AT6" s="68">
        <f t="shared" si="1"/>
        <v>0.12810945273631841</v>
      </c>
      <c r="AU6" s="68">
        <f t="shared" si="1"/>
        <v>0.1837686567164179</v>
      </c>
      <c r="AV6" s="68">
        <f t="shared" si="2"/>
        <v>5.2985074626865671E-2</v>
      </c>
      <c r="AW6" s="68">
        <f t="shared" si="2"/>
        <v>0.17412935323383086</v>
      </c>
      <c r="AX6" s="68">
        <f t="shared" si="2"/>
        <v>0.12437810945273632</v>
      </c>
      <c r="AY6" s="68">
        <f t="shared" si="2"/>
        <v>0.12512437810945273</v>
      </c>
      <c r="AZ6" s="68">
        <f t="shared" si="2"/>
        <v>0.19776119402985073</v>
      </c>
      <c r="BA6" s="68">
        <f t="shared" si="2"/>
        <v>0.1310323383084577</v>
      </c>
      <c r="BB6" s="68">
        <f t="shared" si="2"/>
        <v>0.11965174129353234</v>
      </c>
      <c r="BC6" s="68">
        <f t="shared" si="2"/>
        <v>0.18930348258706467</v>
      </c>
      <c r="BD6" s="68">
        <f t="shared" si="2"/>
        <v>0.10485074626865672</v>
      </c>
      <c r="BE6" s="68">
        <f t="shared" si="2"/>
        <v>0.1953358208955224</v>
      </c>
      <c r="BF6" s="68">
        <f t="shared" si="3"/>
        <v>0.10665422885572139</v>
      </c>
      <c r="BG6" s="68">
        <f t="shared" si="3"/>
        <v>0.18930348258706467</v>
      </c>
      <c r="BH6" s="68">
        <f t="shared" si="3"/>
        <v>0.18264925373134328</v>
      </c>
      <c r="BI6" s="68">
        <f t="shared" si="3"/>
        <v>0.16480099502487564</v>
      </c>
      <c r="BJ6" s="68">
        <f t="shared" si="3"/>
        <v>0.19048507462686567</v>
      </c>
      <c r="BK6" s="68">
        <f>IF(OR(AC5="",AC5="Sem monitoramento"),"VAZIO",IFERROR(AC5/($AJ6*24),"-"))</f>
        <v>2.9539800995024876E-2</v>
      </c>
      <c r="BL6" s="68">
        <f t="shared" si="4"/>
        <v>0.16237562189054727</v>
      </c>
      <c r="BM6" s="68">
        <f t="shared" si="4"/>
        <v>0.196455223880597</v>
      </c>
      <c r="BN6" s="68">
        <f t="shared" si="4"/>
        <v>0.19695273631840796</v>
      </c>
      <c r="BO6" s="68">
        <f t="shared" si="4"/>
        <v>0.1090174129353234</v>
      </c>
      <c r="BP6" s="70">
        <f t="shared" si="5"/>
        <v>0.15436567164179105</v>
      </c>
      <c r="BQ6" s="180">
        <f>'FCs estimados em PVsyst'!Y4</f>
        <v>0.1868988391376451</v>
      </c>
      <c r="BR6" s="72">
        <f t="shared" si="6"/>
        <v>12.522222222222222</v>
      </c>
      <c r="BS6" s="73">
        <f t="shared" si="7"/>
        <v>-6.8117744610281916E-2</v>
      </c>
      <c r="BT6" s="74">
        <f t="shared" si="8"/>
        <v>-3.2533167495854054E-2</v>
      </c>
      <c r="BU6" s="15" t="s">
        <v>8</v>
      </c>
      <c r="BV6" s="77" t="s">
        <v>108</v>
      </c>
      <c r="BW6" s="78">
        <f>(COUNTA(BU5:BU29)-BW5-BW7)</f>
        <v>5</v>
      </c>
      <c r="BX6" s="2"/>
    </row>
    <row r="7" spans="2:76" x14ac:dyDescent="0.3">
      <c r="B7" s="771"/>
      <c r="C7" s="326" t="s">
        <v>9</v>
      </c>
      <c r="D7" s="62">
        <v>21.6</v>
      </c>
      <c r="E7" s="63">
        <v>68.400000000000006</v>
      </c>
      <c r="F7" s="63">
        <v>152.6</v>
      </c>
      <c r="G7" s="63">
        <v>198.9</v>
      </c>
      <c r="H7" s="63">
        <v>192.8</v>
      </c>
      <c r="I7" s="283">
        <v>219.9</v>
      </c>
      <c r="J7" s="63">
        <v>182.8</v>
      </c>
      <c r="K7" s="63">
        <v>209.5</v>
      </c>
      <c r="L7" s="283">
        <v>156.69999999999999</v>
      </c>
      <c r="M7" s="283">
        <v>217</v>
      </c>
      <c r="N7" s="283">
        <v>214</v>
      </c>
      <c r="O7" s="360">
        <v>207.9</v>
      </c>
      <c r="P7" s="283">
        <v>145.30000000000001</v>
      </c>
      <c r="Q7" s="283">
        <v>185.5</v>
      </c>
      <c r="R7" s="355">
        <v>221.7</v>
      </c>
      <c r="S7" s="283">
        <v>174</v>
      </c>
      <c r="T7" s="283">
        <v>162.80000000000001</v>
      </c>
      <c r="U7" s="63">
        <v>211.5</v>
      </c>
      <c r="V7" s="283">
        <v>141.80000000000001</v>
      </c>
      <c r="W7" s="283">
        <v>220.3</v>
      </c>
      <c r="X7" s="283">
        <v>136.4</v>
      </c>
      <c r="Y7" s="283">
        <v>227.9</v>
      </c>
      <c r="Z7" s="193">
        <v>238.6</v>
      </c>
      <c r="AA7" s="18">
        <v>237.2</v>
      </c>
      <c r="AB7" s="323">
        <v>210.5</v>
      </c>
      <c r="AC7" s="221">
        <v>210</v>
      </c>
      <c r="AD7" s="221">
        <v>180.5</v>
      </c>
      <c r="AE7" s="221">
        <v>224.1</v>
      </c>
      <c r="AF7" s="221">
        <v>220.7</v>
      </c>
      <c r="AG7" s="15">
        <v>118.8</v>
      </c>
      <c r="AH7" s="278">
        <v>194</v>
      </c>
      <c r="AI7" s="335">
        <f t="shared" si="9"/>
        <v>5703.7000000000007</v>
      </c>
      <c r="AJ7" s="118">
        <v>49</v>
      </c>
      <c r="AK7" s="121">
        <f t="shared" si="0"/>
        <v>7.2089947089947091E-3</v>
      </c>
      <c r="AL7" s="67">
        <f t="shared" si="1"/>
        <v>1.8367346938775512E-2</v>
      </c>
      <c r="AM7" s="68">
        <f t="shared" si="1"/>
        <v>5.8163265306122452E-2</v>
      </c>
      <c r="AN7" s="68">
        <f t="shared" si="1"/>
        <v>0.12976190476190474</v>
      </c>
      <c r="AO7" s="68">
        <f t="shared" si="1"/>
        <v>0.16913265306122449</v>
      </c>
      <c r="AP7" s="68">
        <f t="shared" si="1"/>
        <v>0.16394557823129252</v>
      </c>
      <c r="AQ7" s="68">
        <f t="shared" si="1"/>
        <v>0.18698979591836734</v>
      </c>
      <c r="AR7" s="68">
        <f t="shared" si="1"/>
        <v>0.15544217687074832</v>
      </c>
      <c r="AS7" s="68">
        <f t="shared" si="1"/>
        <v>0.17814625850340135</v>
      </c>
      <c r="AT7" s="68">
        <f t="shared" si="1"/>
        <v>0.13324829931972787</v>
      </c>
      <c r="AU7" s="68">
        <f t="shared" si="1"/>
        <v>0.18452380952380953</v>
      </c>
      <c r="AV7" s="68">
        <f t="shared" si="2"/>
        <v>0.18197278911564627</v>
      </c>
      <c r="AW7" s="68">
        <f t="shared" si="2"/>
        <v>0.1767857142857143</v>
      </c>
      <c r="AX7" s="68">
        <f t="shared" si="2"/>
        <v>0.1235544217687075</v>
      </c>
      <c r="AY7" s="68">
        <f t="shared" si="2"/>
        <v>0.15773809523809523</v>
      </c>
      <c r="AZ7" s="68">
        <f t="shared" si="2"/>
        <v>0.18852040816326529</v>
      </c>
      <c r="BA7" s="68">
        <f t="shared" si="2"/>
        <v>0.14795918367346939</v>
      </c>
      <c r="BB7" s="68">
        <f t="shared" si="2"/>
        <v>0.13843537414965987</v>
      </c>
      <c r="BC7" s="68">
        <f t="shared" si="2"/>
        <v>0.1798469387755102</v>
      </c>
      <c r="BD7" s="68">
        <f t="shared" si="2"/>
        <v>0.12057823129251702</v>
      </c>
      <c r="BE7" s="68">
        <f t="shared" si="2"/>
        <v>0.18732993197278913</v>
      </c>
      <c r="BF7" s="68">
        <f t="shared" si="3"/>
        <v>0.11598639455782313</v>
      </c>
      <c r="BG7" s="68">
        <f t="shared" si="3"/>
        <v>0.19379251700680272</v>
      </c>
      <c r="BH7" s="68">
        <f t="shared" si="3"/>
        <v>0.20289115646258504</v>
      </c>
      <c r="BI7" s="68">
        <f t="shared" si="3"/>
        <v>0.20170068027210883</v>
      </c>
      <c r="BJ7" s="68">
        <f t="shared" si="3"/>
        <v>0.17899659863945577</v>
      </c>
      <c r="BK7" s="68" t="e">
        <f>IF(OR(#REF!="",#REF!="Sem monitoramento"),"VAZIO",IFERROR(#REF!/($AJ7*24),"-"))</f>
        <v>#REF!</v>
      </c>
      <c r="BL7" s="68">
        <f t="shared" ref="BL7:BL19" si="10">IF(OR(AD7="",AD7="Sem monitoramento"),"VAZIO",IFERROR(AD7/($AJ7*24),"-"))</f>
        <v>0.15348639455782312</v>
      </c>
      <c r="BM7" s="68">
        <f t="shared" ref="BM7:BM19" si="11">IF(OR(AE7="",AE7="Sem monitoramento"),"VAZIO",IFERROR(AE7/($AJ7*24),"-"))</f>
        <v>0.19056122448979593</v>
      </c>
      <c r="BN7" s="68">
        <f t="shared" ref="BN7:BN19" si="12">IF(OR(AF7="",AF7="Sem monitoramento"),"VAZIO",IFERROR(AF7/($AJ7*24),"-"))</f>
        <v>0.18767006802721087</v>
      </c>
      <c r="BO7" s="68" t="e">
        <f>IF(OR(#REF!="",#REF!="Sem monitoramento"),"VAZIO",IFERROR(#REF!/($AJ7*24),"-"))</f>
        <v>#REF!</v>
      </c>
      <c r="BP7" s="70">
        <f t="shared" si="5"/>
        <v>0.16166950113378686</v>
      </c>
      <c r="BQ7" s="180">
        <f>'FCs estimados em PVsyst'!Y5</f>
        <v>0.17987528344671203</v>
      </c>
      <c r="BR7" s="72">
        <f t="shared" si="6"/>
        <v>8.81388888888889</v>
      </c>
      <c r="BS7" s="73">
        <f t="shared" si="7"/>
        <v>-5.011337868480728E-2</v>
      </c>
      <c r="BT7" s="74">
        <f t="shared" si="8"/>
        <v>-1.8205782312925162E-2</v>
      </c>
      <c r="BU7" s="15" t="s">
        <v>9</v>
      </c>
      <c r="BV7" s="79" t="s">
        <v>109</v>
      </c>
      <c r="BW7" s="80">
        <f>COUNTIF(BT5:BT29,"&lt;-0,01")</f>
        <v>17</v>
      </c>
      <c r="BX7" s="2"/>
    </row>
    <row r="8" spans="2:76" x14ac:dyDescent="0.3">
      <c r="B8" s="771"/>
      <c r="C8" s="326" t="s">
        <v>10</v>
      </c>
      <c r="D8" s="62">
        <v>13.5</v>
      </c>
      <c r="E8" s="63">
        <v>39.5</v>
      </c>
      <c r="F8" s="63">
        <v>86.6</v>
      </c>
      <c r="G8" s="63">
        <v>110.6</v>
      </c>
      <c r="H8" s="63">
        <v>108.2</v>
      </c>
      <c r="I8" s="283">
        <v>124.1</v>
      </c>
      <c r="J8" s="63">
        <v>103.9</v>
      </c>
      <c r="K8" s="63">
        <v>119.6</v>
      </c>
      <c r="L8" s="283">
        <v>86.7</v>
      </c>
      <c r="M8" s="283">
        <v>123.9</v>
      </c>
      <c r="N8" s="283">
        <v>121.7</v>
      </c>
      <c r="O8" s="63">
        <v>118.1</v>
      </c>
      <c r="P8" s="63">
        <v>80.599999999999994</v>
      </c>
      <c r="Q8" s="283">
        <v>102.7</v>
      </c>
      <c r="R8" s="319">
        <v>126</v>
      </c>
      <c r="S8" s="63">
        <v>98.7</v>
      </c>
      <c r="T8" s="63">
        <v>93.6</v>
      </c>
      <c r="U8" s="63">
        <v>119.4</v>
      </c>
      <c r="V8" s="63">
        <v>78.8</v>
      </c>
      <c r="W8" s="283">
        <v>125.9</v>
      </c>
      <c r="X8" s="63">
        <v>75.400000000000006</v>
      </c>
      <c r="Y8" s="283">
        <v>129.69999999999999</v>
      </c>
      <c r="Z8" s="193">
        <v>136.19999999999999</v>
      </c>
      <c r="AA8" s="18">
        <v>134.5</v>
      </c>
      <c r="AB8" s="323">
        <v>119.2</v>
      </c>
      <c r="AC8" s="221">
        <v>119.7</v>
      </c>
      <c r="AD8" s="221">
        <v>101.7</v>
      </c>
      <c r="AE8" s="221">
        <v>127.3</v>
      </c>
      <c r="AF8" s="221">
        <v>124.8</v>
      </c>
      <c r="AG8" s="15">
        <v>66.8</v>
      </c>
      <c r="AH8" s="278">
        <v>111.2</v>
      </c>
      <c r="AI8" s="335">
        <f t="shared" si="9"/>
        <v>3228.5999999999995</v>
      </c>
      <c r="AJ8" s="118">
        <v>33</v>
      </c>
      <c r="AK8" s="121">
        <f t="shared" si="0"/>
        <v>6.0746352413019074E-3</v>
      </c>
      <c r="AL8" s="67">
        <f t="shared" si="1"/>
        <v>1.7045454545454544E-2</v>
      </c>
      <c r="AM8" s="68">
        <f t="shared" si="1"/>
        <v>4.9873737373737376E-2</v>
      </c>
      <c r="AN8" s="68">
        <f t="shared" si="1"/>
        <v>0.10934343434343434</v>
      </c>
      <c r="AO8" s="68">
        <f t="shared" si="1"/>
        <v>0.13964646464646463</v>
      </c>
      <c r="AP8" s="68">
        <f t="shared" si="1"/>
        <v>0.13661616161616161</v>
      </c>
      <c r="AQ8" s="68">
        <f t="shared" si="1"/>
        <v>0.15669191919191919</v>
      </c>
      <c r="AR8" s="68">
        <f t="shared" si="1"/>
        <v>0.13118686868686869</v>
      </c>
      <c r="AS8" s="68">
        <f t="shared" si="1"/>
        <v>0.15101010101010101</v>
      </c>
      <c r="AT8" s="68">
        <f t="shared" si="1"/>
        <v>0.10946969696969697</v>
      </c>
      <c r="AU8" s="68">
        <f t="shared" si="1"/>
        <v>0.15643939393939393</v>
      </c>
      <c r="AV8" s="68">
        <f t="shared" si="2"/>
        <v>0.15366161616161617</v>
      </c>
      <c r="AW8" s="68">
        <f t="shared" si="2"/>
        <v>0.14911616161616162</v>
      </c>
      <c r="AX8" s="68">
        <f t="shared" si="2"/>
        <v>0.10176767676767676</v>
      </c>
      <c r="AY8" s="68">
        <f t="shared" si="2"/>
        <v>0.12967171717171719</v>
      </c>
      <c r="AZ8" s="68">
        <f t="shared" si="2"/>
        <v>0.15909090909090909</v>
      </c>
      <c r="BA8" s="68">
        <f t="shared" si="2"/>
        <v>0.12462121212121212</v>
      </c>
      <c r="BB8" s="68">
        <f t="shared" si="2"/>
        <v>0.11818181818181818</v>
      </c>
      <c r="BC8" s="68">
        <f t="shared" si="2"/>
        <v>0.15075757575757576</v>
      </c>
      <c r="BD8" s="68">
        <f t="shared" si="2"/>
        <v>9.9494949494949497E-2</v>
      </c>
      <c r="BE8" s="68">
        <f t="shared" si="2"/>
        <v>0.15896464646464648</v>
      </c>
      <c r="BF8" s="68">
        <f t="shared" si="3"/>
        <v>9.5202020202020204E-2</v>
      </c>
      <c r="BG8" s="68">
        <f t="shared" si="3"/>
        <v>0.16376262626262625</v>
      </c>
      <c r="BH8" s="68">
        <f t="shared" si="3"/>
        <v>0.17196969696969697</v>
      </c>
      <c r="BI8" s="68">
        <f t="shared" si="3"/>
        <v>0.16982323232323232</v>
      </c>
      <c r="BJ8" s="68">
        <f t="shared" si="3"/>
        <v>0.1505050505050505</v>
      </c>
      <c r="BK8" s="68" t="e">
        <f>IF(OR(#REF!="",#REF!="Sem monitoramento"),"VAZIO",IFERROR(#REF!/($AJ8*24),"-"))</f>
        <v>#REF!</v>
      </c>
      <c r="BL8" s="68">
        <f t="shared" si="10"/>
        <v>0.12840909090909092</v>
      </c>
      <c r="BM8" s="68">
        <f t="shared" si="11"/>
        <v>0.16073232323232323</v>
      </c>
      <c r="BN8" s="68">
        <f t="shared" si="12"/>
        <v>0.15757575757575756</v>
      </c>
      <c r="BO8" s="68" t="e">
        <f>IF(OR(#REF!="",#REF!="Sem monitoramento"),"VAZIO",IFERROR(#REF!/($AJ8*24),"-"))</f>
        <v>#REF!</v>
      </c>
      <c r="BP8" s="70">
        <f t="shared" si="5"/>
        <v>0.13588383838383836</v>
      </c>
      <c r="BQ8" s="180">
        <f>'FCs estimados em PVsyst'!Y6</f>
        <v>0.18501683501683502</v>
      </c>
      <c r="BR8" s="72">
        <f t="shared" si="6"/>
        <v>6.1055555555555561</v>
      </c>
      <c r="BS8" s="73">
        <f t="shared" si="7"/>
        <v>-7.5673400673400684E-2</v>
      </c>
      <c r="BT8" s="74">
        <f t="shared" si="8"/>
        <v>-4.9132996632996667E-2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572">
        <v>4.4000000000000004</v>
      </c>
      <c r="E9" s="63">
        <v>11.4</v>
      </c>
      <c r="F9" s="63">
        <v>33.9</v>
      </c>
      <c r="G9" s="82">
        <v>50.9</v>
      </c>
      <c r="H9" s="82">
        <v>47.2</v>
      </c>
      <c r="I9" s="308">
        <v>54.2</v>
      </c>
      <c r="J9" s="63">
        <v>39.1</v>
      </c>
      <c r="K9" s="283">
        <v>52</v>
      </c>
      <c r="L9" s="63">
        <v>32.9</v>
      </c>
      <c r="M9" s="63">
        <v>50.4</v>
      </c>
      <c r="N9" s="63">
        <v>53</v>
      </c>
      <c r="O9" s="63">
        <v>50.6</v>
      </c>
      <c r="P9" s="316">
        <v>40.799999999999997</v>
      </c>
      <c r="Q9" s="283">
        <v>44.1</v>
      </c>
      <c r="R9" s="508">
        <v>56.6</v>
      </c>
      <c r="S9" s="63">
        <v>39.799999999999997</v>
      </c>
      <c r="T9" s="63">
        <v>39.299999999999997</v>
      </c>
      <c r="U9" s="63">
        <v>55.1</v>
      </c>
      <c r="V9" s="63">
        <v>35.299999999999997</v>
      </c>
      <c r="W9" s="283">
        <v>56.9</v>
      </c>
      <c r="X9" s="63">
        <v>33.6</v>
      </c>
      <c r="Y9" s="63">
        <v>54.9</v>
      </c>
      <c r="Z9" s="521">
        <v>60.9</v>
      </c>
      <c r="AA9" s="18">
        <v>58.6</v>
      </c>
      <c r="AB9" s="323">
        <v>54</v>
      </c>
      <c r="AC9" s="489">
        <v>54.4</v>
      </c>
      <c r="AD9" s="15">
        <v>44.9</v>
      </c>
      <c r="AE9" s="15">
        <v>57.6</v>
      </c>
      <c r="AF9" s="15">
        <v>43.8</v>
      </c>
      <c r="AG9" s="15">
        <v>31.2</v>
      </c>
      <c r="AH9" s="278">
        <v>46.9</v>
      </c>
      <c r="AI9" s="335">
        <f t="shared" si="9"/>
        <v>1388.7</v>
      </c>
      <c r="AJ9" s="118">
        <v>12</v>
      </c>
      <c r="AK9" s="121">
        <f t="shared" si="0"/>
        <v>6.5393518518518517E-3</v>
      </c>
      <c r="AL9" s="67">
        <f>IF(OR(D10="",D10="Sem monitoramento"),"VAZIO",IFERROR(D10/($AJ9*24),"-"))</f>
        <v>2.7430555555555555E-2</v>
      </c>
      <c r="AM9" s="68">
        <f t="shared" ref="AM9:BB15" si="13">IF(OR(E9="",E9="Sem monitoramento"),"VAZIO",IFERROR(E9/($AJ9*24),"-"))</f>
        <v>3.9583333333333331E-2</v>
      </c>
      <c r="AN9" s="68">
        <f t="shared" si="13"/>
        <v>0.11770833333333333</v>
      </c>
      <c r="AO9" s="68">
        <f t="shared" si="13"/>
        <v>0.17673611111111109</v>
      </c>
      <c r="AP9" s="68">
        <f t="shared" si="13"/>
        <v>0.16388888888888889</v>
      </c>
      <c r="AQ9" s="68">
        <f t="shared" si="13"/>
        <v>0.18819444444444444</v>
      </c>
      <c r="AR9" s="68">
        <f t="shared" si="13"/>
        <v>0.13576388888888891</v>
      </c>
      <c r="AS9" s="68">
        <f t="shared" si="13"/>
        <v>0.18055555555555555</v>
      </c>
      <c r="AT9" s="68">
        <f t="shared" si="13"/>
        <v>0.11423611111111111</v>
      </c>
      <c r="AU9" s="68">
        <f t="shared" si="13"/>
        <v>0.17499999999999999</v>
      </c>
      <c r="AV9" s="68">
        <f t="shared" si="13"/>
        <v>0.18402777777777779</v>
      </c>
      <c r="AW9" s="68">
        <f t="shared" si="13"/>
        <v>0.17569444444444446</v>
      </c>
      <c r="AX9" s="68">
        <f>IF(OR(P10="",P10="Sem monitoramento"),"VAZIO",IFERROR(P10/($AJ9*24),"-"))</f>
        <v>0.21076388888888889</v>
      </c>
      <c r="AY9" s="68">
        <f t="shared" si="13"/>
        <v>0.15312500000000001</v>
      </c>
      <c r="AZ9" s="68">
        <f t="shared" si="13"/>
        <v>0.19652777777777777</v>
      </c>
      <c r="BA9" s="68">
        <f t="shared" si="13"/>
        <v>0.13819444444444443</v>
      </c>
      <c r="BB9" s="68">
        <f t="shared" si="13"/>
        <v>0.13645833333333332</v>
      </c>
      <c r="BC9" s="68">
        <f>IF(OR(U7="",U7="Sem monitoramento"),"VAZIO",IFERROR(U7/($AJ9*24),"-"))</f>
        <v>0.734375</v>
      </c>
      <c r="BD9" s="68">
        <f t="shared" ref="BD9:BG10" si="14">IF(OR(V9="",V9="Sem monitoramento"),"VAZIO",IFERROR(V9/($AJ9*24),"-"))</f>
        <v>0.12256944444444444</v>
      </c>
      <c r="BE9" s="68">
        <f t="shared" si="14"/>
        <v>0.19756944444444444</v>
      </c>
      <c r="BF9" s="68">
        <f t="shared" si="14"/>
        <v>0.11666666666666667</v>
      </c>
      <c r="BG9" s="68">
        <f t="shared" si="14"/>
        <v>0.19062499999999999</v>
      </c>
      <c r="BH9" s="68">
        <f>IF(OR(Z10="",Z10="Sem monitoramento"),"VAZIO",IFERROR(Z10/($AJ9*24),"-"))</f>
        <v>0.32118055555555558</v>
      </c>
      <c r="BI9" s="68">
        <f>IF(OR(AA9="",AA9="Sem monitoramento"),"VAZIO",IFERROR(AA9/($AJ9*24),"-"))</f>
        <v>0.20347222222222222</v>
      </c>
      <c r="BJ9" s="68">
        <f>IF(OR(AB9="",AB9="Sem monitoramento"),"VAZIO",IFERROR(AB9/($AJ9*24),"-"))</f>
        <v>0.1875</v>
      </c>
      <c r="BK9" s="68">
        <f>IF(OR(AC7="",AC7="Sem monitoramento"),"VAZIO",IFERROR(AC7/($AJ9*24),"-"))</f>
        <v>0.72916666666666663</v>
      </c>
      <c r="BL9" s="68">
        <f t="shared" si="10"/>
        <v>0.15590277777777778</v>
      </c>
      <c r="BM9" s="68">
        <f t="shared" si="11"/>
        <v>0.2</v>
      </c>
      <c r="BN9" s="68">
        <f t="shared" si="12"/>
        <v>0.15208333333333332</v>
      </c>
      <c r="BO9" s="68">
        <f>IF(OR(AG7="",AG7="Sem monitoramento"),"VAZIO",IFERROR(AG7/($AJ9*24),"-"))</f>
        <v>0.41249999999999998</v>
      </c>
      <c r="BP9" s="70">
        <f t="shared" si="5"/>
        <v>0.16072916666666667</v>
      </c>
      <c r="BQ9" s="180">
        <f>'FCs estimados em PVsyst'!Y7</f>
        <v>0.18333333333333332</v>
      </c>
      <c r="BR9" s="72">
        <f t="shared" si="6"/>
        <v>2.1999999999999997</v>
      </c>
      <c r="BS9" s="73">
        <f t="shared" si="7"/>
        <v>-6.5624999999999989E-2</v>
      </c>
      <c r="BT9" s="74">
        <f t="shared" si="8"/>
        <v>-2.2604166666666647E-2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7.9</v>
      </c>
      <c r="E10" s="63">
        <v>18.8</v>
      </c>
      <c r="F10" s="63">
        <v>47</v>
      </c>
      <c r="G10" s="82">
        <v>70.3</v>
      </c>
      <c r="H10" s="82">
        <v>67.099999999999994</v>
      </c>
      <c r="I10" s="63">
        <v>76.2</v>
      </c>
      <c r="J10" s="63">
        <v>55.7</v>
      </c>
      <c r="K10" s="283">
        <v>75.2</v>
      </c>
      <c r="L10" s="63">
        <v>49.5</v>
      </c>
      <c r="M10" s="63">
        <v>72.8</v>
      </c>
      <c r="N10" s="63">
        <v>76.3</v>
      </c>
      <c r="O10" s="63">
        <v>60</v>
      </c>
      <c r="P10" s="63">
        <v>60.7</v>
      </c>
      <c r="Q10" s="283">
        <v>64.3</v>
      </c>
      <c r="R10" s="508">
        <v>82.1</v>
      </c>
      <c r="S10" s="63">
        <v>59.1</v>
      </c>
      <c r="T10" s="63">
        <v>57.5</v>
      </c>
      <c r="U10" s="63">
        <v>80.2</v>
      </c>
      <c r="V10" s="63">
        <v>54.8</v>
      </c>
      <c r="W10" s="283">
        <v>86.8</v>
      </c>
      <c r="X10" s="63">
        <v>44.3</v>
      </c>
      <c r="Y10" s="63">
        <v>91.4</v>
      </c>
      <c r="Z10" s="193">
        <v>92.5</v>
      </c>
      <c r="AA10" s="18">
        <v>90.7</v>
      </c>
      <c r="AB10" s="323">
        <v>84.6</v>
      </c>
      <c r="AC10" s="489">
        <v>86.1</v>
      </c>
      <c r="AD10" s="15">
        <v>71.8</v>
      </c>
      <c r="AE10" s="15">
        <v>90.2</v>
      </c>
      <c r="AF10" s="15">
        <v>70.5</v>
      </c>
      <c r="AG10" s="15">
        <v>73.099999999999994</v>
      </c>
      <c r="AH10" s="278">
        <v>76.8</v>
      </c>
      <c r="AI10" s="335">
        <f>SUM(D10:AH10)</f>
        <v>2094.2999999999997</v>
      </c>
      <c r="AJ10" s="118">
        <v>25</v>
      </c>
      <c r="AK10" s="121">
        <f t="shared" si="0"/>
        <v>4.3518518518518515E-3</v>
      </c>
      <c r="AL10" s="67" t="e">
        <f>IF(OR(#REF!="",#REF!="Sem monitoramento"),"VAZIO",IFERROR(#REF!/($AJ10*24),"-"))</f>
        <v>#REF!</v>
      </c>
      <c r="AM10" s="68">
        <f t="shared" si="13"/>
        <v>3.1333333333333331E-2</v>
      </c>
      <c r="AN10" s="68">
        <f t="shared" si="13"/>
        <v>7.8333333333333338E-2</v>
      </c>
      <c r="AO10" s="68">
        <f t="shared" si="13"/>
        <v>0.11716666666666666</v>
      </c>
      <c r="AP10" s="68">
        <f t="shared" si="13"/>
        <v>0.11183333333333333</v>
      </c>
      <c r="AQ10" s="68">
        <f t="shared" si="13"/>
        <v>0.127</v>
      </c>
      <c r="AR10" s="68">
        <f t="shared" si="13"/>
        <v>9.2833333333333337E-2</v>
      </c>
      <c r="AS10" s="68">
        <f t="shared" si="13"/>
        <v>0.12533333333333332</v>
      </c>
      <c r="AT10" s="68">
        <f t="shared" si="13"/>
        <v>8.2500000000000004E-2</v>
      </c>
      <c r="AU10" s="68">
        <f t="shared" si="13"/>
        <v>0.12133333333333333</v>
      </c>
      <c r="AV10" s="68">
        <f t="shared" si="13"/>
        <v>0.12716666666666665</v>
      </c>
      <c r="AW10" s="68">
        <f t="shared" si="13"/>
        <v>0.1</v>
      </c>
      <c r="AX10" s="68" t="e">
        <f>IF(OR(#REF!="",#REF!="Sem monitoramento"),"VAZIO",IFERROR(#REF!/($AJ10*24),"-"))</f>
        <v>#REF!</v>
      </c>
      <c r="AY10" s="68">
        <f t="shared" si="13"/>
        <v>0.10716666666666666</v>
      </c>
      <c r="AZ10" s="68">
        <f t="shared" si="13"/>
        <v>0.13683333333333333</v>
      </c>
      <c r="BA10" s="68">
        <f t="shared" si="13"/>
        <v>9.8500000000000004E-2</v>
      </c>
      <c r="BB10" s="68">
        <f t="shared" si="13"/>
        <v>9.583333333333334E-2</v>
      </c>
      <c r="BC10" s="68">
        <f>IF(OR(U8="",U8="Sem monitoramento"),"VAZIO",IFERROR(U8/($AJ10*24),"-"))</f>
        <v>0.19900000000000001</v>
      </c>
      <c r="BD10" s="68">
        <f t="shared" si="14"/>
        <v>9.1333333333333322E-2</v>
      </c>
      <c r="BE10" s="68">
        <f t="shared" si="14"/>
        <v>0.14466666666666667</v>
      </c>
      <c r="BF10" s="68">
        <f t="shared" si="14"/>
        <v>7.3833333333333334E-2</v>
      </c>
      <c r="BG10" s="68">
        <f t="shared" si="14"/>
        <v>0.15233333333333335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0.15116666666666667</v>
      </c>
      <c r="BJ10" s="68">
        <f>IF(OR(AB10="",AB10="Sem monitoramento"),"VAZIO",IFERROR(AB10/($AJ10*24),"-"))</f>
        <v>0.14099999999999999</v>
      </c>
      <c r="BK10" s="68">
        <f>IF(OR(AC8="",AC8="Sem monitoramento"),"VAZIO",IFERROR(AC8/($AJ10*24),"-"))</f>
        <v>0.19950000000000001</v>
      </c>
      <c r="BL10" s="68">
        <f t="shared" si="10"/>
        <v>0.11966666666666666</v>
      </c>
      <c r="BM10" s="68">
        <f t="shared" si="11"/>
        <v>0.15033333333333335</v>
      </c>
      <c r="BN10" s="68">
        <f t="shared" si="12"/>
        <v>0.11749999999999999</v>
      </c>
      <c r="BO10" s="68">
        <f>IF(OR(AG8="",AG8="Sem monitoramento"),"VAZIO",IFERROR(AG8/($AJ10*24),"-"))</f>
        <v>0.11133333333333333</v>
      </c>
      <c r="BP10" s="70">
        <f t="shared" si="5"/>
        <v>0.11634999999999998</v>
      </c>
      <c r="BQ10" s="180">
        <f>'FCs estimados em PVsyst'!Y8</f>
        <v>0.185</v>
      </c>
      <c r="BR10" s="72">
        <f t="shared" si="6"/>
        <v>4.625</v>
      </c>
      <c r="BS10" s="73">
        <f t="shared" si="7"/>
        <v>-0.10666666666666666</v>
      </c>
      <c r="BT10" s="74">
        <f t="shared" si="8"/>
        <v>-6.8650000000000017E-2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46</v>
      </c>
      <c r="E11" s="63">
        <v>91</v>
      </c>
      <c r="F11" s="63">
        <v>222.6</v>
      </c>
      <c r="G11" s="63">
        <v>296.3</v>
      </c>
      <c r="H11" s="63">
        <v>280.2</v>
      </c>
      <c r="I11" s="355">
        <v>333.5</v>
      </c>
      <c r="J11" s="283">
        <v>230.5</v>
      </c>
      <c r="K11" s="283">
        <v>309.8</v>
      </c>
      <c r="L11" s="63">
        <v>221.5</v>
      </c>
      <c r="M11" s="283">
        <v>281.3</v>
      </c>
      <c r="N11" s="63">
        <v>323.39999999999998</v>
      </c>
      <c r="O11" s="63">
        <v>261.7</v>
      </c>
      <c r="P11" s="63">
        <v>213</v>
      </c>
      <c r="Q11" s="283">
        <v>276.10000000000002</v>
      </c>
      <c r="R11" s="319">
        <v>341</v>
      </c>
      <c r="S11" s="63">
        <v>243.6</v>
      </c>
      <c r="T11" s="63">
        <v>191.9</v>
      </c>
      <c r="U11" s="319">
        <v>342.4</v>
      </c>
      <c r="V11" s="283">
        <v>263.8</v>
      </c>
      <c r="W11" s="519">
        <v>315</v>
      </c>
      <c r="X11" s="63">
        <v>191.4</v>
      </c>
      <c r="Y11" s="319">
        <v>358.2</v>
      </c>
      <c r="Z11" s="193">
        <v>360</v>
      </c>
      <c r="AA11" s="18">
        <v>345.1</v>
      </c>
      <c r="AB11" s="323">
        <v>306.7</v>
      </c>
      <c r="AC11" s="221">
        <v>309</v>
      </c>
      <c r="AD11" s="15">
        <v>260.8</v>
      </c>
      <c r="AE11" s="15">
        <v>336.6</v>
      </c>
      <c r="AF11" s="15">
        <v>335.9</v>
      </c>
      <c r="AG11" s="15">
        <v>174.4</v>
      </c>
      <c r="AH11" s="278">
        <v>273.10000000000002</v>
      </c>
      <c r="AI11" s="335">
        <f t="shared" si="9"/>
        <v>8335.7999999999993</v>
      </c>
      <c r="AJ11" s="118">
        <v>78</v>
      </c>
      <c r="AK11" s="121">
        <f t="shared" si="0"/>
        <v>6.6061253561253558E-3</v>
      </c>
      <c r="AL11" s="67">
        <f t="shared" ref="AL11:AL31" si="15">IF(OR(D11="",D11="Sem monitoramento"),"VAZIO",IFERROR(D11/($AJ11*24),"-"))</f>
        <v>2.4572649572649572E-2</v>
      </c>
      <c r="AM11" s="68">
        <f t="shared" si="13"/>
        <v>4.8611111111111112E-2</v>
      </c>
      <c r="AN11" s="68">
        <f t="shared" si="13"/>
        <v>0.1189102564102564</v>
      </c>
      <c r="AO11" s="68">
        <f t="shared" si="13"/>
        <v>0.15827991452991452</v>
      </c>
      <c r="AP11" s="68">
        <f t="shared" si="13"/>
        <v>0.14967948717948718</v>
      </c>
      <c r="AQ11" s="68">
        <f t="shared" si="13"/>
        <v>0.17815170940170941</v>
      </c>
      <c r="AR11" s="68">
        <f t="shared" si="13"/>
        <v>0.12313034188034189</v>
      </c>
      <c r="AS11" s="68">
        <f t="shared" si="13"/>
        <v>0.16549145299145299</v>
      </c>
      <c r="AT11" s="68">
        <f t="shared" si="13"/>
        <v>0.11832264957264957</v>
      </c>
      <c r="AU11" s="68">
        <f t="shared" si="13"/>
        <v>0.15026709401709401</v>
      </c>
      <c r="AV11" s="68">
        <f t="shared" si="13"/>
        <v>0.17275641025641025</v>
      </c>
      <c r="AW11" s="68">
        <f t="shared" si="13"/>
        <v>0.13979700854700855</v>
      </c>
      <c r="AX11" s="68">
        <f t="shared" si="13"/>
        <v>0.11378205128205128</v>
      </c>
      <c r="AY11" s="68">
        <f t="shared" si="13"/>
        <v>0.14748931623931624</v>
      </c>
      <c r="AZ11" s="68">
        <f t="shared" si="13"/>
        <v>0.18215811965811965</v>
      </c>
      <c r="BA11" s="68">
        <f t="shared" si="13"/>
        <v>0.13012820512820514</v>
      </c>
      <c r="BB11" s="68">
        <f t="shared" si="13"/>
        <v>0.10251068376068376</v>
      </c>
      <c r="BC11" s="68">
        <f t="shared" ref="BC11:BD18" si="16">IF(OR(U11="",U11="Sem monitoramento"),"VAZIO",IFERROR(U11/($AJ11*24),"-"))</f>
        <v>0.18290598290598289</v>
      </c>
      <c r="BD11" s="68">
        <f t="shared" si="16"/>
        <v>0.14091880341880342</v>
      </c>
      <c r="BE11" s="68">
        <f>IF(OR(W12="",W12="Sem monitoramento"),"VAZIO",IFERROR(W12/($AJ11*24),"-"))</f>
        <v>0.13354700854700854</v>
      </c>
      <c r="BF11" s="68">
        <f t="shared" ref="BF11:BI14" si="17">IF(OR(X11="",X11="Sem monitoramento"),"VAZIO",IFERROR(X11/($AJ11*24),"-"))</f>
        <v>0.10224358974358974</v>
      </c>
      <c r="BG11" s="68">
        <f t="shared" si="17"/>
        <v>0.19134615384615383</v>
      </c>
      <c r="BH11" s="68">
        <f t="shared" si="17"/>
        <v>0.19230769230769232</v>
      </c>
      <c r="BI11" s="68">
        <f t="shared" si="17"/>
        <v>0.18434829059829061</v>
      </c>
      <c r="BJ11" s="68">
        <f>IF(OR(AB9="",AB9="Sem monitoramento"),"VAZIO",IFERROR(AB9/($AJ11*24),"-"))</f>
        <v>2.8846153846153848E-2</v>
      </c>
      <c r="BK11" s="68">
        <f t="shared" ref="BK11:BK31" si="18">IF(OR(AC11="",AC11="Sem monitoramento"),"VAZIO",IFERROR(AC11/($AJ11*24),"-"))</f>
        <v>0.16506410256410256</v>
      </c>
      <c r="BL11" s="68">
        <f t="shared" si="10"/>
        <v>0.13931623931623932</v>
      </c>
      <c r="BM11" s="68">
        <f t="shared" si="11"/>
        <v>0.17980769230769231</v>
      </c>
      <c r="BN11" s="68">
        <f t="shared" si="12"/>
        <v>0.17943376068376068</v>
      </c>
      <c r="BO11" s="68">
        <f t="shared" ref="BO11:BO31" si="19">IF(OR(AG11="",AG11="Sem monitoramento"),"VAZIO",IFERROR(AG11/($AJ11*24),"-"))</f>
        <v>9.3162393162393164E-2</v>
      </c>
      <c r="BP11" s="70">
        <f t="shared" si="5"/>
        <v>0.14842948717948717</v>
      </c>
      <c r="BQ11" s="198">
        <f>BQ19</f>
        <v>0.168125</v>
      </c>
      <c r="BR11" s="72">
        <f t="shared" si="6"/>
        <v>13.11375</v>
      </c>
      <c r="BS11" s="73">
        <f t="shared" si="7"/>
        <v>-4.9214743589743593E-2</v>
      </c>
      <c r="BT11" s="74">
        <f t="shared" si="8"/>
        <v>-1.9695512820512823E-2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29.3</v>
      </c>
      <c r="E12" s="308">
        <v>60.7</v>
      </c>
      <c r="F12" s="82">
        <v>153.4</v>
      </c>
      <c r="G12" s="82">
        <v>246</v>
      </c>
      <c r="H12" s="82">
        <v>231.4</v>
      </c>
      <c r="I12" s="308">
        <v>255.2</v>
      </c>
      <c r="J12" s="82">
        <v>167.4</v>
      </c>
      <c r="K12" s="308">
        <v>243.2</v>
      </c>
      <c r="L12" s="82">
        <v>179.1</v>
      </c>
      <c r="M12" s="82">
        <v>239.4</v>
      </c>
      <c r="N12" s="82">
        <v>253.4</v>
      </c>
      <c r="O12" s="82">
        <v>239</v>
      </c>
      <c r="P12" s="547">
        <v>180</v>
      </c>
      <c r="Q12" s="573">
        <v>179</v>
      </c>
      <c r="R12" s="573">
        <v>260</v>
      </c>
      <c r="S12" s="547">
        <v>179</v>
      </c>
      <c r="T12" s="547">
        <v>145</v>
      </c>
      <c r="U12" s="547">
        <v>255</v>
      </c>
      <c r="V12" s="547">
        <v>150</v>
      </c>
      <c r="W12" s="517">
        <v>250</v>
      </c>
      <c r="X12" s="547">
        <v>144</v>
      </c>
      <c r="Y12" s="547">
        <v>240</v>
      </c>
      <c r="Z12" s="582">
        <v>275</v>
      </c>
      <c r="AA12" s="585">
        <v>272</v>
      </c>
      <c r="AB12" s="587">
        <v>235</v>
      </c>
      <c r="AC12" s="588">
        <v>260</v>
      </c>
      <c r="AD12" s="582">
        <v>230</v>
      </c>
      <c r="AE12" s="582">
        <v>270</v>
      </c>
      <c r="AF12" s="582">
        <v>265</v>
      </c>
      <c r="AG12" s="582">
        <v>180</v>
      </c>
      <c r="AH12" s="279">
        <v>190</v>
      </c>
      <c r="AI12" s="335">
        <f t="shared" si="9"/>
        <v>6456.5</v>
      </c>
      <c r="AJ12" s="123">
        <v>61</v>
      </c>
      <c r="AK12" s="121" t="s">
        <v>31</v>
      </c>
      <c r="AL12" s="67">
        <f t="shared" si="15"/>
        <v>2.0013661202185794E-2</v>
      </c>
      <c r="AM12" s="68">
        <f t="shared" si="13"/>
        <v>4.1461748633879782E-2</v>
      </c>
      <c r="AN12" s="68">
        <f t="shared" si="13"/>
        <v>0.10478142076502732</v>
      </c>
      <c r="AO12" s="68">
        <f t="shared" si="13"/>
        <v>0.16803278688524589</v>
      </c>
      <c r="AP12" s="68">
        <f t="shared" si="13"/>
        <v>0.1580601092896175</v>
      </c>
      <c r="AQ12" s="68">
        <f t="shared" si="13"/>
        <v>0.17431693989071037</v>
      </c>
      <c r="AR12" s="68">
        <f t="shared" si="13"/>
        <v>0.11434426229508197</v>
      </c>
      <c r="AS12" s="68">
        <f t="shared" si="13"/>
        <v>0.16612021857923495</v>
      </c>
      <c r="AT12" s="68">
        <f t="shared" si="13"/>
        <v>0.12233606557377048</v>
      </c>
      <c r="AU12" s="68">
        <f t="shared" si="13"/>
        <v>0.16352459016393442</v>
      </c>
      <c r="AV12" s="68">
        <f t="shared" si="13"/>
        <v>0.17308743169398907</v>
      </c>
      <c r="AW12" s="68">
        <f t="shared" si="13"/>
        <v>0.16325136612021857</v>
      </c>
      <c r="AX12" s="68">
        <f t="shared" si="13"/>
        <v>0.12295081967213115</v>
      </c>
      <c r="AY12" s="68">
        <f t="shared" si="13"/>
        <v>0.12226775956284153</v>
      </c>
      <c r="AZ12" s="68">
        <f t="shared" si="13"/>
        <v>0.17759562841530055</v>
      </c>
      <c r="BA12" s="68">
        <f t="shared" si="13"/>
        <v>0.12226775956284153</v>
      </c>
      <c r="BB12" s="68">
        <f t="shared" si="13"/>
        <v>9.9043715846994534E-2</v>
      </c>
      <c r="BC12" s="68">
        <f t="shared" si="16"/>
        <v>0.17418032786885246</v>
      </c>
      <c r="BD12" s="68">
        <f t="shared" si="16"/>
        <v>0.10245901639344263</v>
      </c>
      <c r="BE12" s="68" t="e">
        <f>IF(OR(#REF!="",#REF!="Sem monitoramento"),"VAZIO",IFERROR(#REF!/($AJ12*24),"-"))</f>
        <v>#REF!</v>
      </c>
      <c r="BF12" s="68">
        <f t="shared" si="17"/>
        <v>9.8360655737704916E-2</v>
      </c>
      <c r="BG12" s="68">
        <f t="shared" si="17"/>
        <v>0.16393442622950818</v>
      </c>
      <c r="BH12" s="68">
        <f t="shared" si="17"/>
        <v>0.1878415300546448</v>
      </c>
      <c r="BI12" s="68">
        <f t="shared" si="17"/>
        <v>0.18579234972677597</v>
      </c>
      <c r="BJ12" s="68">
        <f t="shared" ref="BJ12:BJ20" si="20">IF(OR(AB12="",AB12="Sem monitoramento"),"VAZIO",IFERROR(AB12/($AJ12*24),"-"))</f>
        <v>0.16051912568306012</v>
      </c>
      <c r="BK12" s="68">
        <f t="shared" si="18"/>
        <v>0.17759562841530055</v>
      </c>
      <c r="BL12" s="68">
        <f t="shared" si="10"/>
        <v>0.15710382513661203</v>
      </c>
      <c r="BM12" s="68">
        <f t="shared" si="11"/>
        <v>0.18442622950819673</v>
      </c>
      <c r="BN12" s="68">
        <f t="shared" si="12"/>
        <v>0.18101092896174864</v>
      </c>
      <c r="BO12" s="68">
        <f t="shared" si="19"/>
        <v>0.12295081967213115</v>
      </c>
      <c r="BP12" s="70">
        <f t="shared" si="5"/>
        <v>0.14700591985428052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8"/>
        <v>-3.7647996357012742E-2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223">
        <v>49.4</v>
      </c>
      <c r="E13" s="283">
        <v>104.3</v>
      </c>
      <c r="F13" s="283">
        <v>245.2</v>
      </c>
      <c r="G13" s="283">
        <v>444.2</v>
      </c>
      <c r="H13" s="283">
        <v>421.2</v>
      </c>
      <c r="I13" s="283">
        <v>455.8</v>
      </c>
      <c r="J13" s="63">
        <v>273</v>
      </c>
      <c r="K13" s="283">
        <v>418.3</v>
      </c>
      <c r="L13" s="63">
        <v>280.7</v>
      </c>
      <c r="M13" s="63">
        <v>401.9</v>
      </c>
      <c r="N13" s="283">
        <v>449.3</v>
      </c>
      <c r="O13" s="63">
        <v>418.2</v>
      </c>
      <c r="P13" s="63">
        <v>309.89999999999998</v>
      </c>
      <c r="Q13" s="283">
        <v>309.39999999999998</v>
      </c>
      <c r="R13" s="508">
        <v>474.5</v>
      </c>
      <c r="S13" s="63">
        <v>285.60000000000002</v>
      </c>
      <c r="T13" s="63">
        <v>253</v>
      </c>
      <c r="U13" s="63">
        <v>451.2</v>
      </c>
      <c r="V13" s="63">
        <v>267.60000000000002</v>
      </c>
      <c r="W13" s="283">
        <v>446</v>
      </c>
      <c r="X13" s="63">
        <v>243.8</v>
      </c>
      <c r="Y13" s="63">
        <v>403.5</v>
      </c>
      <c r="Z13" s="193">
        <v>492.7</v>
      </c>
      <c r="AA13" s="18">
        <v>489.1</v>
      </c>
      <c r="AB13" s="323">
        <v>398.7</v>
      </c>
      <c r="AC13" s="489">
        <v>470.9</v>
      </c>
      <c r="AD13" s="15">
        <v>397.3</v>
      </c>
      <c r="AE13" s="15">
        <v>474.7</v>
      </c>
      <c r="AF13" s="15">
        <v>467.7</v>
      </c>
      <c r="AG13" s="15">
        <v>311.3</v>
      </c>
      <c r="AH13" s="278">
        <v>355.7</v>
      </c>
      <c r="AI13" s="335">
        <f t="shared" si="9"/>
        <v>11264.1</v>
      </c>
      <c r="AJ13" s="118">
        <v>100</v>
      </c>
      <c r="AK13" s="121">
        <f t="shared" ref="AK13:AK30" si="21">F13/(AJ13*432)</f>
        <v>5.6759259259259254E-3</v>
      </c>
      <c r="AL13" s="67">
        <f t="shared" si="15"/>
        <v>2.0583333333333332E-2</v>
      </c>
      <c r="AM13" s="68">
        <f t="shared" si="13"/>
        <v>4.3458333333333335E-2</v>
      </c>
      <c r="AN13" s="68">
        <f t="shared" si="13"/>
        <v>0.10216666666666666</v>
      </c>
      <c r="AO13" s="68">
        <f t="shared" si="13"/>
        <v>0.18508333333333332</v>
      </c>
      <c r="AP13" s="68">
        <f t="shared" si="13"/>
        <v>0.17549999999999999</v>
      </c>
      <c r="AQ13" s="68">
        <f t="shared" si="13"/>
        <v>0.18991666666666668</v>
      </c>
      <c r="AR13" s="68">
        <f t="shared" si="13"/>
        <v>0.11375</v>
      </c>
      <c r="AS13" s="68">
        <f t="shared" si="13"/>
        <v>0.17429166666666668</v>
      </c>
      <c r="AT13" s="68">
        <f t="shared" si="13"/>
        <v>0.11695833333333333</v>
      </c>
      <c r="AU13" s="68">
        <f t="shared" si="13"/>
        <v>0.16745833333333332</v>
      </c>
      <c r="AV13" s="68">
        <f t="shared" si="13"/>
        <v>0.18720833333333334</v>
      </c>
      <c r="AW13" s="68">
        <f t="shared" si="13"/>
        <v>0.17424999999999999</v>
      </c>
      <c r="AX13" s="68">
        <f t="shared" si="13"/>
        <v>0.12912499999999999</v>
      </c>
      <c r="AY13" s="68">
        <f t="shared" si="13"/>
        <v>0.12891666666666665</v>
      </c>
      <c r="AZ13" s="68">
        <f t="shared" si="13"/>
        <v>0.19770833333333335</v>
      </c>
      <c r="BA13" s="68">
        <f t="shared" si="13"/>
        <v>0.11900000000000001</v>
      </c>
      <c r="BB13" s="68">
        <f t="shared" si="13"/>
        <v>0.10541666666666667</v>
      </c>
      <c r="BC13" s="68">
        <f t="shared" si="16"/>
        <v>0.188</v>
      </c>
      <c r="BD13" s="68">
        <f t="shared" si="16"/>
        <v>0.11150000000000002</v>
      </c>
      <c r="BE13" s="68">
        <f t="shared" ref="BE13:BE24" si="22">IF(OR(W13="",W13="Sem monitoramento"),"VAZIO",IFERROR(W13/($AJ13*24),"-"))</f>
        <v>0.18583333333333332</v>
      </c>
      <c r="BF13" s="68">
        <f t="shared" si="17"/>
        <v>0.10158333333333334</v>
      </c>
      <c r="BG13" s="68">
        <f t="shared" si="17"/>
        <v>0.168125</v>
      </c>
      <c r="BH13" s="68">
        <f t="shared" si="17"/>
        <v>0.20529166666666665</v>
      </c>
      <c r="BI13" s="68">
        <f t="shared" si="17"/>
        <v>0.20379166666666668</v>
      </c>
      <c r="BJ13" s="68">
        <f t="shared" si="20"/>
        <v>0.16612499999999999</v>
      </c>
      <c r="BK13" s="68">
        <f t="shared" si="18"/>
        <v>0.19620833333333332</v>
      </c>
      <c r="BL13" s="68">
        <f t="shared" si="10"/>
        <v>0.16554166666666667</v>
      </c>
      <c r="BM13" s="68">
        <f t="shared" si="11"/>
        <v>0.19779166666666667</v>
      </c>
      <c r="BN13" s="68">
        <f t="shared" si="12"/>
        <v>0.19487499999999999</v>
      </c>
      <c r="BO13" s="68">
        <f t="shared" si="19"/>
        <v>0.12970833333333334</v>
      </c>
      <c r="BP13" s="70">
        <f t="shared" si="5"/>
        <v>0.15644583333333334</v>
      </c>
      <c r="BQ13" s="198">
        <f>BQ19</f>
        <v>0.168125</v>
      </c>
      <c r="BR13" s="72">
        <f t="shared" ref="BR13:BR30" si="23">AJ13*BQ13</f>
        <v>16.8125</v>
      </c>
      <c r="BS13" s="73">
        <f t="shared" ref="BS13:BS30" si="24">AN13-BQ13</f>
        <v>-6.5958333333333341E-2</v>
      </c>
      <c r="BT13" s="74">
        <f t="shared" si="8"/>
        <v>-1.1679166666666657E-2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55.7</v>
      </c>
      <c r="E14" s="63">
        <v>121</v>
      </c>
      <c r="F14" s="63">
        <v>302.10000000000002</v>
      </c>
      <c r="G14" s="63">
        <v>423.2</v>
      </c>
      <c r="H14" s="63">
        <v>397.2</v>
      </c>
      <c r="I14" s="355">
        <v>469.3</v>
      </c>
      <c r="J14" s="283">
        <v>320.5</v>
      </c>
      <c r="K14" s="283">
        <v>432.4</v>
      </c>
      <c r="L14" s="63">
        <v>304.3</v>
      </c>
      <c r="M14" s="283">
        <v>385.5</v>
      </c>
      <c r="N14" s="63">
        <v>455.5</v>
      </c>
      <c r="O14" s="63">
        <v>368.6</v>
      </c>
      <c r="P14" s="63">
        <v>296.10000000000002</v>
      </c>
      <c r="Q14" s="283">
        <v>393.6</v>
      </c>
      <c r="R14" s="319">
        <v>478.7</v>
      </c>
      <c r="S14" s="63">
        <v>330.8</v>
      </c>
      <c r="T14" s="63">
        <v>257.7</v>
      </c>
      <c r="U14" s="319">
        <v>483.3</v>
      </c>
      <c r="V14" s="283">
        <v>362</v>
      </c>
      <c r="W14" s="283">
        <v>424.9</v>
      </c>
      <c r="X14" s="63">
        <v>261.60000000000002</v>
      </c>
      <c r="Y14" s="319">
        <v>499.1</v>
      </c>
      <c r="Z14" s="193">
        <v>499.7</v>
      </c>
      <c r="AA14" s="18">
        <v>486.1</v>
      </c>
      <c r="AB14" s="323">
        <v>419.8</v>
      </c>
      <c r="AC14" s="221">
        <v>439.4</v>
      </c>
      <c r="AD14" s="15">
        <v>372.3</v>
      </c>
      <c r="AE14" s="15">
        <v>481.6</v>
      </c>
      <c r="AF14" s="15">
        <v>473.9</v>
      </c>
      <c r="AG14" s="15">
        <v>250.9</v>
      </c>
      <c r="AH14" s="278">
        <v>378</v>
      </c>
      <c r="AI14" s="335">
        <f t="shared" si="9"/>
        <v>11624.8</v>
      </c>
      <c r="AJ14" s="118">
        <v>100</v>
      </c>
      <c r="AK14" s="121">
        <f t="shared" si="21"/>
        <v>6.9930555555555562E-3</v>
      </c>
      <c r="AL14" s="67">
        <f t="shared" si="15"/>
        <v>2.3208333333333334E-2</v>
      </c>
      <c r="AM14" s="68">
        <f t="shared" si="13"/>
        <v>5.0416666666666665E-2</v>
      </c>
      <c r="AN14" s="68">
        <f t="shared" si="13"/>
        <v>0.12587500000000001</v>
      </c>
      <c r="AO14" s="68">
        <f t="shared" si="13"/>
        <v>0.17633333333333334</v>
      </c>
      <c r="AP14" s="68">
        <f t="shared" si="13"/>
        <v>0.16550000000000001</v>
      </c>
      <c r="AQ14" s="68">
        <f t="shared" si="13"/>
        <v>0.19554166666666667</v>
      </c>
      <c r="AR14" s="68">
        <f t="shared" si="13"/>
        <v>0.13354166666666667</v>
      </c>
      <c r="AS14" s="68">
        <f t="shared" si="13"/>
        <v>0.18016666666666667</v>
      </c>
      <c r="AT14" s="68">
        <f t="shared" si="13"/>
        <v>0.12679166666666666</v>
      </c>
      <c r="AU14" s="68">
        <f t="shared" si="13"/>
        <v>0.16062499999999999</v>
      </c>
      <c r="AV14" s="68">
        <f t="shared" si="13"/>
        <v>0.18979166666666666</v>
      </c>
      <c r="AW14" s="68">
        <f t="shared" si="13"/>
        <v>0.15358333333333335</v>
      </c>
      <c r="AX14" s="68">
        <f t="shared" si="13"/>
        <v>0.12337500000000001</v>
      </c>
      <c r="AY14" s="68">
        <f t="shared" si="13"/>
        <v>0.16400000000000001</v>
      </c>
      <c r="AZ14" s="68">
        <f t="shared" si="13"/>
        <v>0.19945833333333332</v>
      </c>
      <c r="BA14" s="68">
        <f t="shared" si="13"/>
        <v>0.13783333333333334</v>
      </c>
      <c r="BB14" s="68">
        <f t="shared" si="13"/>
        <v>0.107375</v>
      </c>
      <c r="BC14" s="68">
        <f t="shared" si="16"/>
        <v>0.201375</v>
      </c>
      <c r="BD14" s="68">
        <f t="shared" si="16"/>
        <v>0.15083333333333335</v>
      </c>
      <c r="BE14" s="68">
        <f t="shared" si="22"/>
        <v>0.17704166666666665</v>
      </c>
      <c r="BF14" s="68">
        <f t="shared" si="17"/>
        <v>0.10900000000000001</v>
      </c>
      <c r="BG14" s="68">
        <f t="shared" si="17"/>
        <v>0.20795833333333336</v>
      </c>
      <c r="BH14" s="68">
        <f t="shared" si="17"/>
        <v>0.20820833333333333</v>
      </c>
      <c r="BI14" s="68">
        <f t="shared" si="17"/>
        <v>0.20254166666666668</v>
      </c>
      <c r="BJ14" s="68">
        <f t="shared" si="20"/>
        <v>0.17491666666666666</v>
      </c>
      <c r="BK14" s="68">
        <f t="shared" si="18"/>
        <v>0.18308333333333332</v>
      </c>
      <c r="BL14" s="68">
        <f t="shared" si="10"/>
        <v>0.15512500000000001</v>
      </c>
      <c r="BM14" s="68">
        <f t="shared" si="11"/>
        <v>0.20066666666666669</v>
      </c>
      <c r="BN14" s="68">
        <f t="shared" si="12"/>
        <v>0.19745833333333332</v>
      </c>
      <c r="BO14" s="68">
        <f t="shared" si="19"/>
        <v>0.10454166666666667</v>
      </c>
      <c r="BP14" s="70">
        <f t="shared" si="5"/>
        <v>0.16145555555555555</v>
      </c>
      <c r="BQ14" s="198">
        <f>$BQ$19</f>
        <v>0.168125</v>
      </c>
      <c r="BR14" s="72">
        <f t="shared" si="23"/>
        <v>16.8125</v>
      </c>
      <c r="BS14" s="73">
        <f t="shared" si="24"/>
        <v>-4.2249999999999982E-2</v>
      </c>
      <c r="BT14" s="74">
        <f t="shared" si="8"/>
        <v>-6.6694444444444501E-3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14</v>
      </c>
      <c r="E15" s="63">
        <v>31.3</v>
      </c>
      <c r="F15" s="63">
        <v>84.9</v>
      </c>
      <c r="G15" s="63">
        <v>111.3</v>
      </c>
      <c r="H15" s="63">
        <v>106.2</v>
      </c>
      <c r="I15" s="355">
        <v>124.6</v>
      </c>
      <c r="J15" s="283">
        <v>89.3</v>
      </c>
      <c r="K15" s="283">
        <v>116.2</v>
      </c>
      <c r="L15" s="63">
        <v>83.4</v>
      </c>
      <c r="M15" s="283">
        <v>105.6</v>
      </c>
      <c r="N15" s="63">
        <v>120.4</v>
      </c>
      <c r="O15" s="63">
        <v>97.1</v>
      </c>
      <c r="P15" s="63">
        <v>83.1</v>
      </c>
      <c r="Q15" s="283">
        <v>112.3</v>
      </c>
      <c r="R15" s="319">
        <v>127.4</v>
      </c>
      <c r="S15" s="63">
        <v>92.5</v>
      </c>
      <c r="T15" s="63">
        <v>72.8</v>
      </c>
      <c r="U15" s="319">
        <v>129</v>
      </c>
      <c r="V15" s="283">
        <v>98.9</v>
      </c>
      <c r="W15" s="283">
        <v>118.7</v>
      </c>
      <c r="X15" s="63">
        <v>73.400000000000006</v>
      </c>
      <c r="Y15" s="319">
        <v>133.9</v>
      </c>
      <c r="Z15" s="487">
        <v>134.80000000000001</v>
      </c>
      <c r="AA15" s="18">
        <v>131.30000000000001</v>
      </c>
      <c r="AB15" s="323">
        <v>118.6</v>
      </c>
      <c r="AC15" s="221">
        <v>115.6</v>
      </c>
      <c r="AD15" s="221">
        <v>97.7</v>
      </c>
      <c r="AE15" s="15">
        <v>128.5</v>
      </c>
      <c r="AF15" s="15">
        <v>124.8</v>
      </c>
      <c r="AG15" s="15">
        <v>63.5</v>
      </c>
      <c r="AH15" s="278">
        <v>106</v>
      </c>
      <c r="AI15" s="335">
        <f t="shared" si="9"/>
        <v>3147.1000000000004</v>
      </c>
      <c r="AJ15" s="118">
        <v>29</v>
      </c>
      <c r="AK15" s="121">
        <f t="shared" si="21"/>
        <v>6.7768199233716481E-3</v>
      </c>
      <c r="AL15" s="67">
        <f t="shared" si="15"/>
        <v>2.0114942528735632E-2</v>
      </c>
      <c r="AM15" s="68">
        <f t="shared" si="13"/>
        <v>4.4971264367816094E-2</v>
      </c>
      <c r="AN15" s="68">
        <f t="shared" si="13"/>
        <v>0.12198275862068966</v>
      </c>
      <c r="AO15" s="68">
        <f t="shared" si="13"/>
        <v>0.15991379310344828</v>
      </c>
      <c r="AP15" s="68">
        <f t="shared" si="13"/>
        <v>0.15258620689655172</v>
      </c>
      <c r="AQ15" s="68">
        <f t="shared" si="13"/>
        <v>0.1790229885057471</v>
      </c>
      <c r="AR15" s="68">
        <f t="shared" si="13"/>
        <v>0.12830459770114941</v>
      </c>
      <c r="AS15" s="68">
        <f t="shared" si="13"/>
        <v>0.16695402298850576</v>
      </c>
      <c r="AT15" s="68">
        <f t="shared" si="13"/>
        <v>0.11982758620689656</v>
      </c>
      <c r="AU15" s="68">
        <f t="shared" si="13"/>
        <v>0.15172413793103448</v>
      </c>
      <c r="AV15" s="68">
        <f t="shared" si="13"/>
        <v>0.17298850574712646</v>
      </c>
      <c r="AW15" s="68">
        <f t="shared" si="13"/>
        <v>0.13951149425287354</v>
      </c>
      <c r="AX15" s="68">
        <f t="shared" si="13"/>
        <v>0.11939655172413792</v>
      </c>
      <c r="AY15" s="68">
        <f t="shared" si="13"/>
        <v>0.16135057471264366</v>
      </c>
      <c r="AZ15" s="68">
        <f t="shared" si="13"/>
        <v>0.18304597701149425</v>
      </c>
      <c r="BA15" s="68">
        <f t="shared" si="13"/>
        <v>0.13290229885057472</v>
      </c>
      <c r="BB15" s="68">
        <f t="shared" si="13"/>
        <v>0.10459770114942528</v>
      </c>
      <c r="BC15" s="68">
        <f t="shared" si="16"/>
        <v>0.18534482758620691</v>
      </c>
      <c r="BD15" s="68">
        <f t="shared" si="16"/>
        <v>0.1420977011494253</v>
      </c>
      <c r="BE15" s="68">
        <f t="shared" si="22"/>
        <v>0.17054597701149427</v>
      </c>
      <c r="BF15" s="68">
        <f t="shared" ref="BF15:BG18" si="25">IF(OR(X15="",X15="Sem monitoramento"),"VAZIO",IFERROR(X15/($AJ15*24),"-"))</f>
        <v>0.10545977011494254</v>
      </c>
      <c r="BG15" s="68">
        <f t="shared" si="25"/>
        <v>0.19238505747126439</v>
      </c>
      <c r="BH15" s="68">
        <f>IF(OR(Z16="",Z16="Sem monitoramento"),"VAZIO",IFERROR(Z16/($AJ15*24),"-"))</f>
        <v>0.76580459770114939</v>
      </c>
      <c r="BI15" s="68">
        <f t="shared" ref="BI15:BI31" si="26">IF(OR(AA15="",AA15="Sem monitoramento"),"VAZIO",IFERROR(AA15/($AJ15*24),"-"))</f>
        <v>0.18864942528735634</v>
      </c>
      <c r="BJ15" s="68">
        <f t="shared" si="20"/>
        <v>0.1704022988505747</v>
      </c>
      <c r="BK15" s="68">
        <f t="shared" si="18"/>
        <v>0.16609195402298849</v>
      </c>
      <c r="BL15" s="68">
        <f t="shared" si="10"/>
        <v>0.14037356321839081</v>
      </c>
      <c r="BM15" s="68">
        <f t="shared" si="11"/>
        <v>0.1846264367816092</v>
      </c>
      <c r="BN15" s="68">
        <f t="shared" si="12"/>
        <v>0.1793103448275862</v>
      </c>
      <c r="BO15" s="68">
        <f t="shared" si="19"/>
        <v>9.1235632183908053E-2</v>
      </c>
      <c r="BP15" s="70">
        <f t="shared" si="5"/>
        <v>0.15072318007662838</v>
      </c>
      <c r="BQ15" s="180">
        <f>'FCs estimados em PVsyst'!Y13</f>
        <v>0.1850095785440613</v>
      </c>
      <c r="BR15" s="72">
        <f t="shared" si="23"/>
        <v>5.365277777777778</v>
      </c>
      <c r="BS15" s="73">
        <f t="shared" si="24"/>
        <v>-6.3026819923371641E-2</v>
      </c>
      <c r="BT15" s="74">
        <f t="shared" si="8"/>
        <v>-3.4286398467432921E-2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54.4</v>
      </c>
      <c r="E16" s="63">
        <v>104.9</v>
      </c>
      <c r="F16" s="63">
        <v>378.8</v>
      </c>
      <c r="G16" s="63">
        <v>421.3</v>
      </c>
      <c r="H16" s="63">
        <v>472.2</v>
      </c>
      <c r="I16" s="63">
        <v>465.5</v>
      </c>
      <c r="J16" s="63">
        <v>355.2</v>
      </c>
      <c r="K16" s="63">
        <v>440.8</v>
      </c>
      <c r="L16" s="63">
        <v>316.60000000000002</v>
      </c>
      <c r="M16" s="63">
        <v>432.6</v>
      </c>
      <c r="N16" s="63">
        <v>467.7</v>
      </c>
      <c r="O16" s="63">
        <v>419</v>
      </c>
      <c r="P16" s="283">
        <v>279.8</v>
      </c>
      <c r="Q16" s="283">
        <v>378.3</v>
      </c>
      <c r="R16" s="63">
        <v>478.4</v>
      </c>
      <c r="S16" s="63">
        <v>303.39999999999998</v>
      </c>
      <c r="T16" s="141">
        <v>323.8</v>
      </c>
      <c r="U16" s="63">
        <v>481.1</v>
      </c>
      <c r="V16" s="283">
        <v>357.3</v>
      </c>
      <c r="W16" s="283">
        <v>460.2</v>
      </c>
      <c r="X16" s="63">
        <v>289.5</v>
      </c>
      <c r="Y16" s="319">
        <v>528</v>
      </c>
      <c r="Z16" s="193">
        <v>533</v>
      </c>
      <c r="AA16" s="61">
        <v>520.4</v>
      </c>
      <c r="AB16" s="525">
        <v>358</v>
      </c>
      <c r="AC16" s="15">
        <v>475.5</v>
      </c>
      <c r="AD16" s="15">
        <v>468.7</v>
      </c>
      <c r="AE16" s="15">
        <v>489</v>
      </c>
      <c r="AF16" s="15">
        <v>483.9</v>
      </c>
      <c r="AG16" s="15">
        <v>208</v>
      </c>
      <c r="AH16" s="278">
        <v>428.8</v>
      </c>
      <c r="AI16" s="335">
        <f t="shared" si="9"/>
        <v>12174.099999999999</v>
      </c>
      <c r="AJ16" s="118">
        <v>100</v>
      </c>
      <c r="AK16" s="121">
        <f t="shared" si="21"/>
        <v>8.7685185185185192E-3</v>
      </c>
      <c r="AL16" s="67">
        <f t="shared" si="15"/>
        <v>2.2666666666666665E-2</v>
      </c>
      <c r="AM16" s="68">
        <f t="shared" ref="AM16:BA16" si="27">IF(OR(E16="",E16="Sem monitoramento"),"VAZIO",IFERROR(E16/($AJ16*24),"-"))</f>
        <v>4.3708333333333335E-2</v>
      </c>
      <c r="AN16" s="68">
        <f t="shared" si="27"/>
        <v>0.15783333333333333</v>
      </c>
      <c r="AO16" s="68">
        <f t="shared" si="27"/>
        <v>0.17554166666666668</v>
      </c>
      <c r="AP16" s="68">
        <f t="shared" si="27"/>
        <v>0.19675000000000001</v>
      </c>
      <c r="AQ16" s="68">
        <f t="shared" si="27"/>
        <v>0.19395833333333334</v>
      </c>
      <c r="AR16" s="68">
        <f t="shared" si="27"/>
        <v>0.14799999999999999</v>
      </c>
      <c r="AS16" s="68">
        <f t="shared" si="27"/>
        <v>0.18366666666666667</v>
      </c>
      <c r="AT16" s="68">
        <f t="shared" si="27"/>
        <v>0.13191666666666668</v>
      </c>
      <c r="AU16" s="68">
        <f t="shared" si="27"/>
        <v>0.18025000000000002</v>
      </c>
      <c r="AV16" s="68">
        <f t="shared" si="27"/>
        <v>0.19487499999999999</v>
      </c>
      <c r="AW16" s="68">
        <f t="shared" si="27"/>
        <v>0.17458333333333334</v>
      </c>
      <c r="AX16" s="68">
        <f t="shared" si="27"/>
        <v>0.11658333333333334</v>
      </c>
      <c r="AY16" s="68">
        <f t="shared" si="27"/>
        <v>0.15762500000000002</v>
      </c>
      <c r="AZ16" s="68">
        <f t="shared" si="27"/>
        <v>0.19933333333333333</v>
      </c>
      <c r="BA16" s="68">
        <f t="shared" si="27"/>
        <v>0.12641666666666665</v>
      </c>
      <c r="BB16" s="68">
        <f>IF(OR(T14="",T14="Sem monitoramento"),"VAZIO",IFERROR(T14/($AJ16*24),"-"))</f>
        <v>0.107375</v>
      </c>
      <c r="BC16" s="68">
        <f t="shared" si="16"/>
        <v>0.20045833333333335</v>
      </c>
      <c r="BD16" s="68">
        <f t="shared" si="16"/>
        <v>0.14887500000000001</v>
      </c>
      <c r="BE16" s="68">
        <f t="shared" si="22"/>
        <v>0.19175</v>
      </c>
      <c r="BF16" s="68">
        <f t="shared" si="25"/>
        <v>0.120625</v>
      </c>
      <c r="BG16" s="68">
        <f t="shared" si="25"/>
        <v>0.22</v>
      </c>
      <c r="BH16" s="68" t="e">
        <f>IF(OR(#REF!="",#REF!="Sem monitoramento"),"VAZIO",IFERROR(#REF!/($AJ16*24),"-"))</f>
        <v>#REF!</v>
      </c>
      <c r="BI16" s="68">
        <f t="shared" si="26"/>
        <v>0.21683333333333332</v>
      </c>
      <c r="BJ16" s="68">
        <f t="shared" si="20"/>
        <v>0.14916666666666667</v>
      </c>
      <c r="BK16" s="68">
        <f t="shared" si="18"/>
        <v>0.198125</v>
      </c>
      <c r="BL16" s="68">
        <f t="shared" si="10"/>
        <v>0.19529166666666667</v>
      </c>
      <c r="BM16" s="68">
        <f t="shared" si="11"/>
        <v>0.20374999999999999</v>
      </c>
      <c r="BN16" s="68">
        <f t="shared" si="12"/>
        <v>0.201625</v>
      </c>
      <c r="BO16" s="68">
        <f t="shared" si="19"/>
        <v>8.666666666666667E-2</v>
      </c>
      <c r="BP16" s="70">
        <f t="shared" si="5"/>
        <v>0.16908472222222221</v>
      </c>
      <c r="BQ16" s="180">
        <f>'FCs estimados em PVsyst'!Y14</f>
        <v>0.16425000000000001</v>
      </c>
      <c r="BR16" s="72">
        <f t="shared" si="23"/>
        <v>16.425000000000001</v>
      </c>
      <c r="BS16" s="73">
        <f t="shared" si="24"/>
        <v>-6.4166666666666816E-3</v>
      </c>
      <c r="BT16" s="74">
        <f t="shared" si="8"/>
        <v>4.8347222222221986E-3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50.7</v>
      </c>
      <c r="E17" s="514">
        <v>131</v>
      </c>
      <c r="F17" s="573">
        <v>300</v>
      </c>
      <c r="G17" s="517">
        <v>450</v>
      </c>
      <c r="H17" s="517">
        <v>440</v>
      </c>
      <c r="I17" s="356">
        <v>455</v>
      </c>
      <c r="J17" s="547">
        <v>295</v>
      </c>
      <c r="K17" s="514">
        <v>410</v>
      </c>
      <c r="L17" s="514">
        <v>335</v>
      </c>
      <c r="M17" s="63">
        <v>405</v>
      </c>
      <c r="N17" s="31">
        <v>424.6</v>
      </c>
      <c r="O17" s="63">
        <v>387.2</v>
      </c>
      <c r="P17" s="283">
        <v>396.9</v>
      </c>
      <c r="Q17" s="283">
        <v>370.4</v>
      </c>
      <c r="R17" s="63">
        <v>427.8</v>
      </c>
      <c r="S17" s="283">
        <v>408</v>
      </c>
      <c r="T17" s="63">
        <v>297.89999999999998</v>
      </c>
      <c r="U17" s="63">
        <v>317.5</v>
      </c>
      <c r="V17" s="63">
        <v>205.9</v>
      </c>
      <c r="W17" s="283">
        <v>421</v>
      </c>
      <c r="X17" s="63">
        <v>321</v>
      </c>
      <c r="Y17" s="319">
        <v>474.1</v>
      </c>
      <c r="Z17" s="193">
        <v>475</v>
      </c>
      <c r="AA17" s="568">
        <v>479.4</v>
      </c>
      <c r="AB17" s="20">
        <v>411.9</v>
      </c>
      <c r="AC17" s="221">
        <v>431.3</v>
      </c>
      <c r="AD17" s="221">
        <v>361.3</v>
      </c>
      <c r="AE17" s="15">
        <v>464</v>
      </c>
      <c r="AF17" s="193">
        <v>460.4</v>
      </c>
      <c r="AG17" s="15">
        <v>156.9</v>
      </c>
      <c r="AH17" s="278">
        <v>328.6</v>
      </c>
      <c r="AI17" s="335">
        <f t="shared" si="9"/>
        <v>11292.799999999997</v>
      </c>
      <c r="AJ17" s="118">
        <v>100</v>
      </c>
      <c r="AK17" s="122">
        <f t="shared" si="21"/>
        <v>6.9444444444444441E-3</v>
      </c>
      <c r="AL17" s="67">
        <f t="shared" si="15"/>
        <v>2.1125000000000001E-2</v>
      </c>
      <c r="AM17" s="68">
        <f t="shared" ref="AM17:AM25" si="28">IF(OR(E17="",E17="Sem monitoramento"),"VAZIO",IFERROR(E17/($AJ17*24),"-"))</f>
        <v>5.4583333333333331E-2</v>
      </c>
      <c r="AN17" s="68">
        <f t="shared" ref="AN17:AN25" si="29">IF(OR(F17="",F17="Sem monitoramento"),"VAZIO",IFERROR(F17/($AJ17*24),"-"))</f>
        <v>0.125</v>
      </c>
      <c r="AO17" s="68">
        <f t="shared" ref="AO17:AO25" si="30">IF(OR(G17="",G17="Sem monitoramento"),"VAZIO",IFERROR(G17/($AJ17*24),"-"))</f>
        <v>0.1875</v>
      </c>
      <c r="AP17" s="68">
        <f t="shared" ref="AP17:AP25" si="31">IF(OR(H17="",H17="Sem monitoramento"),"VAZIO",IFERROR(H17/($AJ17*24),"-"))</f>
        <v>0.18333333333333332</v>
      </c>
      <c r="AQ17" s="68">
        <f t="shared" ref="AQ17:AQ25" si="32">IF(OR(I17="",I17="Sem monitoramento"),"VAZIO",IFERROR(I17/($AJ17*24),"-"))</f>
        <v>0.18958333333333333</v>
      </c>
      <c r="AR17" s="68">
        <f t="shared" ref="AR17:AR25" si="33">IF(OR(J17="",J17="Sem monitoramento"),"VAZIO",IFERROR(J17/($AJ17*24),"-"))</f>
        <v>0.12291666666666666</v>
      </c>
      <c r="AS17" s="68" t="e">
        <f>IF(OR(#REF!="",#REF!="Sem monitoramento"),"VAZIO",IFERROR(#REF!/($AJ17*24),"-"))</f>
        <v>#REF!</v>
      </c>
      <c r="AT17" s="68">
        <f>IF(OR(L17="",L17="Sem monitoramento"),"VAZIO",IFERROR(L17/($AJ17*24),"-"))</f>
        <v>0.13958333333333334</v>
      </c>
      <c r="AU17" s="68">
        <f>IF(OR(M17="",M17="Sem monitoramento"),"VAZIO",IFERROR(M17/($AJ17*24),"-"))</f>
        <v>0.16875000000000001</v>
      </c>
      <c r="AV17" s="68">
        <f>IF(OR(N18="",N18="Sem monitoramento"),"VAZIO",IFERROR(N18/($AJ17*24),"-"))</f>
        <v>0.18645833333333334</v>
      </c>
      <c r="AW17" s="68">
        <f t="shared" ref="AW17:BB19" si="34">IF(OR(O17="",O17="Sem monitoramento"),"VAZIO",IFERROR(O17/($AJ17*24),"-"))</f>
        <v>0.16133333333333333</v>
      </c>
      <c r="AX17" s="68">
        <f t="shared" si="34"/>
        <v>0.16537499999999999</v>
      </c>
      <c r="AY17" s="68">
        <f t="shared" si="34"/>
        <v>0.15433333333333332</v>
      </c>
      <c r="AZ17" s="68">
        <f t="shared" si="34"/>
        <v>0.17824999999999999</v>
      </c>
      <c r="BA17" s="68">
        <f t="shared" si="34"/>
        <v>0.17</v>
      </c>
      <c r="BB17" s="68">
        <f t="shared" si="34"/>
        <v>0.12412499999999999</v>
      </c>
      <c r="BC17" s="68">
        <f t="shared" si="16"/>
        <v>0.13229166666666667</v>
      </c>
      <c r="BD17" s="68">
        <f t="shared" si="16"/>
        <v>8.5791666666666669E-2</v>
      </c>
      <c r="BE17" s="68">
        <f t="shared" si="22"/>
        <v>0.17541666666666667</v>
      </c>
      <c r="BF17" s="68">
        <f t="shared" si="25"/>
        <v>0.13375000000000001</v>
      </c>
      <c r="BG17" s="68">
        <f t="shared" si="25"/>
        <v>0.19754166666666667</v>
      </c>
      <c r="BH17" s="68">
        <f t="shared" ref="BH17:BH24" si="35">IF(OR(Z17="",Z17="Sem monitoramento"),"VAZIO",IFERROR(Z17/($AJ17*24),"-"))</f>
        <v>0.19791666666666666</v>
      </c>
      <c r="BI17" s="68">
        <f t="shared" si="26"/>
        <v>0.19974999999999998</v>
      </c>
      <c r="BJ17" s="68">
        <f t="shared" si="20"/>
        <v>0.171625</v>
      </c>
      <c r="BK17" s="68">
        <f t="shared" si="18"/>
        <v>0.17970833333333333</v>
      </c>
      <c r="BL17" s="68">
        <f t="shared" si="10"/>
        <v>0.15054166666666668</v>
      </c>
      <c r="BM17" s="68">
        <f t="shared" si="11"/>
        <v>0.19333333333333333</v>
      </c>
      <c r="BN17" s="68">
        <f t="shared" si="12"/>
        <v>0.19183333333333333</v>
      </c>
      <c r="BO17" s="68">
        <f t="shared" si="19"/>
        <v>6.5375000000000003E-2</v>
      </c>
      <c r="BP17" s="70">
        <f t="shared" si="5"/>
        <v>0.1568444444444444</v>
      </c>
      <c r="BQ17" s="198">
        <f>$BQ$19</f>
        <v>0.168125</v>
      </c>
      <c r="BR17" s="90">
        <f t="shared" si="23"/>
        <v>16.8125</v>
      </c>
      <c r="BS17" s="73">
        <f t="shared" si="24"/>
        <v>-4.3124999999999997E-2</v>
      </c>
      <c r="BT17" s="74">
        <f t="shared" si="8"/>
        <v>-1.1280555555555599E-2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54.1</v>
      </c>
      <c r="E18" s="63">
        <v>139.4</v>
      </c>
      <c r="F18" s="308">
        <v>308.10000000000002</v>
      </c>
      <c r="G18" s="355">
        <v>459.9</v>
      </c>
      <c r="H18" s="63">
        <v>444.3</v>
      </c>
      <c r="I18" s="319">
        <v>466.2</v>
      </c>
      <c r="J18" s="63">
        <v>299.39999999999998</v>
      </c>
      <c r="K18" s="63">
        <v>432.9</v>
      </c>
      <c r="L18" s="63">
        <v>342</v>
      </c>
      <c r="M18" s="316">
        <v>420.8</v>
      </c>
      <c r="N18" s="63">
        <v>447.5</v>
      </c>
      <c r="O18" s="63">
        <v>405.4</v>
      </c>
      <c r="P18" s="63">
        <v>417.4</v>
      </c>
      <c r="Q18" s="519">
        <v>400.2</v>
      </c>
      <c r="R18" s="63">
        <v>449.2</v>
      </c>
      <c r="S18" s="283">
        <v>427.4</v>
      </c>
      <c r="T18" s="63">
        <v>328.5</v>
      </c>
      <c r="U18" s="283">
        <v>325</v>
      </c>
      <c r="V18" s="283">
        <v>267.60000000000002</v>
      </c>
      <c r="W18" s="283">
        <v>456.5</v>
      </c>
      <c r="X18" s="63">
        <v>348.9</v>
      </c>
      <c r="Y18" s="319">
        <v>499</v>
      </c>
      <c r="Z18" s="193">
        <v>499.8</v>
      </c>
      <c r="AA18" s="568">
        <v>505.3</v>
      </c>
      <c r="AB18" s="20">
        <v>431.6</v>
      </c>
      <c r="AC18" s="221">
        <v>449.2</v>
      </c>
      <c r="AD18" s="221">
        <v>381.7</v>
      </c>
      <c r="AE18" s="15">
        <v>489.2</v>
      </c>
      <c r="AF18" s="193">
        <v>488.1</v>
      </c>
      <c r="AG18" s="15">
        <v>166.9</v>
      </c>
      <c r="AH18" s="278">
        <v>354.1</v>
      </c>
      <c r="AI18" s="335">
        <f t="shared" si="9"/>
        <v>11905.6</v>
      </c>
      <c r="AJ18" s="118">
        <v>100</v>
      </c>
      <c r="AK18" s="122">
        <f t="shared" si="21"/>
        <v>7.1319444444444451E-3</v>
      </c>
      <c r="AL18" s="67">
        <f t="shared" si="15"/>
        <v>2.2541666666666668E-2</v>
      </c>
      <c r="AM18" s="68">
        <f t="shared" si="28"/>
        <v>5.8083333333333334E-2</v>
      </c>
      <c r="AN18" s="68">
        <f t="shared" si="29"/>
        <v>0.12837500000000002</v>
      </c>
      <c r="AO18" s="68">
        <f t="shared" si="30"/>
        <v>0.19162499999999999</v>
      </c>
      <c r="AP18" s="68">
        <f t="shared" si="31"/>
        <v>0.18512500000000001</v>
      </c>
      <c r="AQ18" s="68">
        <f t="shared" si="32"/>
        <v>0.19425000000000001</v>
      </c>
      <c r="AR18" s="68">
        <f t="shared" si="33"/>
        <v>0.12474999999999999</v>
      </c>
      <c r="AS18" s="68">
        <f>IF(OR(K18="",K18="Sem monitoramento"),"VAZIO",IFERROR(K18/($AJ18*24),"-"))</f>
        <v>0.18037499999999998</v>
      </c>
      <c r="AT18" s="68">
        <f>IF(OR(L18="",L18="Sem monitoramento"),"VAZIO",IFERROR(L18/($AJ18*24),"-"))</f>
        <v>0.14249999999999999</v>
      </c>
      <c r="AU18" s="68">
        <f>IF(OR(M19="",M19="Sem monitoramento"),"VAZIO",IFERROR(M19/($AJ18*24),"-"))</f>
        <v>0.14099999999999999</v>
      </c>
      <c r="AV18" s="68" t="e">
        <f>IF(OR(#REF!="",#REF!="Sem monitoramento"),"VAZIO",IFERROR(#REF!/($AJ18*24),"-"))</f>
        <v>#REF!</v>
      </c>
      <c r="AW18" s="68">
        <f t="shared" si="34"/>
        <v>0.16891666666666666</v>
      </c>
      <c r="AX18" s="68">
        <f t="shared" si="34"/>
        <v>0.17391666666666666</v>
      </c>
      <c r="AY18" s="68">
        <f>IF(OR(Q19="",Q19="Sem monitoramento"),"VAZIO",IFERROR(Q19/($AJ18*24),"-"))</f>
        <v>0.12933333333333333</v>
      </c>
      <c r="AZ18" s="68">
        <f t="shared" si="34"/>
        <v>0.18716666666666668</v>
      </c>
      <c r="BA18" s="68">
        <f t="shared" si="34"/>
        <v>0.17808333333333332</v>
      </c>
      <c r="BB18" s="68">
        <f t="shared" si="34"/>
        <v>0.136875</v>
      </c>
      <c r="BC18" s="68">
        <f t="shared" si="16"/>
        <v>0.13541666666666666</v>
      </c>
      <c r="BD18" s="68">
        <f t="shared" si="16"/>
        <v>0.11150000000000002</v>
      </c>
      <c r="BE18" s="68">
        <f t="shared" si="22"/>
        <v>0.19020833333333334</v>
      </c>
      <c r="BF18" s="68">
        <f t="shared" si="25"/>
        <v>0.145375</v>
      </c>
      <c r="BG18" s="68">
        <f t="shared" si="25"/>
        <v>0.20791666666666667</v>
      </c>
      <c r="BH18" s="68">
        <f t="shared" si="35"/>
        <v>0.20825000000000002</v>
      </c>
      <c r="BI18" s="68">
        <f t="shared" si="26"/>
        <v>0.21054166666666668</v>
      </c>
      <c r="BJ18" s="68">
        <f t="shared" si="20"/>
        <v>0.17983333333333335</v>
      </c>
      <c r="BK18" s="68">
        <f t="shared" si="18"/>
        <v>0.18716666666666668</v>
      </c>
      <c r="BL18" s="68">
        <f t="shared" si="10"/>
        <v>0.15904166666666666</v>
      </c>
      <c r="BM18" s="68">
        <f t="shared" si="11"/>
        <v>0.20383333333333334</v>
      </c>
      <c r="BN18" s="68">
        <f t="shared" si="12"/>
        <v>0.203375</v>
      </c>
      <c r="BO18" s="68">
        <f t="shared" si="19"/>
        <v>6.9541666666666668E-2</v>
      </c>
      <c r="BP18" s="70">
        <f t="shared" si="5"/>
        <v>0.16535555555555556</v>
      </c>
      <c r="BQ18" s="198">
        <f>$BQ$19</f>
        <v>0.168125</v>
      </c>
      <c r="BR18" s="90">
        <f t="shared" si="23"/>
        <v>16.8125</v>
      </c>
      <c r="BS18" s="73">
        <f t="shared" si="24"/>
        <v>-3.974999999999998E-2</v>
      </c>
      <c r="BT18" s="74">
        <f t="shared" si="8"/>
        <v>-2.7694444444444355E-3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47.5</v>
      </c>
      <c r="E19" s="63">
        <v>121.6</v>
      </c>
      <c r="F19" s="63">
        <v>220.6</v>
      </c>
      <c r="G19" s="355">
        <v>369.9</v>
      </c>
      <c r="H19" s="283">
        <v>334.1</v>
      </c>
      <c r="I19" s="319">
        <v>367.6</v>
      </c>
      <c r="J19" s="283">
        <v>223.5</v>
      </c>
      <c r="K19" s="63">
        <v>329.4</v>
      </c>
      <c r="L19" s="63">
        <v>260.39999999999998</v>
      </c>
      <c r="M19" s="63">
        <v>338.4</v>
      </c>
      <c r="N19" s="63">
        <v>354.4</v>
      </c>
      <c r="O19" s="63">
        <v>328</v>
      </c>
      <c r="P19" s="63">
        <v>297.3</v>
      </c>
      <c r="Q19" s="283">
        <v>310.39999999999998</v>
      </c>
      <c r="R19" s="63">
        <v>351.2</v>
      </c>
      <c r="S19" s="63">
        <v>310.5</v>
      </c>
      <c r="T19" s="63">
        <v>255.7</v>
      </c>
      <c r="U19" s="319">
        <v>380.1</v>
      </c>
      <c r="V19" s="283">
        <v>287.60000000000002</v>
      </c>
      <c r="W19" s="283">
        <v>370.4</v>
      </c>
      <c r="X19" s="316">
        <v>274.10000000000002</v>
      </c>
      <c r="Y19" s="511">
        <v>389</v>
      </c>
      <c r="Z19" s="319">
        <v>387.4</v>
      </c>
      <c r="AA19" s="568">
        <v>391.2</v>
      </c>
      <c r="AB19" s="323">
        <v>322.60000000000002</v>
      </c>
      <c r="AC19" s="15">
        <v>355.7</v>
      </c>
      <c r="AD19" s="283">
        <v>296.2</v>
      </c>
      <c r="AE19" s="221">
        <v>373.3</v>
      </c>
      <c r="AF19" s="193">
        <v>375</v>
      </c>
      <c r="AG19" s="15">
        <v>135.69999999999999</v>
      </c>
      <c r="AH19" s="278">
        <v>282.2</v>
      </c>
      <c r="AI19" s="335">
        <f t="shared" si="9"/>
        <v>9441.0000000000018</v>
      </c>
      <c r="AJ19" s="118">
        <v>80</v>
      </c>
      <c r="AK19" s="121">
        <f t="shared" si="21"/>
        <v>6.3831018518518516E-3</v>
      </c>
      <c r="AL19" s="67">
        <f t="shared" si="15"/>
        <v>2.4739583333333332E-2</v>
      </c>
      <c r="AM19" s="68">
        <f t="shared" si="28"/>
        <v>6.3333333333333325E-2</v>
      </c>
      <c r="AN19" s="68">
        <f t="shared" si="29"/>
        <v>0.11489583333333334</v>
      </c>
      <c r="AO19" s="68">
        <f t="shared" si="30"/>
        <v>0.19265625</v>
      </c>
      <c r="AP19" s="68">
        <f t="shared" si="31"/>
        <v>0.17401041666666667</v>
      </c>
      <c r="AQ19" s="68">
        <f t="shared" si="32"/>
        <v>0.19145833333333334</v>
      </c>
      <c r="AR19" s="68">
        <f t="shared" si="33"/>
        <v>0.11640625</v>
      </c>
      <c r="AS19" s="68">
        <f>IF(OR(K19="",K19="Sem monitoramento"),"VAZIO",IFERROR(K19/($AJ19*24),"-"))</f>
        <v>0.17156249999999998</v>
      </c>
      <c r="AT19" s="68">
        <f>IF(OR(L21="",L21="Sem monitoramento"),"VAZIO",IFERROR(L21/($AJ19*24),"-"))</f>
        <v>0.12864583333333332</v>
      </c>
      <c r="AU19" s="68" t="e">
        <f>IF(OR(#REF!="",#REF!="Sem monitoramento"),"VAZIO",IFERROR(#REF!/($AJ19*24),"-"))</f>
        <v>#REF!</v>
      </c>
      <c r="AV19" s="68">
        <f>IF(OR(N19="",N19="Sem monitoramento"),"VAZIO",IFERROR(N19/($AJ19*24),"-"))</f>
        <v>0.18458333333333332</v>
      </c>
      <c r="AW19" s="68">
        <f t="shared" si="34"/>
        <v>0.17083333333333334</v>
      </c>
      <c r="AX19" s="68">
        <f t="shared" si="34"/>
        <v>0.15484375</v>
      </c>
      <c r="AY19" s="68" t="e">
        <f>IF(OR(#REF!="",#REF!="Sem monitoramento"),"VAZIO",IFERROR(#REF!/($AJ19*24),"-"))</f>
        <v>#REF!</v>
      </c>
      <c r="AZ19" s="68">
        <f t="shared" si="34"/>
        <v>0.18291666666666667</v>
      </c>
      <c r="BA19" s="68">
        <f t="shared" si="34"/>
        <v>0.16171874999999999</v>
      </c>
      <c r="BB19" s="68">
        <f t="shared" si="34"/>
        <v>0.13317708333333333</v>
      </c>
      <c r="BC19" s="68">
        <f t="shared" ref="BC19:BC31" si="36">IF(OR(U19="",U19="Sem monitoramento"),"VAZIO",IFERROR(U19/($AJ19*24),"-"))</f>
        <v>0.19796875</v>
      </c>
      <c r="BD19" s="68" t="e">
        <f>IF(OR(#REF!="",#REF!="Sem monitoramento"),"VAZIO",IFERROR(#REF!/($AJ19*24),"-"))</f>
        <v>#REF!</v>
      </c>
      <c r="BE19" s="68">
        <f t="shared" si="22"/>
        <v>0.19291666666666665</v>
      </c>
      <c r="BF19" s="68">
        <f>IF(OR(X21="",X21="Sem monitoramento"),"VAZIO",IFERROR(X21/($AJ19*24),"-"))</f>
        <v>0.13286458333333334</v>
      </c>
      <c r="BG19" s="68">
        <f>IF(OR(Y17="",Y17="Sem monitoramento"),"VAZIO",IFERROR(Y17/($AJ19*24),"-"))</f>
        <v>0.24692708333333335</v>
      </c>
      <c r="BH19" s="68">
        <f t="shared" si="35"/>
        <v>0.20177083333333332</v>
      </c>
      <c r="BI19" s="68">
        <f t="shared" si="26"/>
        <v>0.20374999999999999</v>
      </c>
      <c r="BJ19" s="68">
        <f t="shared" si="20"/>
        <v>0.16802083333333334</v>
      </c>
      <c r="BK19" s="68">
        <f t="shared" si="18"/>
        <v>0.18526041666666665</v>
      </c>
      <c r="BL19" s="68">
        <f t="shared" si="10"/>
        <v>0.15427083333333333</v>
      </c>
      <c r="BM19" s="68">
        <f t="shared" si="11"/>
        <v>0.19442708333333333</v>
      </c>
      <c r="BN19" s="68">
        <f t="shared" si="12"/>
        <v>0.1953125</v>
      </c>
      <c r="BO19" s="68">
        <f t="shared" si="19"/>
        <v>7.0677083333333321E-2</v>
      </c>
      <c r="BP19" s="70">
        <f t="shared" si="5"/>
        <v>0.16390625000000003</v>
      </c>
      <c r="BQ19" s="180">
        <f>'FCs estimados em PVsyst'!Y17</f>
        <v>0.168125</v>
      </c>
      <c r="BR19" s="72">
        <f t="shared" si="23"/>
        <v>13.45</v>
      </c>
      <c r="BS19" s="73">
        <f t="shared" si="24"/>
        <v>-5.3229166666666661E-2</v>
      </c>
      <c r="BT19" s="74">
        <f t="shared" si="8"/>
        <v>-4.2187499999999656E-3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223">
        <v>65.2</v>
      </c>
      <c r="E20" s="63">
        <v>166.4</v>
      </c>
      <c r="F20" s="63">
        <v>281.5</v>
      </c>
      <c r="G20" s="319">
        <v>505.1</v>
      </c>
      <c r="H20" s="283">
        <v>450.5</v>
      </c>
      <c r="I20" s="319">
        <v>501.8</v>
      </c>
      <c r="J20" s="283">
        <v>282.10000000000002</v>
      </c>
      <c r="K20" s="316">
        <v>443.3</v>
      </c>
      <c r="L20" s="63">
        <v>335.6</v>
      </c>
      <c r="M20" s="63">
        <v>451.3</v>
      </c>
      <c r="N20" s="316">
        <v>488.2</v>
      </c>
      <c r="O20" s="63">
        <v>463.6</v>
      </c>
      <c r="P20" s="63">
        <v>393.4</v>
      </c>
      <c r="Q20" s="283">
        <v>388.3</v>
      </c>
      <c r="R20" s="63">
        <v>468.3</v>
      </c>
      <c r="S20" s="63">
        <v>413.2</v>
      </c>
      <c r="T20" s="63">
        <v>312.3</v>
      </c>
      <c r="U20" s="319">
        <v>515.20000000000005</v>
      </c>
      <c r="V20" s="519">
        <v>358</v>
      </c>
      <c r="W20" s="283">
        <v>473.1</v>
      </c>
      <c r="X20" s="283">
        <v>339.7</v>
      </c>
      <c r="Y20" s="319">
        <v>524.79999999999995</v>
      </c>
      <c r="Z20" s="511">
        <v>522.9</v>
      </c>
      <c r="AA20" s="568">
        <v>524.6</v>
      </c>
      <c r="AB20" s="366">
        <v>68.599999999999994</v>
      </c>
      <c r="AC20" s="282">
        <v>0</v>
      </c>
      <c r="AD20" s="282">
        <v>0</v>
      </c>
      <c r="AE20" s="282">
        <v>0</v>
      </c>
      <c r="AF20" s="504">
        <v>0</v>
      </c>
      <c r="AG20" s="354">
        <v>166.3</v>
      </c>
      <c r="AH20" s="278">
        <v>345.4</v>
      </c>
      <c r="AI20" s="335">
        <f t="shared" si="9"/>
        <v>10248.699999999999</v>
      </c>
      <c r="AJ20" s="118">
        <v>100</v>
      </c>
      <c r="AK20" s="121">
        <f t="shared" si="21"/>
        <v>6.5162037037037037E-3</v>
      </c>
      <c r="AL20" s="67">
        <f t="shared" si="15"/>
        <v>2.7166666666666669E-2</v>
      </c>
      <c r="AM20" s="68">
        <f t="shared" si="28"/>
        <v>6.933333333333333E-2</v>
      </c>
      <c r="AN20" s="68">
        <f t="shared" si="29"/>
        <v>0.11729166666666667</v>
      </c>
      <c r="AO20" s="68">
        <f t="shared" si="30"/>
        <v>0.21045833333333333</v>
      </c>
      <c r="AP20" s="68">
        <f t="shared" si="31"/>
        <v>0.18770833333333334</v>
      </c>
      <c r="AQ20" s="68">
        <f t="shared" si="32"/>
        <v>0.20908333333333334</v>
      </c>
      <c r="AR20" s="68">
        <f t="shared" si="33"/>
        <v>0.11754166666666667</v>
      </c>
      <c r="AS20" s="68">
        <f>IF(OR(K17="",K17="Sem monitoramento"),"VAZIO",IFERROR(K17/($AJ20*24),"-"))</f>
        <v>0.17083333333333334</v>
      </c>
      <c r="AT20" s="68">
        <f>IF(OR(L20="",L20="Sem monitoramento"),"VAZIO",IFERROR(L20/($AJ20*24),"-"))</f>
        <v>0.13983333333333334</v>
      </c>
      <c r="AU20" s="68">
        <f>IF(OR(M20="",M20="Sem monitoramento"),"VAZIO",IFERROR(M20/($AJ20*24),"-"))</f>
        <v>0.18804166666666666</v>
      </c>
      <c r="AV20" s="68">
        <f>IF(OR(N21="",N21="Sem monitoramento"),"VAZIO",IFERROR(N21/($AJ20*24),"-"))</f>
        <v>0.14491666666666667</v>
      </c>
      <c r="AW20" s="68">
        <f t="shared" ref="AW20:AZ22" si="37">IF(OR(O20="",O20="Sem monitoramento"),"VAZIO",IFERROR(O20/($AJ20*24),"-"))</f>
        <v>0.19316666666666668</v>
      </c>
      <c r="AX20" s="68">
        <f t="shared" si="37"/>
        <v>0.16391666666666665</v>
      </c>
      <c r="AY20" s="68">
        <f t="shared" si="37"/>
        <v>0.16179166666666667</v>
      </c>
      <c r="AZ20" s="68">
        <f t="shared" si="37"/>
        <v>0.19512499999999999</v>
      </c>
      <c r="BA20" s="68">
        <f>IF(OR(S21="",S21="Sem monitoramento"),"VAZIO",IFERROR(S21/($AJ20*24),"-"))</f>
        <v>0.12504166666666669</v>
      </c>
      <c r="BB20" s="68">
        <f t="shared" ref="BB20:BB31" si="38">IF(OR(T20="",T20="Sem monitoramento"),"VAZIO",IFERROR(T20/($AJ20*24),"-"))</f>
        <v>0.13012500000000002</v>
      </c>
      <c r="BC20" s="68">
        <f t="shared" si="36"/>
        <v>0.21466666666666667</v>
      </c>
      <c r="BD20" s="68">
        <f>IF(OR(V19="",V19="Sem monitoramento"),"VAZIO",IFERROR(V19/($AJ20*24),"-"))</f>
        <v>0.11983333333333335</v>
      </c>
      <c r="BE20" s="68">
        <f t="shared" si="22"/>
        <v>0.19712500000000002</v>
      </c>
      <c r="BF20" s="68">
        <f>IF(OR(X22="",X22="Sem monitoramento"),"VAZIO",IFERROR(X22/($AJ20*24),"-"))</f>
        <v>0.113875</v>
      </c>
      <c r="BG20" s="68">
        <f>IF(OR(Y18="",Y18="Sem monitoramento"),"VAZIO",IFERROR(Y18/($AJ20*24),"-"))</f>
        <v>0.20791666666666667</v>
      </c>
      <c r="BH20" s="68">
        <f t="shared" si="35"/>
        <v>0.21787499999999999</v>
      </c>
      <c r="BI20" s="68">
        <f t="shared" si="26"/>
        <v>0.21858333333333335</v>
      </c>
      <c r="BJ20" s="68">
        <f t="shared" si="20"/>
        <v>2.8583333333333332E-2</v>
      </c>
      <c r="BK20" s="68">
        <f t="shared" si="18"/>
        <v>0</v>
      </c>
      <c r="BL20" s="68">
        <f>IF(OR(AD21="",AD21="Sem monitoramento"),"VAZIO",IFERROR(AD21/($AJ20*24),"-"))</f>
        <v>0.11970833333333333</v>
      </c>
      <c r="BM20" s="68">
        <f t="shared" ref="BM20:BM31" si="39">IF(OR(AE20="",AE20="Sem monitoramento"),"VAZIO",IFERROR(AE20/($AJ20*24),"-"))</f>
        <v>0</v>
      </c>
      <c r="BN20" s="68">
        <f t="shared" ref="BN20:BN31" si="40">IF(OR(AF20="",AF20="Sem monitoramento"),"VAZIO",IFERROR(AF20/($AJ20*24),"-"))</f>
        <v>0</v>
      </c>
      <c r="BO20" s="68">
        <f t="shared" si="19"/>
        <v>6.9291666666666668E-2</v>
      </c>
      <c r="BP20" s="70">
        <f t="shared" si="5"/>
        <v>0.14234305555555554</v>
      </c>
      <c r="BQ20" s="198">
        <f t="shared" ref="BQ20:BQ30" si="41">$BQ$19</f>
        <v>0.168125</v>
      </c>
      <c r="BR20" s="72">
        <f t="shared" si="23"/>
        <v>16.8125</v>
      </c>
      <c r="BS20" s="73">
        <f t="shared" si="24"/>
        <v>-5.0833333333333328E-2</v>
      </c>
      <c r="BT20" s="74">
        <f t="shared" si="8"/>
        <v>-2.5781944444444455E-2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223">
        <v>49.9</v>
      </c>
      <c r="E21" s="283">
        <v>126.7</v>
      </c>
      <c r="F21" s="283">
        <v>200.2</v>
      </c>
      <c r="G21" s="355">
        <v>361.1</v>
      </c>
      <c r="H21" s="283">
        <v>328.4</v>
      </c>
      <c r="I21" s="319">
        <v>359.3</v>
      </c>
      <c r="J21" s="283">
        <v>202.2</v>
      </c>
      <c r="K21" s="63">
        <v>318.2</v>
      </c>
      <c r="L21" s="283">
        <v>247</v>
      </c>
      <c r="M21" s="316">
        <v>325.10000000000002</v>
      </c>
      <c r="N21" s="63">
        <v>347.8</v>
      </c>
      <c r="O21" s="63">
        <v>336.3</v>
      </c>
      <c r="P21" s="63">
        <v>290.8</v>
      </c>
      <c r="Q21" s="283">
        <v>291.2</v>
      </c>
      <c r="R21" s="63">
        <v>338.5</v>
      </c>
      <c r="S21" s="63">
        <v>300.10000000000002</v>
      </c>
      <c r="T21" s="283">
        <v>225.8</v>
      </c>
      <c r="U21" s="355">
        <v>368.9</v>
      </c>
      <c r="V21" s="283">
        <v>263</v>
      </c>
      <c r="W21" s="283">
        <v>350.4</v>
      </c>
      <c r="X21" s="283">
        <v>255.1</v>
      </c>
      <c r="Y21" s="355">
        <v>379.6</v>
      </c>
      <c r="Z21" s="319">
        <v>377.9</v>
      </c>
      <c r="AA21" s="580">
        <v>378.6</v>
      </c>
      <c r="AB21" s="323">
        <v>301.5</v>
      </c>
      <c r="AC21" s="221">
        <v>364.4</v>
      </c>
      <c r="AD21" s="283">
        <v>287.3</v>
      </c>
      <c r="AE21" s="221">
        <v>365.1</v>
      </c>
      <c r="AF21" s="388">
        <v>369.8</v>
      </c>
      <c r="AG21" s="221">
        <v>132.4</v>
      </c>
      <c r="AH21" s="507">
        <v>256.7</v>
      </c>
      <c r="AI21" s="335">
        <f t="shared" si="9"/>
        <v>9099.3000000000011</v>
      </c>
      <c r="AJ21" s="118">
        <v>100</v>
      </c>
      <c r="AK21" s="121">
        <f t="shared" si="21"/>
        <v>4.634259259259259E-3</v>
      </c>
      <c r="AL21" s="67">
        <f t="shared" si="15"/>
        <v>2.0791666666666667E-2</v>
      </c>
      <c r="AM21" s="68">
        <f t="shared" si="28"/>
        <v>5.2791666666666667E-2</v>
      </c>
      <c r="AN21" s="68">
        <f t="shared" si="29"/>
        <v>8.3416666666666667E-2</v>
      </c>
      <c r="AO21" s="68">
        <f t="shared" si="30"/>
        <v>0.15045833333333333</v>
      </c>
      <c r="AP21" s="68">
        <f t="shared" si="31"/>
        <v>0.13683333333333333</v>
      </c>
      <c r="AQ21" s="68">
        <f t="shared" si="32"/>
        <v>0.14970833333333333</v>
      </c>
      <c r="AR21" s="68">
        <f t="shared" si="33"/>
        <v>8.4249999999999992E-2</v>
      </c>
      <c r="AS21" s="68">
        <f t="shared" ref="AS21:AS31" si="42">IF(OR(K21="",K21="Sem monitoramento"),"VAZIO",IFERROR(K21/($AJ21*24),"-"))</f>
        <v>0.13258333333333333</v>
      </c>
      <c r="AT21" s="68">
        <f t="shared" ref="AT21:AT31" si="43">IF(OR(L21="",L21="Sem monitoramento"),"VAZIO",IFERROR(L21/($AJ21*24),"-"))</f>
        <v>0.10291666666666667</v>
      </c>
      <c r="AU21" s="68">
        <f>IF(OR(M19="",M19="Sem monitoramento"),"VAZIO",IFERROR(M19/($AJ21*24),"-"))</f>
        <v>0.14099999999999999</v>
      </c>
      <c r="AV21" s="68">
        <f>IF(OR(N22="",N22="Sem monitoramento"),"VAZIO",IFERROR(N22/($AJ21*24),"-"))</f>
        <v>0.19583333333333333</v>
      </c>
      <c r="AW21" s="68">
        <f t="shared" si="37"/>
        <v>0.140125</v>
      </c>
      <c r="AX21" s="68">
        <f t="shared" si="37"/>
        <v>0.12116666666666667</v>
      </c>
      <c r="AY21" s="68">
        <f t="shared" si="37"/>
        <v>0.12133333333333333</v>
      </c>
      <c r="AZ21" s="68">
        <f t="shared" si="37"/>
        <v>0.14104166666666668</v>
      </c>
      <c r="BA21" s="68">
        <f>IF(OR(S22="",S22="Sem monitoramento"),"VAZIO",IFERROR(S22/($AJ21*24),"-"))</f>
        <v>0.18316666666666667</v>
      </c>
      <c r="BB21" s="68">
        <f t="shared" si="38"/>
        <v>9.4083333333333338E-2</v>
      </c>
      <c r="BC21" s="68">
        <f t="shared" si="36"/>
        <v>0.15370833333333334</v>
      </c>
      <c r="BD21" s="68">
        <f>IF(OR(V21="",V21="Sem monitoramento"),"VAZIO",IFERROR(V21/($AJ21*24),"-"))</f>
        <v>0.10958333333333334</v>
      </c>
      <c r="BE21" s="68">
        <f t="shared" si="22"/>
        <v>0.14599999999999999</v>
      </c>
      <c r="BF21" s="68">
        <f>IF(OR(X23="",X23="Sem monitoramento"),"VAZIO",IFERROR(X23/($AJ21*24),"-"))</f>
        <v>9.6083333333333326E-2</v>
      </c>
      <c r="BG21" s="68">
        <f t="shared" ref="BG21:BG31" si="44">IF(OR(Y21="",Y21="Sem monitoramento"),"VAZIO",IFERROR(Y21/($AJ21*24),"-"))</f>
        <v>0.15816666666666668</v>
      </c>
      <c r="BH21" s="68">
        <f t="shared" si="35"/>
        <v>0.15745833333333331</v>
      </c>
      <c r="BI21" s="68">
        <f t="shared" si="26"/>
        <v>0.15775</v>
      </c>
      <c r="BJ21" s="68">
        <f>IF(OR(AB20="",AB20="Sem monitoramento"),"VAZIO",IFERROR(AB20/($AJ21*24),"-"))</f>
        <v>2.8583333333333332E-2</v>
      </c>
      <c r="BK21" s="68">
        <f t="shared" si="18"/>
        <v>0.15183333333333332</v>
      </c>
      <c r="BL21" s="68" t="e">
        <f>IF(OR(#REF!="",#REF!="Sem monitoramento"),"VAZIO",IFERROR(#REF!/($AJ21*24),"-"))</f>
        <v>#REF!</v>
      </c>
      <c r="BM21" s="68">
        <f t="shared" si="39"/>
        <v>0.15212500000000001</v>
      </c>
      <c r="BN21" s="68">
        <f t="shared" si="40"/>
        <v>0.15408333333333335</v>
      </c>
      <c r="BO21" s="68">
        <f t="shared" si="19"/>
        <v>5.5166666666666669E-2</v>
      </c>
      <c r="BP21" s="70">
        <f t="shared" si="5"/>
        <v>0.12637916666666668</v>
      </c>
      <c r="BQ21" s="198">
        <f t="shared" si="41"/>
        <v>0.168125</v>
      </c>
      <c r="BR21" s="72">
        <f t="shared" si="23"/>
        <v>16.8125</v>
      </c>
      <c r="BS21" s="73">
        <f t="shared" si="24"/>
        <v>-8.470833333333333E-2</v>
      </c>
      <c r="BT21" s="74">
        <f t="shared" si="8"/>
        <v>-4.1745833333333315E-2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62">
        <v>49.8</v>
      </c>
      <c r="E22" s="63">
        <v>110.9</v>
      </c>
      <c r="F22" s="63">
        <v>369.5</v>
      </c>
      <c r="G22" s="63">
        <v>442</v>
      </c>
      <c r="H22" s="63">
        <v>424.2</v>
      </c>
      <c r="I22" s="319">
        <v>491.5</v>
      </c>
      <c r="J22" s="63">
        <v>314.7</v>
      </c>
      <c r="K22" s="63">
        <v>450.5</v>
      </c>
      <c r="L22" s="63">
        <v>307.2</v>
      </c>
      <c r="M22" s="63">
        <v>390.9</v>
      </c>
      <c r="N22" s="63">
        <v>470</v>
      </c>
      <c r="O22" s="63">
        <v>350.8</v>
      </c>
      <c r="P22" s="63">
        <v>318.5</v>
      </c>
      <c r="Q22" s="283">
        <v>406.2</v>
      </c>
      <c r="R22" s="283">
        <v>468.9</v>
      </c>
      <c r="S22" s="283">
        <v>439.6</v>
      </c>
      <c r="T22" s="63">
        <v>263.5</v>
      </c>
      <c r="U22" s="319">
        <v>508.4</v>
      </c>
      <c r="V22" s="63">
        <v>400.4</v>
      </c>
      <c r="W22" s="283">
        <v>472.4</v>
      </c>
      <c r="X22" s="63">
        <v>273.3</v>
      </c>
      <c r="Y22" s="319">
        <v>519.20000000000005</v>
      </c>
      <c r="Z22" s="193">
        <v>522</v>
      </c>
      <c r="AA22" s="568">
        <v>511.8</v>
      </c>
      <c r="AB22" s="20">
        <v>466.7</v>
      </c>
      <c r="AC22" s="15">
        <v>469.5</v>
      </c>
      <c r="AD22" s="221">
        <v>472.4</v>
      </c>
      <c r="AE22" s="193">
        <v>514.20000000000005</v>
      </c>
      <c r="AF22" s="15">
        <v>496.4</v>
      </c>
      <c r="AG22" s="15">
        <v>254.5</v>
      </c>
      <c r="AH22" s="278">
        <v>471</v>
      </c>
      <c r="AI22" s="335">
        <f t="shared" si="9"/>
        <v>12420.9</v>
      </c>
      <c r="AJ22" s="118">
        <v>100</v>
      </c>
      <c r="AK22" s="121">
        <f t="shared" si="21"/>
        <v>8.5532407407407415E-3</v>
      </c>
      <c r="AL22" s="67">
        <f t="shared" si="15"/>
        <v>2.0749999999999998E-2</v>
      </c>
      <c r="AM22" s="68">
        <f t="shared" si="28"/>
        <v>4.6208333333333337E-2</v>
      </c>
      <c r="AN22" s="68">
        <f t="shared" si="29"/>
        <v>0.15395833333333334</v>
      </c>
      <c r="AO22" s="68">
        <f t="shared" si="30"/>
        <v>0.18416666666666667</v>
      </c>
      <c r="AP22" s="68">
        <f t="shared" si="31"/>
        <v>0.17674999999999999</v>
      </c>
      <c r="AQ22" s="68">
        <f t="shared" si="32"/>
        <v>0.20479166666666668</v>
      </c>
      <c r="AR22" s="68">
        <f t="shared" si="33"/>
        <v>0.13112499999999999</v>
      </c>
      <c r="AS22" s="68">
        <f t="shared" si="42"/>
        <v>0.18770833333333334</v>
      </c>
      <c r="AT22" s="68">
        <f t="shared" si="43"/>
        <v>0.128</v>
      </c>
      <c r="AU22" s="68" t="e">
        <f>IF(OR(#REF!="",#REF!="Sem monitoramento"),"VAZIO",IFERROR(#REF!/($AJ22*24),"-"))</f>
        <v>#REF!</v>
      </c>
      <c r="AV22" s="68">
        <f>IF(OR(N22="",N22="Sem monitoramento"),"VAZIO",IFERROR(N22/($AJ22*24),"-"))</f>
        <v>0.19583333333333333</v>
      </c>
      <c r="AW22" s="68">
        <f t="shared" si="37"/>
        <v>0.14616666666666667</v>
      </c>
      <c r="AX22" s="68">
        <f t="shared" si="37"/>
        <v>0.13270833333333334</v>
      </c>
      <c r="AY22" s="68">
        <f t="shared" si="37"/>
        <v>0.16924999999999998</v>
      </c>
      <c r="AZ22" s="68">
        <f t="shared" si="37"/>
        <v>0.19537499999999999</v>
      </c>
      <c r="BA22" s="68">
        <f t="shared" ref="BA22:BA31" si="45">IF(OR(S22="",S22="Sem monitoramento"),"VAZIO",IFERROR(S22/($AJ22*24),"-"))</f>
        <v>0.18316666666666667</v>
      </c>
      <c r="BB22" s="68">
        <f t="shared" si="38"/>
        <v>0.10979166666666666</v>
      </c>
      <c r="BC22" s="68">
        <f t="shared" si="36"/>
        <v>0.21183333333333332</v>
      </c>
      <c r="BD22" s="68">
        <f>IF(OR(V22="",V22="Sem monitoramento"),"VAZIO",IFERROR(V22/($AJ22*24),"-"))</f>
        <v>0.16683333333333333</v>
      </c>
      <c r="BE22" s="68">
        <f t="shared" si="22"/>
        <v>0.19683333333333333</v>
      </c>
      <c r="BF22" s="68">
        <f>IF(OR(X22="",X22="Sem monitoramento"),"VAZIO",IFERROR(X22/($AJ22*24),"-"))</f>
        <v>0.113875</v>
      </c>
      <c r="BG22" s="68">
        <f t="shared" si="44"/>
        <v>0.21633333333333335</v>
      </c>
      <c r="BH22" s="68">
        <f t="shared" si="35"/>
        <v>0.2175</v>
      </c>
      <c r="BI22" s="68">
        <f t="shared" si="26"/>
        <v>0.21325</v>
      </c>
      <c r="BJ22" s="68">
        <f>IF(OR(AB21="",AB21="Sem monitoramento"),"VAZIO",IFERROR(AB21/($AJ22*24),"-"))</f>
        <v>0.12562499999999999</v>
      </c>
      <c r="BK22" s="68">
        <f t="shared" si="18"/>
        <v>0.19562499999999999</v>
      </c>
      <c r="BL22" s="68">
        <f t="shared" ref="BL22:BL31" si="46">IF(OR(AD22="",AD22="Sem monitoramento"),"VAZIO",IFERROR(AD22/($AJ22*24),"-"))</f>
        <v>0.19683333333333333</v>
      </c>
      <c r="BM22" s="68">
        <f t="shared" si="39"/>
        <v>0.21425000000000002</v>
      </c>
      <c r="BN22" s="68">
        <f t="shared" si="40"/>
        <v>0.20683333333333331</v>
      </c>
      <c r="BO22" s="68">
        <f t="shared" si="19"/>
        <v>0.10604166666666667</v>
      </c>
      <c r="BP22" s="70">
        <f t="shared" si="5"/>
        <v>0.17251249999999999</v>
      </c>
      <c r="BQ22" s="198">
        <f t="shared" si="41"/>
        <v>0.168125</v>
      </c>
      <c r="BR22" s="72">
        <f t="shared" si="23"/>
        <v>16.8125</v>
      </c>
      <c r="BS22" s="73">
        <f t="shared" si="24"/>
        <v>-1.4166666666666661E-2</v>
      </c>
      <c r="BT22" s="74">
        <f t="shared" si="8"/>
        <v>4.3874999999999886E-3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43.7</v>
      </c>
      <c r="E23" s="63">
        <v>96.6</v>
      </c>
      <c r="F23" s="283">
        <v>333.8</v>
      </c>
      <c r="G23" s="63">
        <v>397.5</v>
      </c>
      <c r="H23" s="63">
        <v>384.9</v>
      </c>
      <c r="I23" s="319">
        <v>443.2</v>
      </c>
      <c r="J23" s="63">
        <v>280.8</v>
      </c>
      <c r="K23" s="63">
        <v>404.2</v>
      </c>
      <c r="L23" s="63">
        <v>272.60000000000002</v>
      </c>
      <c r="M23" s="316">
        <v>347.9</v>
      </c>
      <c r="N23" s="63">
        <v>420.5</v>
      </c>
      <c r="O23" s="316">
        <v>313.89999999999998</v>
      </c>
      <c r="P23" s="63">
        <v>286.2</v>
      </c>
      <c r="Q23" s="283">
        <v>374.3</v>
      </c>
      <c r="R23" s="63">
        <v>421.7</v>
      </c>
      <c r="S23" s="63">
        <v>398</v>
      </c>
      <c r="T23" s="63">
        <v>232.9</v>
      </c>
      <c r="U23" s="319">
        <v>459.4</v>
      </c>
      <c r="V23" s="63">
        <v>359.1</v>
      </c>
      <c r="W23" s="283">
        <v>427.4</v>
      </c>
      <c r="X23" s="63">
        <v>230.6</v>
      </c>
      <c r="Y23" s="319">
        <v>367.1</v>
      </c>
      <c r="Z23" s="193">
        <v>365</v>
      </c>
      <c r="AA23" s="568">
        <v>371.8</v>
      </c>
      <c r="AB23" s="20">
        <v>425.5</v>
      </c>
      <c r="AC23" s="15">
        <v>421.8</v>
      </c>
      <c r="AD23" s="15">
        <v>425</v>
      </c>
      <c r="AE23" s="193">
        <v>462.2</v>
      </c>
      <c r="AF23" s="15">
        <v>444.5</v>
      </c>
      <c r="AG23" s="15">
        <v>227.7</v>
      </c>
      <c r="AH23" s="278">
        <v>421.3</v>
      </c>
      <c r="AI23" s="335">
        <f t="shared" si="9"/>
        <v>10861.099999999999</v>
      </c>
      <c r="AJ23" s="118">
        <v>100</v>
      </c>
      <c r="AK23" s="121">
        <f t="shared" si="21"/>
        <v>7.7268518518518519E-3</v>
      </c>
      <c r="AL23" s="67">
        <f t="shared" si="15"/>
        <v>1.8208333333333333E-2</v>
      </c>
      <c r="AM23" s="68">
        <f t="shared" si="28"/>
        <v>4.0250000000000001E-2</v>
      </c>
      <c r="AN23" s="68">
        <f t="shared" si="29"/>
        <v>0.13908333333333334</v>
      </c>
      <c r="AO23" s="68">
        <f t="shared" si="30"/>
        <v>0.16562499999999999</v>
      </c>
      <c r="AP23" s="68">
        <f t="shared" si="31"/>
        <v>0.16037499999999999</v>
      </c>
      <c r="AQ23" s="68">
        <f t="shared" si="32"/>
        <v>0.18466666666666667</v>
      </c>
      <c r="AR23" s="68">
        <f t="shared" si="33"/>
        <v>0.11700000000000001</v>
      </c>
      <c r="AS23" s="68">
        <f t="shared" si="42"/>
        <v>0.16841666666666666</v>
      </c>
      <c r="AT23" s="68">
        <f t="shared" si="43"/>
        <v>0.11358333333333334</v>
      </c>
      <c r="AU23" s="68">
        <f>IF(OR(M22="",M22="Sem monitoramento"),"VAZIO",IFERROR(M22/($AJ23*24),"-"))</f>
        <v>0.16287499999999999</v>
      </c>
      <c r="AV23" s="68">
        <f>IF(OR(N23="",N23="Sem monitoramento"),"VAZIO",IFERROR(N23/($AJ23*24),"-"))</f>
        <v>0.17520833333333333</v>
      </c>
      <c r="AW23" s="68">
        <f>IF(OR(O20="",O20="Sem monitoramento"),"VAZIO",IFERROR(O20/($AJ23*24),"-"))</f>
        <v>0.19316666666666668</v>
      </c>
      <c r="AX23" s="68">
        <f t="shared" ref="AX23:AX31" si="47">IF(OR(P23="",P23="Sem monitoramento"),"VAZIO",IFERROR(P23/($AJ23*24),"-"))</f>
        <v>0.11924999999999999</v>
      </c>
      <c r="AY23" s="68">
        <f t="shared" ref="AY23:AY31" si="48">IF(OR(Q23="",Q23="Sem monitoramento"),"VAZIO",IFERROR(Q23/($AJ23*24),"-"))</f>
        <v>0.15595833333333334</v>
      </c>
      <c r="AZ23" s="68">
        <f t="shared" ref="AZ23:AZ31" si="49">IF(OR(R23="",R23="Sem monitoramento"),"VAZIO",IFERROR(R23/($AJ23*24),"-"))</f>
        <v>0.17570833333333333</v>
      </c>
      <c r="BA23" s="68">
        <f t="shared" si="45"/>
        <v>0.16583333333333333</v>
      </c>
      <c r="BB23" s="68">
        <f t="shared" si="38"/>
        <v>9.7041666666666665E-2</v>
      </c>
      <c r="BC23" s="68">
        <f t="shared" si="36"/>
        <v>0.19141666666666665</v>
      </c>
      <c r="BD23" s="68">
        <f>IF(OR(V23="",V23="Sem monitoramento"),"VAZIO",IFERROR(V23/($AJ23*24),"-"))</f>
        <v>0.14962500000000001</v>
      </c>
      <c r="BE23" s="68">
        <f t="shared" si="22"/>
        <v>0.17808333333333332</v>
      </c>
      <c r="BF23" s="68">
        <f>IF(OR(X23="",X23="Sem monitoramento"),"VAZIO",IFERROR(X23/($AJ23*24),"-"))</f>
        <v>9.6083333333333326E-2</v>
      </c>
      <c r="BG23" s="68">
        <f t="shared" si="44"/>
        <v>0.15295833333333334</v>
      </c>
      <c r="BH23" s="68">
        <f t="shared" si="35"/>
        <v>0.15208333333333332</v>
      </c>
      <c r="BI23" s="68">
        <f t="shared" si="26"/>
        <v>0.15491666666666667</v>
      </c>
      <c r="BJ23" s="68">
        <f t="shared" ref="BJ23:BJ31" si="50">IF(OR(AB23="",AB23="Sem monitoramento"),"VAZIO",IFERROR(AB23/($AJ23*24),"-"))</f>
        <v>0.17729166666666665</v>
      </c>
      <c r="BK23" s="68">
        <f t="shared" si="18"/>
        <v>0.17575000000000002</v>
      </c>
      <c r="BL23" s="68">
        <f t="shared" si="46"/>
        <v>0.17708333333333334</v>
      </c>
      <c r="BM23" s="68">
        <f t="shared" si="39"/>
        <v>0.19258333333333333</v>
      </c>
      <c r="BN23" s="68">
        <f t="shared" si="40"/>
        <v>0.18520833333333334</v>
      </c>
      <c r="BO23" s="68">
        <f t="shared" si="19"/>
        <v>9.4875000000000001E-2</v>
      </c>
      <c r="BP23" s="70">
        <f t="shared" si="5"/>
        <v>0.15084861111111109</v>
      </c>
      <c r="BQ23" s="198">
        <f t="shared" si="41"/>
        <v>0.168125</v>
      </c>
      <c r="BR23" s="72">
        <f t="shared" si="23"/>
        <v>16.8125</v>
      </c>
      <c r="BS23" s="73">
        <f t="shared" si="24"/>
        <v>-2.904166666666666E-2</v>
      </c>
      <c r="BT23" s="74">
        <f t="shared" si="8"/>
        <v>-1.7276388888888911E-2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172.7</v>
      </c>
      <c r="E24" s="63">
        <v>382.9</v>
      </c>
      <c r="F24" s="63">
        <v>1309.8</v>
      </c>
      <c r="G24" s="63">
        <v>1578</v>
      </c>
      <c r="H24" s="63">
        <f>559.8+410.6+545.1</f>
        <v>1515.5</v>
      </c>
      <c r="I24" s="319">
        <f>652.5+478+626.6</f>
        <v>1757.1</v>
      </c>
      <c r="J24" s="63">
        <v>1110.2</v>
      </c>
      <c r="K24" s="63">
        <v>1604.1</v>
      </c>
      <c r="L24" s="63">
        <v>1082.5</v>
      </c>
      <c r="M24" s="63">
        <v>1379.1</v>
      </c>
      <c r="N24" s="283">
        <v>1660</v>
      </c>
      <c r="O24" s="283">
        <v>1240</v>
      </c>
      <c r="P24" s="283">
        <v>1134.7</v>
      </c>
      <c r="Q24" s="283">
        <f>542.9+396.6+524.4</f>
        <v>1463.9</v>
      </c>
      <c r="R24" s="63">
        <v>1676.5</v>
      </c>
      <c r="S24" s="63">
        <v>1576</v>
      </c>
      <c r="T24" s="63">
        <v>921.4</v>
      </c>
      <c r="U24" s="319">
        <v>1811.3</v>
      </c>
      <c r="V24" s="31">
        <f>526.9+388.6+508.7</f>
        <v>1424.2</v>
      </c>
      <c r="W24" s="283">
        <v>1684.9</v>
      </c>
      <c r="X24" s="316">
        <v>960.3</v>
      </c>
      <c r="Y24" s="319">
        <v>1846.9</v>
      </c>
      <c r="Z24" s="193">
        <v>1888</v>
      </c>
      <c r="AA24" s="568">
        <f>674.2+507.9+657.5</f>
        <v>1839.6</v>
      </c>
      <c r="AB24" s="323">
        <v>1671</v>
      </c>
      <c r="AC24" s="221">
        <v>1674.6</v>
      </c>
      <c r="AD24" s="15">
        <v>1679.6</v>
      </c>
      <c r="AE24" s="193">
        <v>1824.2</v>
      </c>
      <c r="AF24" s="15">
        <v>1775.4</v>
      </c>
      <c r="AG24" s="15">
        <v>907.9</v>
      </c>
      <c r="AH24" s="278">
        <v>1682.3</v>
      </c>
      <c r="AI24" s="335">
        <f t="shared" si="9"/>
        <v>44234.600000000006</v>
      </c>
      <c r="AJ24" s="118">
        <v>383</v>
      </c>
      <c r="AK24" s="121">
        <f t="shared" si="21"/>
        <v>7.916304032492022E-3</v>
      </c>
      <c r="AL24" s="67">
        <f t="shared" si="15"/>
        <v>1.8788076588337685E-2</v>
      </c>
      <c r="AM24" s="68">
        <f t="shared" si="28"/>
        <v>4.1655787641427328E-2</v>
      </c>
      <c r="AN24" s="68">
        <f t="shared" si="29"/>
        <v>0.1424934725848564</v>
      </c>
      <c r="AO24" s="68">
        <f t="shared" si="30"/>
        <v>0.1716710182767624</v>
      </c>
      <c r="AP24" s="68">
        <f t="shared" si="31"/>
        <v>0.16487162750217579</v>
      </c>
      <c r="AQ24" s="68">
        <f t="shared" si="32"/>
        <v>0.19115535248041773</v>
      </c>
      <c r="AR24" s="68">
        <f t="shared" si="33"/>
        <v>0.12077893820713664</v>
      </c>
      <c r="AS24" s="68">
        <f t="shared" si="42"/>
        <v>0.17451044386422976</v>
      </c>
      <c r="AT24" s="68">
        <f t="shared" si="43"/>
        <v>0.11776544821583985</v>
      </c>
      <c r="AU24" s="68">
        <f t="shared" ref="AU24:AU31" si="51">IF(OR(M24="",M24="Sem monitoramento"),"VAZIO",IFERROR(M24/($AJ24*24),"-"))</f>
        <v>0.15003263707571801</v>
      </c>
      <c r="AV24" s="68">
        <f>IF(OR(N24="",N24="Sem monitoramento"),"VAZIO",IFERROR(N24/($AJ24*24),"-"))</f>
        <v>0.18059181897302001</v>
      </c>
      <c r="AW24" s="68">
        <f t="shared" ref="AW24:AW31" si="52">IF(OR(O24="",O24="Sem monitoramento"),"VAZIO",IFERROR(O24/($AJ24*24),"-"))</f>
        <v>0.13489991296779807</v>
      </c>
      <c r="AX24" s="68">
        <f t="shared" si="47"/>
        <v>0.12344429939077459</v>
      </c>
      <c r="AY24" s="68">
        <f t="shared" si="48"/>
        <v>0.15925805047867711</v>
      </c>
      <c r="AZ24" s="68">
        <f t="shared" si="49"/>
        <v>0.18238685813751088</v>
      </c>
      <c r="BA24" s="68">
        <f t="shared" si="45"/>
        <v>0.17145343777197564</v>
      </c>
      <c r="BB24" s="68">
        <f t="shared" si="38"/>
        <v>0.10023933855526544</v>
      </c>
      <c r="BC24" s="68">
        <f t="shared" si="36"/>
        <v>0.19705178416013924</v>
      </c>
      <c r="BD24" s="68" t="e">
        <f>IF(OR(#REF!="",#REF!="Sem monitoramento"),"VAZIO",IFERROR(#REF!/($AJ24*24),"-"))</f>
        <v>#REF!</v>
      </c>
      <c r="BE24" s="68">
        <f t="shared" si="22"/>
        <v>0.18330069625761533</v>
      </c>
      <c r="BF24" s="68" t="e">
        <f>IF(OR(#REF!="",#REF!="Sem monitoramento"),"VAZIO",IFERROR(#REF!/($AJ24*24),"-"))</f>
        <v>#REF!</v>
      </c>
      <c r="BG24" s="68">
        <f t="shared" si="44"/>
        <v>0.2009247171453438</v>
      </c>
      <c r="BH24" s="68">
        <f t="shared" si="35"/>
        <v>0.20539599651871193</v>
      </c>
      <c r="BI24" s="68">
        <f t="shared" si="26"/>
        <v>0.20013054830287205</v>
      </c>
      <c r="BJ24" s="68">
        <f t="shared" si="50"/>
        <v>0.18178851174934726</v>
      </c>
      <c r="BK24" s="68">
        <f t="shared" si="18"/>
        <v>0.18218015665796344</v>
      </c>
      <c r="BL24" s="68">
        <f t="shared" si="46"/>
        <v>0.18272410791993035</v>
      </c>
      <c r="BM24" s="68">
        <f t="shared" si="39"/>
        <v>0.19845517841601393</v>
      </c>
      <c r="BN24" s="68">
        <f t="shared" si="40"/>
        <v>0.19314621409921673</v>
      </c>
      <c r="BO24" s="68">
        <f t="shared" si="19"/>
        <v>9.8770670147954737E-2</v>
      </c>
      <c r="BP24" s="70">
        <f t="shared" si="5"/>
        <v>0.16040977661734843</v>
      </c>
      <c r="BQ24" s="198">
        <f t="shared" si="41"/>
        <v>0.168125</v>
      </c>
      <c r="BR24" s="72">
        <f>AJ24*BQ24</f>
        <v>64.391874999999999</v>
      </c>
      <c r="BS24" s="73">
        <f t="shared" si="24"/>
        <v>-2.5631527415143601E-2</v>
      </c>
      <c r="BT24" s="74">
        <f t="shared" si="8"/>
        <v>-7.7152233826515704E-3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44.4</v>
      </c>
      <c r="E25" s="63">
        <v>441.5</v>
      </c>
      <c r="F25" s="63">
        <v>489.9</v>
      </c>
      <c r="G25" s="63">
        <v>261.8</v>
      </c>
      <c r="H25" s="63">
        <v>432.7</v>
      </c>
      <c r="I25" s="63">
        <v>446.8</v>
      </c>
      <c r="J25" s="319">
        <v>512.20000000000005</v>
      </c>
      <c r="K25" s="63">
        <v>170.6</v>
      </c>
      <c r="L25" s="63">
        <v>146.9</v>
      </c>
      <c r="M25" s="63">
        <v>390.2</v>
      </c>
      <c r="N25" s="63">
        <v>471.5</v>
      </c>
      <c r="O25" s="63">
        <v>172.6</v>
      </c>
      <c r="P25" s="63">
        <v>166.6</v>
      </c>
      <c r="Q25" s="283">
        <v>478.6</v>
      </c>
      <c r="R25" s="63">
        <v>528.1</v>
      </c>
      <c r="S25" s="63">
        <v>549.29999999999995</v>
      </c>
      <c r="T25" s="63">
        <v>437.3</v>
      </c>
      <c r="U25" s="63">
        <v>553.20000000000005</v>
      </c>
      <c r="V25" s="283">
        <v>463</v>
      </c>
      <c r="W25" s="283">
        <v>369.1</v>
      </c>
      <c r="X25" s="63">
        <v>439.8</v>
      </c>
      <c r="Y25" s="319">
        <v>562.79999999999995</v>
      </c>
      <c r="Z25" s="148">
        <v>505.1</v>
      </c>
      <c r="AA25" s="568">
        <v>563.6</v>
      </c>
      <c r="AB25" s="526">
        <v>562.20000000000005</v>
      </c>
      <c r="AC25" s="15">
        <v>504.3</v>
      </c>
      <c r="AD25" s="15">
        <v>505</v>
      </c>
      <c r="AE25" s="15">
        <v>554.79999999999995</v>
      </c>
      <c r="AF25" s="15">
        <v>545.79999999999995</v>
      </c>
      <c r="AG25" s="15">
        <v>159.1</v>
      </c>
      <c r="AH25" s="278">
        <v>331.5</v>
      </c>
      <c r="AI25" s="335">
        <f t="shared" si="9"/>
        <v>12760.300000000001</v>
      </c>
      <c r="AJ25" s="118">
        <v>100</v>
      </c>
      <c r="AK25" s="121">
        <f t="shared" si="21"/>
        <v>1.1340277777777777E-2</v>
      </c>
      <c r="AL25" s="67">
        <f t="shared" si="15"/>
        <v>1.8499999999999999E-2</v>
      </c>
      <c r="AM25" s="68">
        <f t="shared" si="28"/>
        <v>0.18395833333333333</v>
      </c>
      <c r="AN25" s="68">
        <f t="shared" si="29"/>
        <v>0.204125</v>
      </c>
      <c r="AO25" s="68">
        <f t="shared" si="30"/>
        <v>0.10908333333333334</v>
      </c>
      <c r="AP25" s="68">
        <f t="shared" si="31"/>
        <v>0.18029166666666666</v>
      </c>
      <c r="AQ25" s="68">
        <f t="shared" si="32"/>
        <v>0.18616666666666667</v>
      </c>
      <c r="AR25" s="68">
        <f t="shared" si="33"/>
        <v>0.2134166666666667</v>
      </c>
      <c r="AS25" s="68">
        <f t="shared" si="42"/>
        <v>7.1083333333333332E-2</v>
      </c>
      <c r="AT25" s="68">
        <f t="shared" si="43"/>
        <v>6.1208333333333337E-2</v>
      </c>
      <c r="AU25" s="68">
        <f t="shared" si="51"/>
        <v>0.16258333333333333</v>
      </c>
      <c r="AV25" s="68" t="e">
        <f>IF(OR(#REF!="",#REF!="Sem monitoramento"),"VAZIO",IFERROR(#REF!/($AJ25*24),"-"))</f>
        <v>#REF!</v>
      </c>
      <c r="AW25" s="68">
        <f t="shared" si="52"/>
        <v>7.191666666666667E-2</v>
      </c>
      <c r="AX25" s="68">
        <f t="shared" si="47"/>
        <v>6.9416666666666668E-2</v>
      </c>
      <c r="AY25" s="68">
        <f t="shared" si="48"/>
        <v>0.19941666666666669</v>
      </c>
      <c r="AZ25" s="68">
        <f t="shared" si="49"/>
        <v>0.22004166666666666</v>
      </c>
      <c r="BA25" s="68">
        <f t="shared" si="45"/>
        <v>0.22887499999999997</v>
      </c>
      <c r="BB25" s="68">
        <f t="shared" si="38"/>
        <v>0.18220833333333333</v>
      </c>
      <c r="BC25" s="68">
        <f t="shared" si="36"/>
        <v>0.23050000000000001</v>
      </c>
      <c r="BD25" s="68">
        <f t="shared" ref="BD25:BD31" si="53">IF(OR(V25="",V25="Sem monitoramento"),"VAZIO",IFERROR(V25/($AJ25*24),"-"))</f>
        <v>0.19291666666666665</v>
      </c>
      <c r="BE25" s="68" t="e">
        <f>IF(OR(#REF!="",#REF!="Sem monitoramento"),"VAZIO",IFERROR(#REF!/($AJ25*24),"-"))</f>
        <v>#REF!</v>
      </c>
      <c r="BF25" s="68">
        <f t="shared" ref="BF25:BF31" si="54">IF(OR(X25="",X25="Sem monitoramento"),"VAZIO",IFERROR(X25/($AJ25*24),"-"))</f>
        <v>0.18325</v>
      </c>
      <c r="BG25" s="68">
        <f t="shared" si="44"/>
        <v>0.23449999999999999</v>
      </c>
      <c r="BH25" s="68">
        <f>IF(OR(Z26="",Z26="Sem monitoramento"),"VAZIO",IFERROR(Z26/($AJ25*24),"-"))</f>
        <v>0.19645833333333335</v>
      </c>
      <c r="BI25" s="68">
        <f t="shared" si="26"/>
        <v>0.23483333333333334</v>
      </c>
      <c r="BJ25" s="68">
        <f t="shared" si="50"/>
        <v>0.23425000000000001</v>
      </c>
      <c r="BK25" s="68">
        <f t="shared" si="18"/>
        <v>0.21012500000000001</v>
      </c>
      <c r="BL25" s="68">
        <f t="shared" si="46"/>
        <v>0.21041666666666667</v>
      </c>
      <c r="BM25" s="68">
        <f t="shared" si="39"/>
        <v>0.23116666666666666</v>
      </c>
      <c r="BN25" s="68">
        <f t="shared" si="40"/>
        <v>0.22741666666666666</v>
      </c>
      <c r="BO25" s="68">
        <f t="shared" si="19"/>
        <v>6.6291666666666665E-2</v>
      </c>
      <c r="BP25" s="70">
        <f t="shared" si="5"/>
        <v>0.17722638888888889</v>
      </c>
      <c r="BQ25" s="198">
        <f t="shared" si="41"/>
        <v>0.168125</v>
      </c>
      <c r="BR25" s="72">
        <f t="shared" si="23"/>
        <v>16.8125</v>
      </c>
      <c r="BS25" s="73">
        <f t="shared" si="24"/>
        <v>3.6000000000000004E-2</v>
      </c>
      <c r="BT25" s="74">
        <f t="shared" si="8"/>
        <v>9.101388888888895E-3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39.6</v>
      </c>
      <c r="E26" s="283">
        <v>175.7</v>
      </c>
      <c r="F26" s="63">
        <v>453.2</v>
      </c>
      <c r="G26" s="63">
        <v>316.89999999999998</v>
      </c>
      <c r="H26" s="63">
        <v>417.3</v>
      </c>
      <c r="I26" s="283">
        <v>440.6</v>
      </c>
      <c r="J26" s="63">
        <v>407.5</v>
      </c>
      <c r="K26" s="63">
        <v>424.1</v>
      </c>
      <c r="L26" s="63">
        <v>349.6</v>
      </c>
      <c r="M26" s="63">
        <v>443.7</v>
      </c>
      <c r="N26" s="316">
        <v>436.1</v>
      </c>
      <c r="O26" s="63">
        <v>146.5</v>
      </c>
      <c r="P26" s="63">
        <v>269.8</v>
      </c>
      <c r="Q26" s="283">
        <v>408.2</v>
      </c>
      <c r="R26" s="63">
        <v>423.6</v>
      </c>
      <c r="S26" s="63">
        <v>423.3</v>
      </c>
      <c r="T26" s="63">
        <v>323.10000000000002</v>
      </c>
      <c r="U26" s="63">
        <v>468</v>
      </c>
      <c r="V26" s="283">
        <v>298.8</v>
      </c>
      <c r="W26" s="519">
        <v>453.6</v>
      </c>
      <c r="X26" s="63">
        <v>367</v>
      </c>
      <c r="Y26" s="319">
        <v>497</v>
      </c>
      <c r="Z26" s="221">
        <v>471.5</v>
      </c>
      <c r="AA26" s="320">
        <v>492.1</v>
      </c>
      <c r="AB26" s="20">
        <v>486.9</v>
      </c>
      <c r="AC26" s="15">
        <v>405.9</v>
      </c>
      <c r="AD26" s="221">
        <v>446.1</v>
      </c>
      <c r="AE26" s="15">
        <v>396.5</v>
      </c>
      <c r="AF26" s="283">
        <v>455</v>
      </c>
      <c r="AG26" s="221">
        <v>190.4</v>
      </c>
      <c r="AH26" s="507">
        <v>490</v>
      </c>
      <c r="AI26" s="335">
        <f t="shared" si="9"/>
        <v>11817.6</v>
      </c>
      <c r="AJ26" s="118">
        <v>100</v>
      </c>
      <c r="AK26" s="121">
        <f t="shared" si="21"/>
        <v>1.049074074074074E-2</v>
      </c>
      <c r="AL26" s="67">
        <f t="shared" si="15"/>
        <v>1.6500000000000001E-2</v>
      </c>
      <c r="AM26" s="68">
        <f t="shared" ref="AM26:AO31" si="55">IF(OR(E26="",E26="Sem monitoramento"),"VAZIO",IFERROR(E26/($AJ26*24),"-"))</f>
        <v>7.3208333333333334E-2</v>
      </c>
      <c r="AN26" s="68">
        <f t="shared" si="55"/>
        <v>0.18883333333333333</v>
      </c>
      <c r="AO26" s="68">
        <f t="shared" si="55"/>
        <v>0.13204166666666667</v>
      </c>
      <c r="AP26" s="68" t="e">
        <f>IF(OR(#REF!="",#REF!="Sem monitoramento"),"VAZIO",IFERROR(#REF!/($AJ26*24),"-"))</f>
        <v>#REF!</v>
      </c>
      <c r="AQ26" s="68">
        <f t="shared" ref="AQ26:AR28" si="56">IF(OR(I26="",I26="Sem monitoramento"),"VAZIO",IFERROR(I26/($AJ26*24),"-"))</f>
        <v>0.18358333333333335</v>
      </c>
      <c r="AR26" s="68">
        <f t="shared" si="56"/>
        <v>0.16979166666666667</v>
      </c>
      <c r="AS26" s="68">
        <f t="shared" si="42"/>
        <v>0.17670833333333336</v>
      </c>
      <c r="AT26" s="68">
        <f t="shared" si="43"/>
        <v>0.14566666666666667</v>
      </c>
      <c r="AU26" s="68">
        <f t="shared" si="51"/>
        <v>0.18487499999999998</v>
      </c>
      <c r="AV26" s="68">
        <f>IF(OR(N25="",N25="Sem monitoramento"),"VAZIO",IFERROR(N25/($AJ26*24),"-"))</f>
        <v>0.19645833333333335</v>
      </c>
      <c r="AW26" s="68">
        <f t="shared" si="52"/>
        <v>6.1041666666666668E-2</v>
      </c>
      <c r="AX26" s="68">
        <f t="shared" si="47"/>
        <v>0.11241666666666666</v>
      </c>
      <c r="AY26" s="68">
        <f t="shared" si="48"/>
        <v>0.17008333333333334</v>
      </c>
      <c r="AZ26" s="68">
        <f t="shared" si="49"/>
        <v>0.17650000000000002</v>
      </c>
      <c r="BA26" s="68">
        <f t="shared" si="45"/>
        <v>0.176375</v>
      </c>
      <c r="BB26" s="68">
        <f t="shared" si="38"/>
        <v>0.13462500000000002</v>
      </c>
      <c r="BC26" s="68">
        <f t="shared" si="36"/>
        <v>0.19500000000000001</v>
      </c>
      <c r="BD26" s="68">
        <f t="shared" si="53"/>
        <v>0.1245</v>
      </c>
      <c r="BE26" s="68">
        <f>IF(OR(W25="",W25="Sem monitoramento"),"VAZIO",IFERROR(W25/($AJ26*24),"-"))</f>
        <v>0.15379166666666669</v>
      </c>
      <c r="BF26" s="68">
        <f t="shared" si="54"/>
        <v>0.15291666666666667</v>
      </c>
      <c r="BG26" s="68">
        <f t="shared" si="44"/>
        <v>0.20708333333333334</v>
      </c>
      <c r="BH26" s="68" t="e">
        <f>IF(OR(#REF!="",#REF!="Sem monitoramento"),"VAZIO",IFERROR(#REF!/($AJ26*24),"-"))</f>
        <v>#REF!</v>
      </c>
      <c r="BI26" s="68">
        <f t="shared" si="26"/>
        <v>0.20504166666666668</v>
      </c>
      <c r="BJ26" s="68">
        <f t="shared" si="50"/>
        <v>0.202875</v>
      </c>
      <c r="BK26" s="68">
        <f t="shared" si="18"/>
        <v>0.169125</v>
      </c>
      <c r="BL26" s="68">
        <f t="shared" si="46"/>
        <v>0.18587500000000001</v>
      </c>
      <c r="BM26" s="68">
        <f t="shared" si="39"/>
        <v>0.16520833333333335</v>
      </c>
      <c r="BN26" s="68">
        <f t="shared" si="40"/>
        <v>0.18958333333333333</v>
      </c>
      <c r="BO26" s="68">
        <f t="shared" si="19"/>
        <v>7.9333333333333339E-2</v>
      </c>
      <c r="BP26" s="70">
        <f t="shared" si="5"/>
        <v>0.16413333333333333</v>
      </c>
      <c r="BQ26" s="198">
        <f t="shared" si="41"/>
        <v>0.168125</v>
      </c>
      <c r="BR26" s="72">
        <f t="shared" si="23"/>
        <v>16.8125</v>
      </c>
      <c r="BS26" s="73">
        <f t="shared" si="24"/>
        <v>2.0708333333333329E-2</v>
      </c>
      <c r="BT26" s="74">
        <f t="shared" si="8"/>
        <v>-3.9916666666666711E-3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39.4</v>
      </c>
      <c r="E27" s="63">
        <v>247.2</v>
      </c>
      <c r="F27" s="63">
        <v>397.1</v>
      </c>
      <c r="G27" s="308">
        <v>335.7</v>
      </c>
      <c r="H27" s="316">
        <v>340.3</v>
      </c>
      <c r="I27" s="283">
        <v>313.5</v>
      </c>
      <c r="J27" s="283">
        <v>398.3</v>
      </c>
      <c r="K27" s="283">
        <v>93.9</v>
      </c>
      <c r="L27" s="63">
        <v>152.6</v>
      </c>
      <c r="M27" s="283">
        <v>375.7</v>
      </c>
      <c r="N27" s="283">
        <v>308.5</v>
      </c>
      <c r="O27" s="63">
        <v>79.8</v>
      </c>
      <c r="P27" s="63">
        <v>102.6</v>
      </c>
      <c r="Q27" s="283">
        <v>389.9</v>
      </c>
      <c r="R27" s="63">
        <v>341.9</v>
      </c>
      <c r="S27" s="63">
        <v>396.8</v>
      </c>
      <c r="T27" s="283">
        <v>345.5</v>
      </c>
      <c r="U27" s="283">
        <v>388.9</v>
      </c>
      <c r="V27" s="283">
        <v>346.3</v>
      </c>
      <c r="W27" s="283">
        <v>365.8</v>
      </c>
      <c r="X27" s="283">
        <v>399.6</v>
      </c>
      <c r="Y27" s="355">
        <v>455.1</v>
      </c>
      <c r="Z27" s="221">
        <v>417.6</v>
      </c>
      <c r="AA27" s="580">
        <v>443.3</v>
      </c>
      <c r="AB27" s="586">
        <v>184.9</v>
      </c>
      <c r="AC27" s="282">
        <v>0</v>
      </c>
      <c r="AD27" s="282">
        <v>0</v>
      </c>
      <c r="AE27" s="504">
        <v>0</v>
      </c>
      <c r="AF27" s="282">
        <v>0</v>
      </c>
      <c r="AG27" s="354">
        <v>9.6999999999999993</v>
      </c>
      <c r="AH27" s="278">
        <v>354.4</v>
      </c>
      <c r="AI27" s="335">
        <f t="shared" si="9"/>
        <v>8024.3</v>
      </c>
      <c r="AJ27" s="118">
        <v>100</v>
      </c>
      <c r="AK27" s="121">
        <f t="shared" si="21"/>
        <v>9.19212962962963E-3</v>
      </c>
      <c r="AL27" s="67">
        <f t="shared" si="15"/>
        <v>1.6416666666666666E-2</v>
      </c>
      <c r="AM27" s="68">
        <f t="shared" si="55"/>
        <v>0.10299999999999999</v>
      </c>
      <c r="AN27" s="68">
        <f t="shared" si="55"/>
        <v>0.16545833333333335</v>
      </c>
      <c r="AO27" s="68">
        <f t="shared" si="55"/>
        <v>0.139875</v>
      </c>
      <c r="AP27" s="68">
        <f>IF(OR(H26="",H26="Sem monitoramento"),"VAZIO",IFERROR(H26/($AJ27*24),"-"))</f>
        <v>0.173875</v>
      </c>
      <c r="AQ27" s="68">
        <f t="shared" si="56"/>
        <v>0.13062499999999999</v>
      </c>
      <c r="AR27" s="68">
        <f t="shared" si="56"/>
        <v>0.16595833333333335</v>
      </c>
      <c r="AS27" s="68">
        <f t="shared" si="42"/>
        <v>3.9125E-2</v>
      </c>
      <c r="AT27" s="68">
        <f t="shared" si="43"/>
        <v>6.3583333333333325E-2</v>
      </c>
      <c r="AU27" s="68">
        <f t="shared" si="51"/>
        <v>0.15654166666666666</v>
      </c>
      <c r="AV27" s="68">
        <f>IF(OR(N27="",N27="Sem monitoramento"),"VAZIO",IFERROR(N27/($AJ27*24),"-"))</f>
        <v>0.12854166666666667</v>
      </c>
      <c r="AW27" s="68">
        <f t="shared" si="52"/>
        <v>3.3250000000000002E-2</v>
      </c>
      <c r="AX27" s="68">
        <f t="shared" si="47"/>
        <v>4.2749999999999996E-2</v>
      </c>
      <c r="AY27" s="68">
        <f t="shared" si="48"/>
        <v>0.16245833333333332</v>
      </c>
      <c r="AZ27" s="68">
        <f t="shared" si="49"/>
        <v>0.14245833333333333</v>
      </c>
      <c r="BA27" s="68">
        <f t="shared" si="45"/>
        <v>0.16533333333333333</v>
      </c>
      <c r="BB27" s="68">
        <f t="shared" si="38"/>
        <v>0.14395833333333333</v>
      </c>
      <c r="BC27" s="68">
        <f t="shared" si="36"/>
        <v>0.16204166666666667</v>
      </c>
      <c r="BD27" s="68">
        <f t="shared" si="53"/>
        <v>0.14429166666666668</v>
      </c>
      <c r="BE27" s="68">
        <f>IF(OR(W27="",W27="Sem monitoramento"),"VAZIO",IFERROR(W27/($AJ27*24),"-"))</f>
        <v>0.15241666666666667</v>
      </c>
      <c r="BF27" s="68">
        <f t="shared" si="54"/>
        <v>0.16650000000000001</v>
      </c>
      <c r="BG27" s="68">
        <f t="shared" si="44"/>
        <v>0.18962500000000002</v>
      </c>
      <c r="BH27" s="68">
        <f>IF(OR(Z27="",Z27="Sem monitoramento"),"VAZIO",IFERROR(Z27/($AJ27*24),"-"))</f>
        <v>0.17400000000000002</v>
      </c>
      <c r="BI27" s="68">
        <f t="shared" si="26"/>
        <v>0.18470833333333334</v>
      </c>
      <c r="BJ27" s="68">
        <f t="shared" si="50"/>
        <v>7.7041666666666675E-2</v>
      </c>
      <c r="BK27" s="68">
        <f t="shared" si="18"/>
        <v>0</v>
      </c>
      <c r="BL27" s="68">
        <f t="shared" si="46"/>
        <v>0</v>
      </c>
      <c r="BM27" s="68">
        <f t="shared" si="39"/>
        <v>0</v>
      </c>
      <c r="BN27" s="68">
        <f t="shared" si="40"/>
        <v>0</v>
      </c>
      <c r="BO27" s="68">
        <f t="shared" si="19"/>
        <v>4.0416666666666665E-3</v>
      </c>
      <c r="BP27" s="70">
        <f t="shared" si="5"/>
        <v>0.11144861111111111</v>
      </c>
      <c r="BQ27" s="198">
        <f t="shared" si="41"/>
        <v>0.168125</v>
      </c>
      <c r="BR27" s="72">
        <f t="shared" si="23"/>
        <v>16.8125</v>
      </c>
      <c r="BS27" s="73">
        <f t="shared" si="24"/>
        <v>-2.6666666666666505E-3</v>
      </c>
      <c r="BT27" s="74">
        <f t="shared" si="8"/>
        <v>-5.6676388888888887E-2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38.4</v>
      </c>
      <c r="E28" s="63">
        <v>222</v>
      </c>
      <c r="F28" s="63">
        <v>425.2</v>
      </c>
      <c r="G28" s="308">
        <v>362.8</v>
      </c>
      <c r="H28" s="63">
        <v>320.5</v>
      </c>
      <c r="I28" s="283">
        <v>301.10000000000002</v>
      </c>
      <c r="J28" s="283">
        <v>394.7</v>
      </c>
      <c r="K28" s="283">
        <v>92.9</v>
      </c>
      <c r="L28" s="63">
        <v>150.6</v>
      </c>
      <c r="M28" s="63">
        <v>369.4</v>
      </c>
      <c r="N28" s="63">
        <v>326.10000000000002</v>
      </c>
      <c r="O28" s="63">
        <v>77.099999999999994</v>
      </c>
      <c r="P28" s="63">
        <v>100</v>
      </c>
      <c r="Q28" s="283">
        <v>388</v>
      </c>
      <c r="R28" s="63">
        <v>339.7</v>
      </c>
      <c r="S28" s="63">
        <v>386.5</v>
      </c>
      <c r="T28" s="283">
        <v>329.1</v>
      </c>
      <c r="U28" s="283">
        <v>409.8</v>
      </c>
      <c r="V28" s="283">
        <v>319.8</v>
      </c>
      <c r="W28" s="283">
        <v>349.9</v>
      </c>
      <c r="X28" s="283">
        <v>375.9</v>
      </c>
      <c r="Y28" s="355">
        <v>474</v>
      </c>
      <c r="Z28" s="283">
        <v>399.1</v>
      </c>
      <c r="AA28" s="355">
        <v>439.2</v>
      </c>
      <c r="AB28" s="387">
        <v>466.6</v>
      </c>
      <c r="AC28" s="283">
        <v>391.8</v>
      </c>
      <c r="AD28" s="15">
        <v>395.8</v>
      </c>
      <c r="AE28" s="388">
        <v>445.8</v>
      </c>
      <c r="AF28" s="15">
        <v>437</v>
      </c>
      <c r="AG28" s="221">
        <v>93.9</v>
      </c>
      <c r="AH28" s="278">
        <v>327.10000000000002</v>
      </c>
      <c r="AI28" s="335">
        <f t="shared" si="9"/>
        <v>9949.7999999999993</v>
      </c>
      <c r="AJ28" s="301">
        <v>100</v>
      </c>
      <c r="AK28" s="121">
        <f t="shared" si="21"/>
        <v>9.842592592592592E-3</v>
      </c>
      <c r="AL28" s="302">
        <f t="shared" si="15"/>
        <v>1.6E-2</v>
      </c>
      <c r="AM28" s="303">
        <f t="shared" si="55"/>
        <v>9.2499999999999999E-2</v>
      </c>
      <c r="AN28" s="303">
        <f t="shared" si="55"/>
        <v>0.17716666666666667</v>
      </c>
      <c r="AO28" s="303">
        <f t="shared" si="55"/>
        <v>0.15116666666666667</v>
      </c>
      <c r="AP28" s="303">
        <f>IF(OR(H28="",H28="Sem monitoramento"),"VAZIO",IFERROR(H28/($AJ28*24),"-"))</f>
        <v>0.13354166666666667</v>
      </c>
      <c r="AQ28" s="303">
        <f t="shared" si="56"/>
        <v>0.12545833333333334</v>
      </c>
      <c r="AR28" s="303">
        <f t="shared" si="56"/>
        <v>0.16445833333333332</v>
      </c>
      <c r="AS28" s="303">
        <f t="shared" si="42"/>
        <v>3.8708333333333338E-2</v>
      </c>
      <c r="AT28" s="303">
        <f t="shared" si="43"/>
        <v>6.275E-2</v>
      </c>
      <c r="AU28" s="303">
        <f t="shared" si="51"/>
        <v>0.15391666666666665</v>
      </c>
      <c r="AV28" s="303">
        <f>IF(OR(N28="",N28="Sem monitoramento"),"VAZIO",IFERROR(N28/($AJ28*24),"-"))</f>
        <v>0.135875</v>
      </c>
      <c r="AW28" s="303">
        <f t="shared" si="52"/>
        <v>3.2125000000000001E-2</v>
      </c>
      <c r="AX28" s="303">
        <f t="shared" si="47"/>
        <v>4.1666666666666664E-2</v>
      </c>
      <c r="AY28" s="303">
        <f t="shared" si="48"/>
        <v>0.16166666666666665</v>
      </c>
      <c r="AZ28" s="303">
        <f t="shared" si="49"/>
        <v>0.14154166666666665</v>
      </c>
      <c r="BA28" s="303">
        <f t="shared" si="45"/>
        <v>0.16104166666666667</v>
      </c>
      <c r="BB28" s="303">
        <f t="shared" si="38"/>
        <v>0.137125</v>
      </c>
      <c r="BC28" s="303">
        <f t="shared" si="36"/>
        <v>0.17075000000000001</v>
      </c>
      <c r="BD28" s="303">
        <f t="shared" si="53"/>
        <v>0.13325000000000001</v>
      </c>
      <c r="BE28" s="303">
        <f>IF(OR(W28="",W28="Sem monitoramento"),"VAZIO",IFERROR(W28/($AJ28*24),"-"))</f>
        <v>0.14579166666666665</v>
      </c>
      <c r="BF28" s="303">
        <f t="shared" si="54"/>
        <v>0.15662499999999999</v>
      </c>
      <c r="BG28" s="303">
        <f t="shared" si="44"/>
        <v>0.19750000000000001</v>
      </c>
      <c r="BH28" s="303">
        <f>IF(OR(Z28="",Z28="Sem monitoramento"),"VAZIO",IFERROR(Z28/($AJ28*24),"-"))</f>
        <v>0.16629166666666667</v>
      </c>
      <c r="BI28" s="303">
        <f t="shared" si="26"/>
        <v>0.183</v>
      </c>
      <c r="BJ28" s="303">
        <f t="shared" si="50"/>
        <v>0.19441666666666668</v>
      </c>
      <c r="BK28" s="303">
        <f t="shared" si="18"/>
        <v>0.16325000000000001</v>
      </c>
      <c r="BL28" s="303">
        <f t="shared" si="46"/>
        <v>0.16491666666666668</v>
      </c>
      <c r="BM28" s="303">
        <f t="shared" si="39"/>
        <v>0.18575</v>
      </c>
      <c r="BN28" s="303">
        <f t="shared" si="40"/>
        <v>0.18208333333333335</v>
      </c>
      <c r="BO28" s="303" t="e">
        <f>IF(OR(#REF!="",#REF!="Sem monitoramento"),"VAZIO",IFERROR(#REF!/($AJ28*24),"-"))</f>
        <v>#REF!</v>
      </c>
      <c r="BP28" s="304">
        <f>AI28/(AJ28*(COUNTA(D28:AG28)*24))</f>
        <v>0.13819166666666666</v>
      </c>
      <c r="BQ28" s="198">
        <f t="shared" si="41"/>
        <v>0.168125</v>
      </c>
      <c r="BR28" s="72">
        <f t="shared" si="23"/>
        <v>16.8125</v>
      </c>
      <c r="BS28" s="73">
        <f t="shared" si="24"/>
        <v>9.0416666666666701E-3</v>
      </c>
      <c r="BT28" s="74">
        <f>BP28-BQ28</f>
        <v>-2.993333333333334E-2</v>
      </c>
      <c r="BU28" s="15" t="s">
        <v>440</v>
      </c>
      <c r="BV28" s="3"/>
      <c r="BW28" s="2"/>
      <c r="BX28" s="2"/>
    </row>
    <row r="29" spans="2:76" ht="15" thickBot="1" x14ac:dyDescent="0.35">
      <c r="B29" s="775"/>
      <c r="C29" s="326" t="s">
        <v>289</v>
      </c>
      <c r="D29" s="223">
        <v>36</v>
      </c>
      <c r="E29" s="283">
        <v>193</v>
      </c>
      <c r="F29" s="283">
        <v>391.8</v>
      </c>
      <c r="G29" s="308">
        <v>336.1</v>
      </c>
      <c r="H29" s="283">
        <v>293.89999999999998</v>
      </c>
      <c r="I29" s="308">
        <v>257.5</v>
      </c>
      <c r="J29" s="308">
        <v>362.5</v>
      </c>
      <c r="K29" s="283">
        <v>89.6</v>
      </c>
      <c r="L29" s="283">
        <v>144.6</v>
      </c>
      <c r="M29" s="283">
        <v>335.1</v>
      </c>
      <c r="N29" s="283">
        <v>303.7</v>
      </c>
      <c r="O29" s="283">
        <v>73</v>
      </c>
      <c r="P29" s="283">
        <v>94.4</v>
      </c>
      <c r="Q29" s="283">
        <v>363.4</v>
      </c>
      <c r="R29" s="283">
        <v>306</v>
      </c>
      <c r="S29" s="283">
        <v>362.1</v>
      </c>
      <c r="T29" s="283">
        <v>296.5</v>
      </c>
      <c r="U29" s="283">
        <v>380.1</v>
      </c>
      <c r="V29" s="283">
        <v>278.39999999999998</v>
      </c>
      <c r="W29" s="283">
        <v>313.8</v>
      </c>
      <c r="X29" s="283">
        <v>339.9</v>
      </c>
      <c r="Y29" s="355">
        <v>414.5</v>
      </c>
      <c r="Z29" s="221">
        <v>358.6</v>
      </c>
      <c r="AA29" s="580">
        <v>389.7</v>
      </c>
      <c r="AB29" s="387">
        <v>413.8</v>
      </c>
      <c r="AC29" s="283">
        <v>356.8</v>
      </c>
      <c r="AD29" s="221">
        <v>370.2</v>
      </c>
      <c r="AE29" s="388">
        <v>401.8</v>
      </c>
      <c r="AF29" s="221">
        <v>395</v>
      </c>
      <c r="AG29" s="221">
        <v>97.5</v>
      </c>
      <c r="AH29" s="507">
        <v>284</v>
      </c>
      <c r="AI29" s="335">
        <f t="shared" si="9"/>
        <v>9033.2999999999993</v>
      </c>
      <c r="AJ29" s="119">
        <v>100</v>
      </c>
      <c r="AK29" s="121">
        <f t="shared" si="21"/>
        <v>9.0694444444444442E-3</v>
      </c>
      <c r="AL29" s="98">
        <f t="shared" si="15"/>
        <v>1.4999999999999999E-2</v>
      </c>
      <c r="AM29" s="99">
        <f t="shared" si="55"/>
        <v>8.0416666666666664E-2</v>
      </c>
      <c r="AN29" s="99">
        <f t="shared" si="55"/>
        <v>0.16325000000000001</v>
      </c>
      <c r="AO29" s="99">
        <f t="shared" si="55"/>
        <v>0.14004166666666668</v>
      </c>
      <c r="AP29" s="99">
        <f>IF(OR(H29="",H29="Sem monitoramento"),"VAZIO",IFERROR(H29/($AJ29*24),"-"))</f>
        <v>0.12245833333333332</v>
      </c>
      <c r="AQ29" s="99">
        <f>IF(OR(I29="",I29="Sem monitoramento"),"VAZIO",IFERROR(I29/($AJ29*24),"-"))</f>
        <v>0.10729166666666666</v>
      </c>
      <c r="AR29" s="99">
        <f>IF(OR(J30="",J30="Sem monitoramento"),"VAZIO",IFERROR(J30/($AJ29*24),"-"))</f>
        <v>0.10137500000000001</v>
      </c>
      <c r="AS29" s="99">
        <f t="shared" si="42"/>
        <v>3.7333333333333329E-2</v>
      </c>
      <c r="AT29" s="99">
        <f t="shared" si="43"/>
        <v>6.0249999999999998E-2</v>
      </c>
      <c r="AU29" s="99">
        <f t="shared" si="51"/>
        <v>0.139625</v>
      </c>
      <c r="AV29" s="99">
        <f>IF(OR(N29="",N29="Sem monitoramento"),"VAZIO",IFERROR(N29/($AJ29*24),"-"))</f>
        <v>0.12654166666666666</v>
      </c>
      <c r="AW29" s="99">
        <f t="shared" si="52"/>
        <v>3.0416666666666668E-2</v>
      </c>
      <c r="AX29" s="99">
        <f t="shared" si="47"/>
        <v>3.9333333333333338E-2</v>
      </c>
      <c r="AY29" s="99">
        <f t="shared" si="48"/>
        <v>0.15141666666666664</v>
      </c>
      <c r="AZ29" s="99">
        <f t="shared" si="49"/>
        <v>0.1275</v>
      </c>
      <c r="BA29" s="99">
        <f t="shared" si="45"/>
        <v>0.15087500000000001</v>
      </c>
      <c r="BB29" s="99">
        <f t="shared" si="38"/>
        <v>0.12354166666666666</v>
      </c>
      <c r="BC29" s="99">
        <f t="shared" si="36"/>
        <v>0.15837500000000002</v>
      </c>
      <c r="BD29" s="99">
        <f t="shared" si="53"/>
        <v>0.11599999999999999</v>
      </c>
      <c r="BE29" s="99">
        <f>IF(OR(W29="",W29="Sem monitoramento"),"VAZIO",IFERROR(W29/($AJ29*24),"-"))</f>
        <v>0.13075000000000001</v>
      </c>
      <c r="BF29" s="99">
        <f t="shared" si="54"/>
        <v>0.141625</v>
      </c>
      <c r="BG29" s="99">
        <f t="shared" si="44"/>
        <v>0.17270833333333332</v>
      </c>
      <c r="BH29" s="99">
        <f>IF(OR(Z29="",Z29="Sem monitoramento"),"VAZIO",IFERROR(Z29/($AJ29*24),"-"))</f>
        <v>0.14941666666666667</v>
      </c>
      <c r="BI29" s="99">
        <f t="shared" si="26"/>
        <v>0.16237499999999999</v>
      </c>
      <c r="BJ29" s="99">
        <f t="shared" si="50"/>
        <v>0.17241666666666666</v>
      </c>
      <c r="BK29" s="99">
        <f t="shared" si="18"/>
        <v>0.14866666666666667</v>
      </c>
      <c r="BL29" s="99">
        <f t="shared" si="46"/>
        <v>0.15425</v>
      </c>
      <c r="BM29" s="99">
        <f t="shared" si="39"/>
        <v>0.16741666666666666</v>
      </c>
      <c r="BN29" s="99">
        <f t="shared" si="40"/>
        <v>0.16458333333333333</v>
      </c>
      <c r="BO29" s="99">
        <f>IF(OR(AG28="",AG28="Sem monitoramento"),"VAZIO",IFERROR(AG28/($AJ29*24),"-"))</f>
        <v>3.9125E-2</v>
      </c>
      <c r="BP29" s="101">
        <f t="shared" si="5"/>
        <v>0.12546249999999998</v>
      </c>
      <c r="BQ29" s="198">
        <f t="shared" si="41"/>
        <v>0.168125</v>
      </c>
      <c r="BR29" s="72">
        <f t="shared" si="23"/>
        <v>16.8125</v>
      </c>
      <c r="BS29" s="73">
        <f t="shared" si="24"/>
        <v>-4.8749999999999905E-3</v>
      </c>
      <c r="BT29" s="74">
        <f t="shared" si="8"/>
        <v>-4.266250000000002E-2</v>
      </c>
      <c r="BU29" s="15" t="s">
        <v>112</v>
      </c>
      <c r="BV29" s="3"/>
      <c r="BW29" s="2"/>
      <c r="BX29" s="2"/>
    </row>
    <row r="30" spans="2:76" ht="15" thickBot="1" x14ac:dyDescent="0.35">
      <c r="B30" s="773" t="s">
        <v>290</v>
      </c>
      <c r="C30" s="326" t="s">
        <v>291</v>
      </c>
      <c r="D30" s="223">
        <v>46.6</v>
      </c>
      <c r="E30" s="223">
        <v>109.3</v>
      </c>
      <c r="F30" s="63">
        <v>298.2</v>
      </c>
      <c r="G30" s="319">
        <v>369.9</v>
      </c>
      <c r="H30" s="282">
        <v>133.6</v>
      </c>
      <c r="I30" s="576">
        <v>371.1</v>
      </c>
      <c r="J30" s="308">
        <v>243.3</v>
      </c>
      <c r="K30" s="283">
        <v>354.9</v>
      </c>
      <c r="L30" s="283">
        <v>263.39999999999998</v>
      </c>
      <c r="M30" s="283">
        <v>354.2</v>
      </c>
      <c r="N30" s="283">
        <v>358.9</v>
      </c>
      <c r="O30" s="283">
        <v>269.89999999999998</v>
      </c>
      <c r="P30" s="283">
        <v>218.4</v>
      </c>
      <c r="Q30" s="283">
        <v>305.3</v>
      </c>
      <c r="R30" s="283">
        <v>352.7</v>
      </c>
      <c r="S30" s="283">
        <v>318.89999999999998</v>
      </c>
      <c r="T30" s="283">
        <v>195.7</v>
      </c>
      <c r="U30" s="283">
        <v>375.9</v>
      </c>
      <c r="V30" s="283">
        <v>217.2</v>
      </c>
      <c r="W30" s="283">
        <v>292.60000000000002</v>
      </c>
      <c r="X30" s="282">
        <v>51.57</v>
      </c>
      <c r="Y30" s="580">
        <v>394.5</v>
      </c>
      <c r="Z30" s="580">
        <v>396.7</v>
      </c>
      <c r="AA30" s="584">
        <v>107.7</v>
      </c>
      <c r="AB30" s="323">
        <v>376</v>
      </c>
      <c r="AC30" s="15">
        <v>373.9</v>
      </c>
      <c r="AD30" s="221">
        <v>377</v>
      </c>
      <c r="AE30" s="388">
        <v>379.7</v>
      </c>
      <c r="AF30" s="193">
        <v>383.7</v>
      </c>
      <c r="AG30" s="15">
        <v>186.1</v>
      </c>
      <c r="AH30" s="278">
        <v>346.7</v>
      </c>
      <c r="AI30" s="335">
        <f t="shared" si="9"/>
        <v>8823.57</v>
      </c>
      <c r="AJ30" s="2">
        <v>100</v>
      </c>
      <c r="AK30" s="285">
        <f t="shared" si="21"/>
        <v>6.9027777777777776E-3</v>
      </c>
      <c r="AL30" s="98">
        <f t="shared" si="15"/>
        <v>1.9416666666666669E-2</v>
      </c>
      <c r="AM30" s="99">
        <f t="shared" si="55"/>
        <v>4.5541666666666668E-2</v>
      </c>
      <c r="AN30" s="99">
        <f t="shared" si="55"/>
        <v>0.12425</v>
      </c>
      <c r="AO30" s="99">
        <f t="shared" si="55"/>
        <v>0.15412499999999998</v>
      </c>
      <c r="AP30" s="99">
        <f>IF(OR(H30="",H30="Sem monitoramento"),"VAZIO",IFERROR(H30/($AJ30*24),"-"))</f>
        <v>5.5666666666666663E-2</v>
      </c>
      <c r="AQ30" s="99">
        <f>IF(OR(I30="",I30="Sem monitoramento"),"VAZIO",IFERROR(I30/($AJ30*24),"-"))</f>
        <v>0.15462500000000001</v>
      </c>
      <c r="AR30" s="99" t="e">
        <f>IF(OR(#REF!="",#REF!="Sem monitoramento"),"VAZIO",IFERROR(#REF!/($AJ30*24),"-"))</f>
        <v>#REF!</v>
      </c>
      <c r="AS30" s="99">
        <f t="shared" si="42"/>
        <v>0.14787499999999998</v>
      </c>
      <c r="AT30" s="99">
        <f t="shared" si="43"/>
        <v>0.10974999999999999</v>
      </c>
      <c r="AU30" s="99">
        <f t="shared" si="51"/>
        <v>0.14758333333333332</v>
      </c>
      <c r="AV30" s="99">
        <f>IF(OR(N30="",N30="Sem monitoramento"),"VAZIO",IFERROR(N30/($AJ30*24),"-"))</f>
        <v>0.14954166666666666</v>
      </c>
      <c r="AW30" s="99">
        <f t="shared" si="52"/>
        <v>0.11245833333333333</v>
      </c>
      <c r="AX30" s="99">
        <f t="shared" si="47"/>
        <v>9.0999999999999998E-2</v>
      </c>
      <c r="AY30" s="99">
        <f t="shared" si="48"/>
        <v>0.12720833333333334</v>
      </c>
      <c r="AZ30" s="99">
        <f t="shared" si="49"/>
        <v>0.14695833333333333</v>
      </c>
      <c r="BA30" s="99">
        <f t="shared" si="45"/>
        <v>0.13287499999999999</v>
      </c>
      <c r="BB30" s="99">
        <f t="shared" si="38"/>
        <v>8.1541666666666665E-2</v>
      </c>
      <c r="BC30" s="99">
        <f t="shared" si="36"/>
        <v>0.15662499999999999</v>
      </c>
      <c r="BD30" s="99">
        <f t="shared" si="53"/>
        <v>9.0499999999999997E-2</v>
      </c>
      <c r="BE30" s="99">
        <f>IF(OR(W30="",W30="Sem monitoramento"),"VAZIO",IFERROR(W30/($AJ30*24),"-"))</f>
        <v>0.12191666666666667</v>
      </c>
      <c r="BF30" s="99">
        <f t="shared" si="54"/>
        <v>2.14875E-2</v>
      </c>
      <c r="BG30" s="99">
        <f t="shared" si="44"/>
        <v>0.16437499999999999</v>
      </c>
      <c r="BH30" s="99">
        <f>IF(OR(Z30="",Z30="Sem monitoramento"),"VAZIO",IFERROR(Z30/($AJ30*24),"-"))</f>
        <v>0.16529166666666667</v>
      </c>
      <c r="BI30" s="99">
        <f t="shared" si="26"/>
        <v>4.4874999999999998E-2</v>
      </c>
      <c r="BJ30" s="99">
        <f t="shared" si="50"/>
        <v>0.15666666666666668</v>
      </c>
      <c r="BK30" s="99">
        <f t="shared" si="18"/>
        <v>0.15579166666666666</v>
      </c>
      <c r="BL30" s="99">
        <f t="shared" si="46"/>
        <v>0.15708333333333332</v>
      </c>
      <c r="BM30" s="99">
        <f t="shared" si="39"/>
        <v>0.15820833333333334</v>
      </c>
      <c r="BN30" s="286">
        <f t="shared" si="40"/>
        <v>0.15987499999999999</v>
      </c>
      <c r="BO30" s="286">
        <f t="shared" si="19"/>
        <v>7.7541666666666662E-2</v>
      </c>
      <c r="BP30" s="286">
        <f t="shared" si="5"/>
        <v>0.12254958333333332</v>
      </c>
      <c r="BQ30" s="198">
        <f t="shared" si="41"/>
        <v>0.168125</v>
      </c>
      <c r="BR30" s="72">
        <f t="shared" si="23"/>
        <v>16.8125</v>
      </c>
      <c r="BS30" s="73">
        <f t="shared" si="24"/>
        <v>-4.3874999999999997E-2</v>
      </c>
      <c r="BT30" s="74">
        <f t="shared" si="8"/>
        <v>-4.5575416666666674E-2</v>
      </c>
      <c r="BU30" s="2"/>
      <c r="BV30" s="3"/>
      <c r="BW30" s="2"/>
      <c r="BX30" s="2"/>
    </row>
    <row r="31" spans="2:76" ht="15" thickBot="1" x14ac:dyDescent="0.35">
      <c r="B31" s="777"/>
      <c r="C31" s="329" t="s">
        <v>563</v>
      </c>
      <c r="D31" s="224">
        <v>25.6</v>
      </c>
      <c r="E31" s="93">
        <v>76.8</v>
      </c>
      <c r="F31" s="93">
        <v>208.5</v>
      </c>
      <c r="G31" s="574">
        <v>290.89999999999998</v>
      </c>
      <c r="H31" s="575">
        <v>298.3</v>
      </c>
      <c r="I31" s="574">
        <v>289.7</v>
      </c>
      <c r="J31" s="115">
        <v>124.6</v>
      </c>
      <c r="K31" s="93">
        <v>267.7</v>
      </c>
      <c r="L31" s="93">
        <v>162.9</v>
      </c>
      <c r="M31" s="93">
        <v>276.5</v>
      </c>
      <c r="N31" s="93">
        <v>280.3</v>
      </c>
      <c r="O31" s="93">
        <v>198.8</v>
      </c>
      <c r="P31" s="93">
        <v>176.3</v>
      </c>
      <c r="Q31" s="318">
        <v>247.4</v>
      </c>
      <c r="R31" s="93">
        <v>278.7</v>
      </c>
      <c r="S31" s="93">
        <v>225.4</v>
      </c>
      <c r="T31" s="93">
        <v>238.2</v>
      </c>
      <c r="U31" s="22">
        <v>299.7</v>
      </c>
      <c r="V31" s="22">
        <v>203.5</v>
      </c>
      <c r="W31" s="318">
        <v>288.89999999999998</v>
      </c>
      <c r="X31" s="578">
        <v>97.93</v>
      </c>
      <c r="Y31" s="558">
        <v>312.3</v>
      </c>
      <c r="Z31" s="192">
        <v>315.5</v>
      </c>
      <c r="AA31" s="322">
        <v>313.17</v>
      </c>
      <c r="AB31" s="21">
        <v>276.3</v>
      </c>
      <c r="AC31" s="22">
        <v>282.89999999999998</v>
      </c>
      <c r="AD31" s="277">
        <v>270.7</v>
      </c>
      <c r="AE31" s="192">
        <v>305.5</v>
      </c>
      <c r="AF31" s="192">
        <v>304.10000000000002</v>
      </c>
      <c r="AG31" s="22">
        <v>97.9</v>
      </c>
      <c r="AH31" s="22">
        <v>247.5</v>
      </c>
      <c r="AI31" s="335">
        <f t="shared" si="9"/>
        <v>7282.5</v>
      </c>
      <c r="AJ31" s="2"/>
      <c r="AK31" s="285"/>
      <c r="AL31" s="286" t="str">
        <f t="shared" si="15"/>
        <v>-</v>
      </c>
      <c r="AM31" s="286" t="str">
        <f t="shared" si="55"/>
        <v>-</v>
      </c>
      <c r="AN31" s="286" t="str">
        <f t="shared" si="55"/>
        <v>-</v>
      </c>
      <c r="AO31" s="286" t="str">
        <f t="shared" si="55"/>
        <v>-</v>
      </c>
      <c r="AP31" s="286" t="str">
        <f>IF(OR(H31="",H31="Sem monitoramento"),"VAZIO",IFERROR(H31/($AJ31*24),"-"))</f>
        <v>-</v>
      </c>
      <c r="AQ31" s="286" t="str">
        <f>IF(OR(I31="",I31="Sem monitoramento"),"VAZIO",IFERROR(I31/($AJ31*24),"-"))</f>
        <v>-</v>
      </c>
      <c r="AR31" s="286" t="str">
        <f>IF(OR(J31="",J31="Sem monitoramento"),"VAZIO",IFERROR(J31/($AJ31*24),"-"))</f>
        <v>-</v>
      </c>
      <c r="AS31" s="286" t="str">
        <f t="shared" si="42"/>
        <v>-</v>
      </c>
      <c r="AT31" s="286" t="str">
        <f t="shared" si="43"/>
        <v>-</v>
      </c>
      <c r="AU31" s="286" t="str">
        <f t="shared" si="51"/>
        <v>-</v>
      </c>
      <c r="AV31" s="286" t="str">
        <f>IF(OR(N31="",N31="Sem monitoramento"),"VAZIO",IFERROR(N31/($AJ31*24),"-"))</f>
        <v>-</v>
      </c>
      <c r="AW31" s="286" t="str">
        <f t="shared" si="52"/>
        <v>-</v>
      </c>
      <c r="AX31" s="286" t="str">
        <f t="shared" si="47"/>
        <v>-</v>
      </c>
      <c r="AY31" s="286" t="str">
        <f t="shared" si="48"/>
        <v>-</v>
      </c>
      <c r="AZ31" s="286" t="str">
        <f t="shared" si="49"/>
        <v>-</v>
      </c>
      <c r="BA31" s="286" t="str">
        <f t="shared" si="45"/>
        <v>-</v>
      </c>
      <c r="BB31" s="286" t="str">
        <f t="shared" si="38"/>
        <v>-</v>
      </c>
      <c r="BC31" s="286" t="str">
        <f t="shared" si="36"/>
        <v>-</v>
      </c>
      <c r="BD31" s="286" t="str">
        <f t="shared" si="53"/>
        <v>-</v>
      </c>
      <c r="BE31" s="286" t="str">
        <f>IF(OR(W31="",W31="Sem monitoramento"),"VAZIO",IFERROR(W31/($AJ31*24),"-"))</f>
        <v>-</v>
      </c>
      <c r="BF31" s="286" t="str">
        <f t="shared" si="54"/>
        <v>-</v>
      </c>
      <c r="BG31" s="286" t="str">
        <f t="shared" si="44"/>
        <v>-</v>
      </c>
      <c r="BH31" s="286" t="str">
        <f>IF(OR(Z31="",Z31="Sem monitoramento"),"VAZIO",IFERROR(Z31/($AJ31*24),"-"))</f>
        <v>-</v>
      </c>
      <c r="BI31" s="286" t="str">
        <f t="shared" si="26"/>
        <v>-</v>
      </c>
      <c r="BJ31" s="286" t="str">
        <f t="shared" si="50"/>
        <v>-</v>
      </c>
      <c r="BK31" s="286" t="str">
        <f t="shared" si="18"/>
        <v>-</v>
      </c>
      <c r="BL31" s="286" t="str">
        <f t="shared" si="46"/>
        <v>-</v>
      </c>
      <c r="BM31" s="286" t="str">
        <f t="shared" si="39"/>
        <v>-</v>
      </c>
      <c r="BN31" s="286" t="str">
        <f t="shared" si="40"/>
        <v>-</v>
      </c>
      <c r="BO31" s="286" t="str">
        <f t="shared" si="19"/>
        <v>-</v>
      </c>
      <c r="BP31" s="286" t="e">
        <f t="shared" si="5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1134.7999999999997</v>
      </c>
      <c r="E32" s="103">
        <f>SUM(E5:E31)</f>
        <v>3486.9</v>
      </c>
      <c r="F32" s="103">
        <f>SUM(F5:F31)</f>
        <v>7919.5</v>
      </c>
      <c r="G32" s="103">
        <f>SUM(G5:G31)</f>
        <v>9551.2000000000007</v>
      </c>
      <c r="H32" s="103">
        <f t="shared" ref="H32:AH32" si="57">SUM(H5:H31)</f>
        <v>9207.4999999999982</v>
      </c>
      <c r="I32" s="103">
        <f t="shared" si="57"/>
        <v>10197.1</v>
      </c>
      <c r="J32" s="103">
        <f t="shared" si="57"/>
        <v>7534.9000000000005</v>
      </c>
      <c r="K32" s="103">
        <f t="shared" si="57"/>
        <v>8633.3000000000011</v>
      </c>
      <c r="L32" s="103">
        <f t="shared" si="57"/>
        <v>6506.3</v>
      </c>
      <c r="M32" s="103">
        <f t="shared" si="57"/>
        <v>9257.7000000000007</v>
      </c>
      <c r="N32" s="103">
        <f t="shared" si="57"/>
        <v>9765.4000000000015</v>
      </c>
      <c r="O32" s="103">
        <f t="shared" si="57"/>
        <v>7410.7000000000007</v>
      </c>
      <c r="P32" s="103">
        <f t="shared" si="57"/>
        <v>6588.4000000000005</v>
      </c>
      <c r="Q32" s="103">
        <f t="shared" si="57"/>
        <v>8876.1999999999989</v>
      </c>
      <c r="R32" s="103">
        <f t="shared" si="57"/>
        <v>10187.300000000001</v>
      </c>
      <c r="S32" s="103">
        <f t="shared" si="57"/>
        <v>8993.6</v>
      </c>
      <c r="T32" s="103">
        <f t="shared" si="57"/>
        <v>6831.1</v>
      </c>
      <c r="U32" s="103">
        <f t="shared" si="57"/>
        <v>10521.4</v>
      </c>
      <c r="V32" s="103">
        <f t="shared" si="57"/>
        <v>7702.9</v>
      </c>
      <c r="W32" s="103">
        <f t="shared" si="57"/>
        <v>9960.3999999999978</v>
      </c>
      <c r="X32" s="103">
        <f t="shared" si="57"/>
        <v>6770.7</v>
      </c>
      <c r="Y32" s="103">
        <f t="shared" si="57"/>
        <v>11133.199999999999</v>
      </c>
      <c r="Z32" s="103">
        <f t="shared" si="57"/>
        <v>11072.600000000002</v>
      </c>
      <c r="AA32" s="103">
        <f t="shared" si="57"/>
        <v>10833.970000000003</v>
      </c>
      <c r="AB32" s="103">
        <f t="shared" si="57"/>
        <v>9527.1999999999971</v>
      </c>
      <c r="AC32" s="103">
        <f t="shared" si="57"/>
        <v>9377.6999999999989</v>
      </c>
      <c r="AD32" s="103">
        <f t="shared" si="57"/>
        <v>8795.9</v>
      </c>
      <c r="AE32" s="103">
        <f t="shared" si="57"/>
        <v>10021.699999999999</v>
      </c>
      <c r="AF32" s="103">
        <f t="shared" si="57"/>
        <v>9907.2000000000025</v>
      </c>
      <c r="AG32" s="103">
        <f t="shared" si="57"/>
        <v>4663.7999999999993</v>
      </c>
      <c r="AH32" s="103">
        <f t="shared" si="57"/>
        <v>8986.6</v>
      </c>
      <c r="AI32" s="189">
        <f>SUM(AI5:AI31)</f>
        <v>261357.16999999998</v>
      </c>
      <c r="AJ32" s="104">
        <f>SUM(AJ5:AJ31)</f>
        <v>2329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261,357 MWh</v>
      </c>
      <c r="AJ33" s="2"/>
      <c r="AW33">
        <v>1000</v>
      </c>
      <c r="AX33">
        <v>1000</v>
      </c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8711,906 kWh</v>
      </c>
      <c r="AJ34" s="2"/>
      <c r="AK34" s="2"/>
      <c r="AL34" s="2"/>
      <c r="AM34" s="2"/>
      <c r="AV34">
        <v>900</v>
      </c>
      <c r="AW34">
        <v>100</v>
      </c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261357,18 kWh</v>
      </c>
      <c r="AJ35" s="2"/>
      <c r="AK35" s="2"/>
      <c r="AL35" s="2"/>
      <c r="AM35" s="2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261,357 MWh</v>
      </c>
    </row>
    <row r="37" spans="2:76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</row>
    <row r="38" spans="2:76" x14ac:dyDescent="0.3">
      <c r="AC38">
        <v>60.6</v>
      </c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6" x14ac:dyDescent="0.3">
      <c r="N40">
        <v>91151.5</v>
      </c>
      <c r="O40">
        <f>N41-N40</f>
        <v>734</v>
      </c>
      <c r="X40" s="102"/>
      <c r="AF40">
        <f>AF39-20.4</f>
        <v>53905.2</v>
      </c>
    </row>
    <row r="41" spans="2:76" x14ac:dyDescent="0.3">
      <c r="N41">
        <v>91885.5</v>
      </c>
      <c r="X41" s="102"/>
      <c r="AF41">
        <f>AF40-AD39</f>
        <v>263.19999999999709</v>
      </c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</row>
    <row r="44" spans="2:76" x14ac:dyDescent="0.3">
      <c r="B44" s="751" t="s">
        <v>6</v>
      </c>
      <c r="C44" s="18" t="s">
        <v>7</v>
      </c>
      <c r="D44" s="163">
        <f>D5+Agosto23!AF41</f>
        <v>48847.9</v>
      </c>
      <c r="E44" s="164">
        <f t="shared" ref="E44:F59" si="58">D44+E5</f>
        <v>48863.200000000004</v>
      </c>
      <c r="F44" s="164">
        <f t="shared" si="58"/>
        <v>48897.200000000004</v>
      </c>
      <c r="G44" s="165">
        <v>49036.4</v>
      </c>
      <c r="H44" s="166">
        <v>49076</v>
      </c>
      <c r="I44" s="163">
        <f t="shared" ref="I44:V59" si="59">H44+I5</f>
        <v>49124.9</v>
      </c>
      <c r="J44" s="163">
        <f t="shared" si="59"/>
        <v>49166.9</v>
      </c>
      <c r="K44" s="163">
        <f t="shared" si="59"/>
        <v>49214.1</v>
      </c>
      <c r="L44" s="163">
        <f t="shared" si="59"/>
        <v>49250.1</v>
      </c>
      <c r="M44" s="163">
        <f t="shared" si="59"/>
        <v>49298.6</v>
      </c>
      <c r="N44" s="163">
        <f t="shared" si="59"/>
        <v>49346</v>
      </c>
      <c r="O44" s="163">
        <f t="shared" si="59"/>
        <v>49393.599999999999</v>
      </c>
      <c r="P44" s="163">
        <f t="shared" si="59"/>
        <v>49429.4</v>
      </c>
      <c r="Q44" s="163">
        <f t="shared" si="59"/>
        <v>49473.4</v>
      </c>
      <c r="R44" s="163">
        <f t="shared" si="59"/>
        <v>49523.5</v>
      </c>
      <c r="S44" s="163">
        <f t="shared" si="59"/>
        <v>49564.800000000003</v>
      </c>
      <c r="T44" s="163">
        <f t="shared" si="59"/>
        <v>49602.700000000004</v>
      </c>
      <c r="U44" s="163">
        <f t="shared" si="59"/>
        <v>49650.100000000006</v>
      </c>
      <c r="V44" s="163">
        <f t="shared" si="59"/>
        <v>49681.3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</row>
    <row r="45" spans="2:76" x14ac:dyDescent="0.3">
      <c r="B45" s="752"/>
      <c r="C45" s="18" t="s">
        <v>8</v>
      </c>
      <c r="D45" s="163">
        <f>D6+Agosto23!AF42</f>
        <v>98800.1</v>
      </c>
      <c r="E45" s="164">
        <f t="shared" si="58"/>
        <v>98879.400000000009</v>
      </c>
      <c r="F45" s="164">
        <f t="shared" si="58"/>
        <v>99070.400000000009</v>
      </c>
      <c r="G45" s="165">
        <f>21775+78123.8</f>
        <v>99898.8</v>
      </c>
      <c r="H45" s="166">
        <f>21823+78322.8</f>
        <v>100145.8</v>
      </c>
      <c r="I45" s="163">
        <f t="shared" si="59"/>
        <v>100453.7</v>
      </c>
      <c r="J45" s="163">
        <f t="shared" si="59"/>
        <v>100678.2</v>
      </c>
      <c r="K45" s="163">
        <f t="shared" si="59"/>
        <v>100961</v>
      </c>
      <c r="L45" s="163">
        <f t="shared" si="59"/>
        <v>101167</v>
      </c>
      <c r="M45" s="163">
        <f t="shared" si="59"/>
        <v>101462.5</v>
      </c>
      <c r="N45" s="163">
        <f t="shared" si="59"/>
        <v>101547.7</v>
      </c>
      <c r="O45" s="163">
        <f t="shared" si="59"/>
        <v>101827.7</v>
      </c>
      <c r="P45" s="163">
        <f t="shared" si="59"/>
        <v>102027.7</v>
      </c>
      <c r="Q45" s="163">
        <f t="shared" si="59"/>
        <v>102228.9</v>
      </c>
      <c r="R45" s="163">
        <f t="shared" si="59"/>
        <v>102546.9</v>
      </c>
      <c r="S45" s="163">
        <f t="shared" si="59"/>
        <v>102757.59999999999</v>
      </c>
      <c r="T45" s="163">
        <f t="shared" si="59"/>
        <v>102949.99999999999</v>
      </c>
      <c r="U45" s="163">
        <f t="shared" si="59"/>
        <v>103254.39999999998</v>
      </c>
      <c r="V45" s="163">
        <f t="shared" si="59"/>
        <v>103422.99999999999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</row>
    <row r="46" spans="2:76" x14ac:dyDescent="0.3">
      <c r="B46" s="752"/>
      <c r="C46" s="18" t="s">
        <v>9</v>
      </c>
      <c r="D46" s="163">
        <f>D7+Agosto23!AF43</f>
        <v>69687.100000000006</v>
      </c>
      <c r="E46" s="164">
        <f t="shared" si="58"/>
        <v>69755.5</v>
      </c>
      <c r="F46" s="164">
        <f t="shared" si="58"/>
        <v>69908.100000000006</v>
      </c>
      <c r="G46" s="165">
        <v>70458.2</v>
      </c>
      <c r="H46" s="166">
        <v>70615.5</v>
      </c>
      <c r="I46" s="163">
        <f t="shared" si="59"/>
        <v>70835.399999999994</v>
      </c>
      <c r="J46" s="163">
        <f t="shared" si="59"/>
        <v>71018.2</v>
      </c>
      <c r="K46" s="163">
        <f t="shared" si="59"/>
        <v>71227.7</v>
      </c>
      <c r="L46" s="163">
        <f t="shared" si="59"/>
        <v>71384.399999999994</v>
      </c>
      <c r="M46" s="163">
        <f t="shared" si="59"/>
        <v>71601.399999999994</v>
      </c>
      <c r="N46" s="163">
        <f t="shared" si="59"/>
        <v>71815.399999999994</v>
      </c>
      <c r="O46" s="163">
        <f t="shared" si="59"/>
        <v>72023.299999999988</v>
      </c>
      <c r="P46" s="163">
        <f t="shared" si="59"/>
        <v>72168.599999999991</v>
      </c>
      <c r="Q46" s="163">
        <f t="shared" si="59"/>
        <v>72354.099999999991</v>
      </c>
      <c r="R46" s="163">
        <f t="shared" si="59"/>
        <v>72575.799999999988</v>
      </c>
      <c r="S46" s="163">
        <f t="shared" si="59"/>
        <v>72749.799999999988</v>
      </c>
      <c r="T46" s="163">
        <f t="shared" si="59"/>
        <v>72912.599999999991</v>
      </c>
      <c r="U46" s="163" t="e">
        <f>T46+#REF!</f>
        <v>#REF!</v>
      </c>
      <c r="V46" s="163" t="e">
        <f t="shared" si="59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</row>
    <row r="47" spans="2:76" x14ac:dyDescent="0.3">
      <c r="B47" s="752"/>
      <c r="C47" s="18" t="s">
        <v>10</v>
      </c>
      <c r="D47" s="163">
        <f>D8+Agosto23!AF44</f>
        <v>95635.199999999997</v>
      </c>
      <c r="E47" s="164">
        <f t="shared" si="58"/>
        <v>95674.7</v>
      </c>
      <c r="F47" s="164">
        <f t="shared" si="58"/>
        <v>95761.3</v>
      </c>
      <c r="G47" s="165">
        <v>96154</v>
      </c>
      <c r="H47" s="166">
        <v>96261.9</v>
      </c>
      <c r="I47" s="163">
        <f t="shared" si="59"/>
        <v>96386</v>
      </c>
      <c r="J47" s="163">
        <f t="shared" si="59"/>
        <v>96489.9</v>
      </c>
      <c r="K47" s="163">
        <f t="shared" si="59"/>
        <v>96609.5</v>
      </c>
      <c r="L47" s="163">
        <f t="shared" si="59"/>
        <v>96696.2</v>
      </c>
      <c r="M47" s="163">
        <f t="shared" si="59"/>
        <v>96820.099999999991</v>
      </c>
      <c r="N47" s="163">
        <f t="shared" si="59"/>
        <v>96941.799999999988</v>
      </c>
      <c r="O47" s="163">
        <f t="shared" si="59"/>
        <v>97059.9</v>
      </c>
      <c r="P47" s="163">
        <f t="shared" si="59"/>
        <v>97140.5</v>
      </c>
      <c r="Q47" s="163">
        <f t="shared" si="59"/>
        <v>97243.199999999997</v>
      </c>
      <c r="R47" s="163">
        <f t="shared" si="59"/>
        <v>97369.2</v>
      </c>
      <c r="S47" s="163">
        <f t="shared" si="59"/>
        <v>97467.9</v>
      </c>
      <c r="T47" s="163">
        <f t="shared" si="59"/>
        <v>97561.5</v>
      </c>
      <c r="U47" s="163" t="e">
        <f>T47+#REF!</f>
        <v>#REF!</v>
      </c>
      <c r="V47" s="163" t="e">
        <f t="shared" si="59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</row>
    <row r="48" spans="2:76" x14ac:dyDescent="0.3">
      <c r="B48" s="752"/>
      <c r="C48" s="18" t="s">
        <v>11</v>
      </c>
      <c r="D48" s="163">
        <f>D10+Agosto23!AF45</f>
        <v>18763.400000000001</v>
      </c>
      <c r="E48" s="164">
        <f t="shared" si="58"/>
        <v>18774.800000000003</v>
      </c>
      <c r="F48" s="164">
        <f t="shared" si="58"/>
        <v>18808.700000000004</v>
      </c>
      <c r="G48" s="165">
        <v>18957</v>
      </c>
      <c r="H48" s="166">
        <v>18998</v>
      </c>
      <c r="I48" s="163">
        <f t="shared" si="59"/>
        <v>19052.2</v>
      </c>
      <c r="J48" s="163">
        <f t="shared" si="59"/>
        <v>19091.3</v>
      </c>
      <c r="K48" s="163">
        <f t="shared" si="59"/>
        <v>19143.3</v>
      </c>
      <c r="L48" s="163">
        <f t="shared" si="59"/>
        <v>19176.2</v>
      </c>
      <c r="M48" s="163">
        <f t="shared" si="59"/>
        <v>19226.600000000002</v>
      </c>
      <c r="N48" s="163">
        <f t="shared" si="59"/>
        <v>19279.600000000002</v>
      </c>
      <c r="O48" s="163">
        <f t="shared" si="59"/>
        <v>19330.2</v>
      </c>
      <c r="P48" s="163">
        <f>O48+P10</f>
        <v>19390.900000000001</v>
      </c>
      <c r="Q48" s="163">
        <f t="shared" si="59"/>
        <v>19435</v>
      </c>
      <c r="R48" s="163">
        <f t="shared" si="59"/>
        <v>19491.599999999999</v>
      </c>
      <c r="S48" s="163">
        <f t="shared" si="59"/>
        <v>19531.399999999998</v>
      </c>
      <c r="T48" s="163">
        <f t="shared" si="59"/>
        <v>19570.699999999997</v>
      </c>
      <c r="U48" s="163">
        <f>T48+U7</f>
        <v>19782.199999999997</v>
      </c>
      <c r="V48" s="163">
        <f t="shared" si="59"/>
        <v>19817.499999999996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</row>
    <row r="49" spans="2:39" x14ac:dyDescent="0.3">
      <c r="B49" s="752"/>
      <c r="C49" s="18" t="s">
        <v>12</v>
      </c>
      <c r="D49" s="163" t="e">
        <f>#REF!+Agosto23!AF46</f>
        <v>#REF!</v>
      </c>
      <c r="E49" s="164" t="e">
        <f t="shared" si="58"/>
        <v>#REF!</v>
      </c>
      <c r="F49" s="164" t="e">
        <f t="shared" si="58"/>
        <v>#REF!</v>
      </c>
      <c r="G49" s="165">
        <v>58550</v>
      </c>
      <c r="H49" s="166">
        <v>58640</v>
      </c>
      <c r="I49" s="163">
        <f t="shared" si="59"/>
        <v>58716.2</v>
      </c>
      <c r="J49" s="163">
        <f t="shared" si="59"/>
        <v>58771.899999999994</v>
      </c>
      <c r="K49" s="163">
        <f t="shared" si="59"/>
        <v>58847.099999999991</v>
      </c>
      <c r="L49" s="163">
        <f t="shared" si="59"/>
        <v>58896.599999999991</v>
      </c>
      <c r="M49" s="163">
        <f t="shared" si="59"/>
        <v>58969.399999999994</v>
      </c>
      <c r="N49" s="163">
        <f t="shared" si="59"/>
        <v>59045.7</v>
      </c>
      <c r="O49" s="163">
        <f t="shared" si="59"/>
        <v>59105.7</v>
      </c>
      <c r="P49" s="163" t="e">
        <f>O49+#REF!</f>
        <v>#REF!</v>
      </c>
      <c r="Q49" s="163" t="e">
        <f t="shared" si="59"/>
        <v>#REF!</v>
      </c>
      <c r="R49" s="163" t="e">
        <f t="shared" si="59"/>
        <v>#REF!</v>
      </c>
      <c r="S49" s="163" t="e">
        <f t="shared" si="59"/>
        <v>#REF!</v>
      </c>
      <c r="T49" s="163" t="e">
        <f t="shared" si="59"/>
        <v>#REF!</v>
      </c>
      <c r="U49" s="163" t="e">
        <f>T49+U8</f>
        <v>#REF!</v>
      </c>
      <c r="V49" s="163" t="e">
        <f t="shared" si="59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</row>
    <row r="50" spans="2:39" x14ac:dyDescent="0.3">
      <c r="B50" s="752"/>
      <c r="C50" s="18" t="s">
        <v>13</v>
      </c>
      <c r="D50" s="163">
        <f>D11+Agosto23!AF47</f>
        <v>230001.2</v>
      </c>
      <c r="E50" s="164">
        <f t="shared" si="58"/>
        <v>230092.2</v>
      </c>
      <c r="F50" s="164">
        <f t="shared" si="58"/>
        <v>230314.80000000002</v>
      </c>
      <c r="G50" s="165">
        <v>231148.9</v>
      </c>
      <c r="H50" s="166">
        <v>231319.5</v>
      </c>
      <c r="I50" s="163">
        <f t="shared" si="59"/>
        <v>231653</v>
      </c>
      <c r="J50" s="163">
        <f t="shared" si="59"/>
        <v>231883.5</v>
      </c>
      <c r="K50" s="163">
        <f t="shared" si="59"/>
        <v>232193.3</v>
      </c>
      <c r="L50" s="163">
        <f t="shared" si="59"/>
        <v>232414.8</v>
      </c>
      <c r="M50" s="163">
        <f t="shared" si="59"/>
        <v>232696.09999999998</v>
      </c>
      <c r="N50" s="163">
        <f t="shared" si="59"/>
        <v>233019.49999999997</v>
      </c>
      <c r="O50" s="163">
        <f t="shared" si="59"/>
        <v>233281.19999999998</v>
      </c>
      <c r="P50" s="163">
        <f t="shared" si="59"/>
        <v>233494.19999999998</v>
      </c>
      <c r="Q50" s="163">
        <f t="shared" si="59"/>
        <v>233770.3</v>
      </c>
      <c r="R50" s="163">
        <f t="shared" si="59"/>
        <v>234111.3</v>
      </c>
      <c r="S50" s="163">
        <f t="shared" si="59"/>
        <v>234354.9</v>
      </c>
      <c r="T50" s="163">
        <f t="shared" si="59"/>
        <v>234546.8</v>
      </c>
      <c r="U50" s="163">
        <f t="shared" si="59"/>
        <v>234889.19999999998</v>
      </c>
      <c r="V50" s="163">
        <f t="shared" si="59"/>
        <v>235152.99999999997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</row>
    <row r="51" spans="2:39" x14ac:dyDescent="0.3">
      <c r="B51" s="753"/>
      <c r="C51" s="18" t="s">
        <v>14</v>
      </c>
      <c r="D51" s="163">
        <f>D12+Agosto23!AF48</f>
        <v>633.29999999999995</v>
      </c>
      <c r="E51" s="164">
        <f t="shared" si="58"/>
        <v>694</v>
      </c>
      <c r="F51" s="164">
        <f t="shared" si="58"/>
        <v>847.4</v>
      </c>
      <c r="G51" s="165">
        <v>1440</v>
      </c>
      <c r="H51" s="166">
        <v>1620</v>
      </c>
      <c r="I51" s="163">
        <f t="shared" si="59"/>
        <v>1875.2</v>
      </c>
      <c r="J51" s="163">
        <f t="shared" si="59"/>
        <v>2042.6000000000001</v>
      </c>
      <c r="K51" s="163">
        <f t="shared" si="59"/>
        <v>2285.8000000000002</v>
      </c>
      <c r="L51" s="163">
        <f t="shared" si="59"/>
        <v>2464.9</v>
      </c>
      <c r="M51" s="163">
        <f t="shared" si="59"/>
        <v>2704.3</v>
      </c>
      <c r="N51" s="163">
        <f t="shared" si="59"/>
        <v>2957.7000000000003</v>
      </c>
      <c r="O51" s="163">
        <f t="shared" si="59"/>
        <v>3196.7000000000003</v>
      </c>
      <c r="P51" s="163">
        <f t="shared" si="59"/>
        <v>3376.7000000000003</v>
      </c>
      <c r="Q51" s="163">
        <f t="shared" si="59"/>
        <v>3555.7000000000003</v>
      </c>
      <c r="R51" s="163">
        <f t="shared" si="59"/>
        <v>3815.7000000000003</v>
      </c>
      <c r="S51" s="163">
        <f t="shared" si="59"/>
        <v>3994.7000000000003</v>
      </c>
      <c r="T51" s="163">
        <f t="shared" si="59"/>
        <v>4139.7000000000007</v>
      </c>
      <c r="U51" s="163">
        <f t="shared" si="59"/>
        <v>4394.7000000000007</v>
      </c>
      <c r="V51" s="163">
        <f t="shared" si="59"/>
        <v>4544.7000000000007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</row>
    <row r="52" spans="2:39" x14ac:dyDescent="0.3">
      <c r="B52" s="751" t="s">
        <v>16</v>
      </c>
      <c r="C52" s="18" t="s">
        <v>17</v>
      </c>
      <c r="D52" s="163">
        <f>D13+Agosto23!AF49</f>
        <v>136982</v>
      </c>
      <c r="E52" s="164">
        <f t="shared" si="58"/>
        <v>137086.29999999999</v>
      </c>
      <c r="F52" s="164">
        <f t="shared" si="58"/>
        <v>137331.5</v>
      </c>
      <c r="G52" s="165">
        <v>138545</v>
      </c>
      <c r="H52" s="166">
        <v>138937</v>
      </c>
      <c r="I52" s="163">
        <f t="shared" si="59"/>
        <v>139392.79999999999</v>
      </c>
      <c r="J52" s="163">
        <f t="shared" si="59"/>
        <v>139665.79999999999</v>
      </c>
      <c r="K52" s="163">
        <f t="shared" si="59"/>
        <v>140084.09999999998</v>
      </c>
      <c r="L52" s="163">
        <f t="shared" si="59"/>
        <v>140364.79999999999</v>
      </c>
      <c r="M52" s="163">
        <f t="shared" si="59"/>
        <v>140766.69999999998</v>
      </c>
      <c r="N52" s="163">
        <f t="shared" si="59"/>
        <v>141215.99999999997</v>
      </c>
      <c r="O52" s="163">
        <f t="shared" si="59"/>
        <v>141634.19999999998</v>
      </c>
      <c r="P52" s="163">
        <f t="shared" si="59"/>
        <v>141944.09999999998</v>
      </c>
      <c r="Q52" s="163">
        <f t="shared" si="59"/>
        <v>142253.49999999997</v>
      </c>
      <c r="R52" s="163">
        <f t="shared" si="59"/>
        <v>142727.99999999997</v>
      </c>
      <c r="S52" s="163">
        <f t="shared" si="59"/>
        <v>143013.59999999998</v>
      </c>
      <c r="T52" s="163">
        <f t="shared" si="59"/>
        <v>143266.59999999998</v>
      </c>
      <c r="U52" s="163">
        <f t="shared" si="59"/>
        <v>143717.79999999999</v>
      </c>
      <c r="V52" s="163">
        <f t="shared" si="59"/>
        <v>143985.4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</row>
    <row r="53" spans="2:39" x14ac:dyDescent="0.3">
      <c r="B53" s="752"/>
      <c r="C53" s="18" t="s">
        <v>18</v>
      </c>
      <c r="D53" s="163">
        <f>D14+Agosto23!AF50</f>
        <v>127320.8</v>
      </c>
      <c r="E53" s="164">
        <f t="shared" si="58"/>
        <v>127441.8</v>
      </c>
      <c r="F53" s="164">
        <f t="shared" si="58"/>
        <v>127743.90000000001</v>
      </c>
      <c r="G53" s="165">
        <v>128878</v>
      </c>
      <c r="H53" s="166">
        <v>129112</v>
      </c>
      <c r="I53" s="163">
        <f t="shared" si="59"/>
        <v>129581.3</v>
      </c>
      <c r="J53" s="163">
        <f t="shared" si="59"/>
        <v>129901.8</v>
      </c>
      <c r="K53" s="163">
        <f t="shared" si="59"/>
        <v>130334.2</v>
      </c>
      <c r="L53" s="163">
        <f t="shared" si="59"/>
        <v>130638.5</v>
      </c>
      <c r="M53" s="163">
        <f t="shared" si="59"/>
        <v>131024</v>
      </c>
      <c r="N53" s="163">
        <f t="shared" si="59"/>
        <v>131479.5</v>
      </c>
      <c r="O53" s="163">
        <f>N53+O14</f>
        <v>131848.1</v>
      </c>
      <c r="P53" s="163">
        <f t="shared" si="59"/>
        <v>132144.20000000001</v>
      </c>
      <c r="Q53" s="163">
        <f t="shared" si="59"/>
        <v>132537.80000000002</v>
      </c>
      <c r="R53" s="163">
        <f t="shared" si="59"/>
        <v>133016.50000000003</v>
      </c>
      <c r="S53" s="163">
        <f t="shared" si="59"/>
        <v>133347.30000000002</v>
      </c>
      <c r="T53" s="163" t="e">
        <f>S53+#REF!</f>
        <v>#REF!</v>
      </c>
      <c r="U53" s="163" t="e">
        <f>T53+U14</f>
        <v>#REF!</v>
      </c>
      <c r="V53" s="163" t="e">
        <f t="shared" si="59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</row>
    <row r="54" spans="2:39" x14ac:dyDescent="0.3">
      <c r="B54" s="752"/>
      <c r="C54" s="18" t="s">
        <v>19</v>
      </c>
      <c r="D54" s="163">
        <f>D15+Agosto23!AF51</f>
        <v>37713.9</v>
      </c>
      <c r="E54" s="164">
        <f t="shared" si="58"/>
        <v>37745.200000000004</v>
      </c>
      <c r="F54" s="164">
        <f t="shared" si="58"/>
        <v>37830.100000000006</v>
      </c>
      <c r="G54" s="165">
        <v>38160</v>
      </c>
      <c r="H54" s="166">
        <v>38222</v>
      </c>
      <c r="I54" s="163">
        <f t="shared" si="59"/>
        <v>38346.6</v>
      </c>
      <c r="J54" s="163">
        <f t="shared" si="59"/>
        <v>38435.9</v>
      </c>
      <c r="K54" s="163">
        <f t="shared" si="59"/>
        <v>38552.1</v>
      </c>
      <c r="L54" s="163">
        <f t="shared" si="59"/>
        <v>38635.5</v>
      </c>
      <c r="M54" s="163">
        <f t="shared" si="59"/>
        <v>38741.1</v>
      </c>
      <c r="N54" s="163">
        <f t="shared" si="59"/>
        <v>38861.5</v>
      </c>
      <c r="O54" s="163">
        <f>N54+O15</f>
        <v>38958.6</v>
      </c>
      <c r="P54" s="163">
        <f t="shared" si="59"/>
        <v>39041.699999999997</v>
      </c>
      <c r="Q54" s="163">
        <f t="shared" si="59"/>
        <v>39154</v>
      </c>
      <c r="R54" s="163">
        <f t="shared" si="59"/>
        <v>39281.4</v>
      </c>
      <c r="S54" s="163">
        <f t="shared" si="59"/>
        <v>39373.9</v>
      </c>
      <c r="T54" s="163">
        <f>S54+T15</f>
        <v>39446.700000000004</v>
      </c>
      <c r="U54" s="163">
        <f>T54+U15</f>
        <v>39575.700000000004</v>
      </c>
      <c r="V54" s="163">
        <f t="shared" si="59"/>
        <v>39674.600000000006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</row>
    <row r="55" spans="2:39" x14ac:dyDescent="0.3">
      <c r="B55" s="753"/>
      <c r="C55" s="18" t="s">
        <v>20</v>
      </c>
      <c r="D55" s="163">
        <f>D16+Agosto23!AF52</f>
        <v>96956.299999999988</v>
      </c>
      <c r="E55" s="164">
        <f t="shared" si="58"/>
        <v>97061.199999999983</v>
      </c>
      <c r="F55" s="164">
        <f t="shared" si="58"/>
        <v>97439.999999999985</v>
      </c>
      <c r="G55" s="165">
        <v>98510</v>
      </c>
      <c r="H55" s="166">
        <v>98809</v>
      </c>
      <c r="I55" s="163">
        <f t="shared" si="59"/>
        <v>99274.5</v>
      </c>
      <c r="J55" s="163">
        <f t="shared" si="59"/>
        <v>99629.7</v>
      </c>
      <c r="K55" s="163">
        <f t="shared" si="59"/>
        <v>100070.5</v>
      </c>
      <c r="L55" s="163">
        <f t="shared" si="59"/>
        <v>100387.1</v>
      </c>
      <c r="M55" s="163">
        <f t="shared" si="59"/>
        <v>100819.70000000001</v>
      </c>
      <c r="N55" s="163">
        <f t="shared" si="59"/>
        <v>101287.40000000001</v>
      </c>
      <c r="O55" s="163">
        <f t="shared" si="59"/>
        <v>101706.40000000001</v>
      </c>
      <c r="P55" s="163">
        <f t="shared" si="59"/>
        <v>101986.20000000001</v>
      </c>
      <c r="Q55" s="163">
        <f t="shared" si="59"/>
        <v>102364.50000000001</v>
      </c>
      <c r="R55" s="163">
        <f t="shared" si="59"/>
        <v>102842.90000000001</v>
      </c>
      <c r="S55" s="163">
        <f t="shared" si="59"/>
        <v>103146.3</v>
      </c>
      <c r="T55" s="163">
        <f>S55+T14</f>
        <v>103404</v>
      </c>
      <c r="U55" s="163">
        <f t="shared" si="59"/>
        <v>103885.1</v>
      </c>
      <c r="V55" s="163">
        <f t="shared" si="59"/>
        <v>104242.40000000001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</row>
    <row r="56" spans="2:39" x14ac:dyDescent="0.3">
      <c r="B56" s="754" t="s">
        <v>21</v>
      </c>
      <c r="C56" s="18" t="s">
        <v>22</v>
      </c>
      <c r="D56" s="163">
        <f>D17+Agosto23!AF53</f>
        <v>65750.8</v>
      </c>
      <c r="E56" s="164">
        <f t="shared" si="58"/>
        <v>65881.8</v>
      </c>
      <c r="F56" s="164">
        <f t="shared" si="58"/>
        <v>66181.8</v>
      </c>
      <c r="G56" s="165">
        <v>67299</v>
      </c>
      <c r="H56" s="166">
        <v>67726</v>
      </c>
      <c r="I56" s="163">
        <f t="shared" si="59"/>
        <v>68181</v>
      </c>
      <c r="J56" s="163">
        <f t="shared" si="59"/>
        <v>68476</v>
      </c>
      <c r="K56" s="163" t="e">
        <f>J56+#REF!</f>
        <v>#REF!</v>
      </c>
      <c r="L56" s="163" t="e">
        <f t="shared" si="59"/>
        <v>#REF!</v>
      </c>
      <c r="M56" s="163" t="e">
        <f t="shared" si="59"/>
        <v>#REF!</v>
      </c>
      <c r="N56" s="163" t="e">
        <f>M56+N18</f>
        <v>#REF!</v>
      </c>
      <c r="O56" s="163" t="e">
        <f t="shared" si="59"/>
        <v>#REF!</v>
      </c>
      <c r="P56" s="163" t="e">
        <f t="shared" si="59"/>
        <v>#REF!</v>
      </c>
      <c r="Q56" s="163" t="e">
        <f t="shared" si="59"/>
        <v>#REF!</v>
      </c>
      <c r="R56" s="163" t="e">
        <f t="shared" si="59"/>
        <v>#REF!</v>
      </c>
      <c r="S56" s="163" t="e">
        <f t="shared" si="59"/>
        <v>#REF!</v>
      </c>
      <c r="T56" s="163" t="e">
        <f t="shared" si="59"/>
        <v>#REF!</v>
      </c>
      <c r="U56" s="163" t="e">
        <f t="shared" si="59"/>
        <v>#REF!</v>
      </c>
      <c r="V56" s="163" t="e">
        <f t="shared" si="59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</row>
    <row r="57" spans="2:39" x14ac:dyDescent="0.3">
      <c r="B57" s="754"/>
      <c r="C57" s="18" t="s">
        <v>23</v>
      </c>
      <c r="D57" s="163">
        <f>D18+Agosto23!AF54</f>
        <v>74311.700000000012</v>
      </c>
      <c r="E57" s="164">
        <f t="shared" si="58"/>
        <v>74451.100000000006</v>
      </c>
      <c r="F57" s="164">
        <f t="shared" si="58"/>
        <v>74759.200000000012</v>
      </c>
      <c r="G57" s="165">
        <v>75901</v>
      </c>
      <c r="H57" s="166">
        <v>76333</v>
      </c>
      <c r="I57" s="163">
        <f t="shared" si="59"/>
        <v>76799.199999999997</v>
      </c>
      <c r="J57" s="163">
        <f t="shared" si="59"/>
        <v>77098.599999999991</v>
      </c>
      <c r="K57" s="163">
        <f t="shared" si="59"/>
        <v>77531.499999999985</v>
      </c>
      <c r="L57" s="163">
        <f t="shared" si="59"/>
        <v>77873.499999999985</v>
      </c>
      <c r="M57" s="163">
        <f>L57+M19</f>
        <v>78211.89999999998</v>
      </c>
      <c r="N57" s="163" t="e">
        <f>M57+#REF!</f>
        <v>#REF!</v>
      </c>
      <c r="O57" s="163" t="e">
        <f t="shared" si="59"/>
        <v>#REF!</v>
      </c>
      <c r="P57" s="163" t="e">
        <f t="shared" si="59"/>
        <v>#REF!</v>
      </c>
      <c r="Q57" s="163" t="e">
        <f>P57+Q19</f>
        <v>#REF!</v>
      </c>
      <c r="R57" s="163" t="e">
        <f t="shared" si="59"/>
        <v>#REF!</v>
      </c>
      <c r="S57" s="163" t="e">
        <f t="shared" si="59"/>
        <v>#REF!</v>
      </c>
      <c r="T57" s="163" t="e">
        <f t="shared" si="59"/>
        <v>#REF!</v>
      </c>
      <c r="U57" s="163" t="e">
        <f t="shared" si="59"/>
        <v>#REF!</v>
      </c>
      <c r="V57" s="163" t="e">
        <f t="shared" si="59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</row>
    <row r="58" spans="2:39" x14ac:dyDescent="0.3">
      <c r="B58" s="754"/>
      <c r="C58" s="18" t="s">
        <v>24</v>
      </c>
      <c r="D58" s="163">
        <f>D19+Agosto23!AF55</f>
        <v>136028.20000000001</v>
      </c>
      <c r="E58" s="164">
        <f t="shared" si="58"/>
        <v>136149.80000000002</v>
      </c>
      <c r="F58" s="164">
        <f t="shared" si="58"/>
        <v>136370.40000000002</v>
      </c>
      <c r="G58" s="165">
        <v>137294</v>
      </c>
      <c r="H58" s="166">
        <v>137664</v>
      </c>
      <c r="I58" s="163">
        <f>H58+I19</f>
        <v>138031.6</v>
      </c>
      <c r="J58" s="163">
        <f t="shared" si="59"/>
        <v>138255.1</v>
      </c>
      <c r="K58" s="163">
        <f t="shared" si="59"/>
        <v>138584.5</v>
      </c>
      <c r="L58" s="163">
        <f>K58+L21</f>
        <v>138831.5</v>
      </c>
      <c r="M58" s="163" t="e">
        <f>L58+#REF!</f>
        <v>#REF!</v>
      </c>
      <c r="N58" s="163" t="e">
        <f t="shared" si="59"/>
        <v>#REF!</v>
      </c>
      <c r="O58" s="163" t="e">
        <f t="shared" si="59"/>
        <v>#REF!</v>
      </c>
      <c r="P58" s="163" t="e">
        <f t="shared" si="59"/>
        <v>#REF!</v>
      </c>
      <c r="Q58" s="163" t="e">
        <f>P58+#REF!</f>
        <v>#REF!</v>
      </c>
      <c r="R58" s="163" t="e">
        <f t="shared" si="59"/>
        <v>#REF!</v>
      </c>
      <c r="S58" s="163" t="e">
        <f t="shared" si="59"/>
        <v>#REF!</v>
      </c>
      <c r="T58" s="163" t="e">
        <f t="shared" si="59"/>
        <v>#REF!</v>
      </c>
      <c r="U58" s="163" t="e">
        <f t="shared" si="59"/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</row>
    <row r="59" spans="2:39" x14ac:dyDescent="0.3">
      <c r="B59" s="754"/>
      <c r="C59" s="18" t="s">
        <v>25</v>
      </c>
      <c r="D59" s="163">
        <f>D20+Agosto23!AF56</f>
        <v>174396.2</v>
      </c>
      <c r="E59" s="164">
        <f t="shared" si="58"/>
        <v>174562.6</v>
      </c>
      <c r="F59" s="164">
        <f t="shared" si="58"/>
        <v>174844.1</v>
      </c>
      <c r="G59" s="165">
        <v>176032</v>
      </c>
      <c r="H59" s="166">
        <v>176536</v>
      </c>
      <c r="I59" s="163">
        <f>H59+I20</f>
        <v>177037.8</v>
      </c>
      <c r="J59" s="163">
        <f t="shared" si="59"/>
        <v>177319.9</v>
      </c>
      <c r="K59" s="163">
        <f>J59+K17</f>
        <v>177729.9</v>
      </c>
      <c r="L59" s="163">
        <f t="shared" si="59"/>
        <v>178065.5</v>
      </c>
      <c r="M59" s="163">
        <f t="shared" si="59"/>
        <v>178516.8</v>
      </c>
      <c r="N59" s="163">
        <f>M59+N21</f>
        <v>178864.59999999998</v>
      </c>
      <c r="O59" s="163" t="e">
        <f>N59+#REF!</f>
        <v>#REF!</v>
      </c>
      <c r="P59" s="163" t="e">
        <f t="shared" si="59"/>
        <v>#REF!</v>
      </c>
      <c r="Q59" s="163" t="e">
        <f t="shared" si="59"/>
        <v>#REF!</v>
      </c>
      <c r="R59" s="163" t="e">
        <f t="shared" si="59"/>
        <v>#REF!</v>
      </c>
      <c r="S59" s="163" t="e">
        <f>R59+S21</f>
        <v>#REF!</v>
      </c>
      <c r="T59" s="163" t="e">
        <f t="shared" si="59"/>
        <v>#REF!</v>
      </c>
      <c r="U59" s="163" t="e">
        <f t="shared" si="59"/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</row>
    <row r="60" spans="2:39" x14ac:dyDescent="0.3">
      <c r="B60" s="754"/>
      <c r="C60" s="18" t="s">
        <v>26</v>
      </c>
      <c r="D60" s="163">
        <f>D21+Agosto23!AF57</f>
        <v>82204.5</v>
      </c>
      <c r="E60" s="164">
        <f t="shared" ref="E60:F66" si="60">D60+E21</f>
        <v>82331.199999999997</v>
      </c>
      <c r="F60" s="164">
        <f t="shared" si="60"/>
        <v>82531.399999999994</v>
      </c>
      <c r="G60" s="165">
        <v>83628</v>
      </c>
      <c r="H60" s="166">
        <v>84081</v>
      </c>
      <c r="I60" s="163">
        <f t="shared" ref="I60:L66" si="61">H60+I21</f>
        <v>84440.3</v>
      </c>
      <c r="J60" s="163">
        <f t="shared" si="61"/>
        <v>84642.5</v>
      </c>
      <c r="K60" s="163">
        <f t="shared" si="61"/>
        <v>84960.7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2">N60+O21</f>
        <v>#REF!</v>
      </c>
      <c r="P60" s="163" t="e">
        <f t="shared" si="62"/>
        <v>#REF!</v>
      </c>
      <c r="Q60" s="163" t="e">
        <f t="shared" si="62"/>
        <v>#REF!</v>
      </c>
      <c r="R60" s="163" t="e">
        <f t="shared" si="62"/>
        <v>#REF!</v>
      </c>
      <c r="S60" s="163" t="e">
        <f>R60+#REF!</f>
        <v>#REF!</v>
      </c>
      <c r="T60" s="163" t="e">
        <f t="shared" ref="T60:V66" si="63">S60+T21</f>
        <v>#REF!</v>
      </c>
      <c r="U60" s="163" t="e">
        <f t="shared" si="63"/>
        <v>#REF!</v>
      </c>
      <c r="V60" s="163" t="e">
        <f t="shared" si="63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</row>
    <row r="61" spans="2:39" x14ac:dyDescent="0.3">
      <c r="B61" s="754"/>
      <c r="C61" s="18" t="s">
        <v>27</v>
      </c>
      <c r="D61" s="163">
        <f>D22+Agosto23!AF58</f>
        <v>61159.4</v>
      </c>
      <c r="E61" s="164">
        <f t="shared" si="60"/>
        <v>61270.3</v>
      </c>
      <c r="F61" s="164">
        <f t="shared" si="60"/>
        <v>61639.8</v>
      </c>
      <c r="G61" s="165">
        <v>63058</v>
      </c>
      <c r="H61" s="166">
        <v>63281</v>
      </c>
      <c r="I61" s="163">
        <f t="shared" si="61"/>
        <v>63772.5</v>
      </c>
      <c r="J61" s="163">
        <f t="shared" si="61"/>
        <v>64087.199999999997</v>
      </c>
      <c r="K61" s="163">
        <f t="shared" si="61"/>
        <v>64537.7</v>
      </c>
      <c r="L61" s="163">
        <f t="shared" si="61"/>
        <v>64844.899999999994</v>
      </c>
      <c r="M61" s="163" t="e">
        <f>L61+#REF!</f>
        <v>#REF!</v>
      </c>
      <c r="N61" s="163" t="e">
        <f t="shared" si="62"/>
        <v>#REF!</v>
      </c>
      <c r="O61" s="163" t="e">
        <f t="shared" si="62"/>
        <v>#REF!</v>
      </c>
      <c r="P61" s="163" t="e">
        <f t="shared" si="62"/>
        <v>#REF!</v>
      </c>
      <c r="Q61" s="163" t="e">
        <f t="shared" si="62"/>
        <v>#REF!</v>
      </c>
      <c r="R61" s="163" t="e">
        <f t="shared" si="62"/>
        <v>#REF!</v>
      </c>
      <c r="S61" s="163" t="e">
        <f t="shared" si="62"/>
        <v>#REF!</v>
      </c>
      <c r="T61" s="163" t="e">
        <f t="shared" si="63"/>
        <v>#REF!</v>
      </c>
      <c r="U61" s="163" t="e">
        <f t="shared" si="63"/>
        <v>#REF!</v>
      </c>
      <c r="V61" s="163" t="e">
        <f t="shared" si="63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</row>
    <row r="62" spans="2:39" x14ac:dyDescent="0.3">
      <c r="B62" s="754"/>
      <c r="C62" s="18" t="s">
        <v>28</v>
      </c>
      <c r="D62" s="163">
        <f>D23+Agosto23!AF59</f>
        <v>87319.17</v>
      </c>
      <c r="E62" s="164">
        <f t="shared" si="60"/>
        <v>87415.77</v>
      </c>
      <c r="F62" s="164">
        <f t="shared" si="60"/>
        <v>87749.57</v>
      </c>
      <c r="G62" s="165">
        <v>87693.64</v>
      </c>
      <c r="H62" s="166">
        <v>87903.16</v>
      </c>
      <c r="I62" s="163">
        <f t="shared" si="61"/>
        <v>88346.36</v>
      </c>
      <c r="J62" s="163">
        <f t="shared" si="61"/>
        <v>88627.16</v>
      </c>
      <c r="K62" s="163">
        <f>J62+K23</f>
        <v>89031.360000000001</v>
      </c>
      <c r="L62" s="163">
        <f t="shared" si="61"/>
        <v>89303.96</v>
      </c>
      <c r="M62" s="163">
        <f>L62+M22</f>
        <v>89694.86</v>
      </c>
      <c r="N62" s="163">
        <f t="shared" si="62"/>
        <v>90115.36</v>
      </c>
      <c r="O62" s="163">
        <f>N62+O20</f>
        <v>90578.96</v>
      </c>
      <c r="P62" s="163">
        <f t="shared" si="62"/>
        <v>90865.16</v>
      </c>
      <c r="Q62" s="163">
        <f t="shared" si="62"/>
        <v>91239.46</v>
      </c>
      <c r="R62" s="163">
        <f t="shared" si="62"/>
        <v>91661.16</v>
      </c>
      <c r="S62" s="163">
        <f t="shared" si="62"/>
        <v>92059.16</v>
      </c>
      <c r="T62" s="163">
        <f t="shared" si="63"/>
        <v>92292.06</v>
      </c>
      <c r="U62" s="163">
        <f t="shared" si="63"/>
        <v>92751.459999999992</v>
      </c>
      <c r="V62" s="163">
        <f>U62+V23</f>
        <v>93110.56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</row>
    <row r="63" spans="2:39" x14ac:dyDescent="0.3">
      <c r="B63" s="754"/>
      <c r="C63" s="18" t="s">
        <v>29</v>
      </c>
      <c r="D63" s="163">
        <f>D24+Agosto23!AF60</f>
        <v>128701.59999999999</v>
      </c>
      <c r="E63" s="164">
        <f t="shared" si="60"/>
        <v>129084.49999999999</v>
      </c>
      <c r="F63" s="164">
        <f t="shared" si="60"/>
        <v>130394.29999999999</v>
      </c>
      <c r="G63" s="165">
        <v>130195</v>
      </c>
      <c r="H63" s="166">
        <v>130451</v>
      </c>
      <c r="I63" s="163">
        <f t="shared" si="61"/>
        <v>132208.1</v>
      </c>
      <c r="J63" s="163">
        <f t="shared" si="61"/>
        <v>133318.30000000002</v>
      </c>
      <c r="K63" s="163">
        <f>J63+K24</f>
        <v>134922.40000000002</v>
      </c>
      <c r="L63" s="163">
        <f t="shared" si="61"/>
        <v>136004.90000000002</v>
      </c>
      <c r="M63" s="163">
        <f t="shared" si="62"/>
        <v>137384.00000000003</v>
      </c>
      <c r="N63" s="163">
        <f t="shared" si="62"/>
        <v>139044.00000000003</v>
      </c>
      <c r="O63" s="163">
        <f t="shared" si="62"/>
        <v>140284.00000000003</v>
      </c>
      <c r="P63" s="163">
        <f t="shared" si="62"/>
        <v>141418.70000000004</v>
      </c>
      <c r="Q63" s="163">
        <f t="shared" si="62"/>
        <v>142882.60000000003</v>
      </c>
      <c r="R63" s="163">
        <f t="shared" si="62"/>
        <v>144559.10000000003</v>
      </c>
      <c r="S63" s="163">
        <f t="shared" si="62"/>
        <v>146135.10000000003</v>
      </c>
      <c r="T63" s="163">
        <f t="shared" si="63"/>
        <v>147056.50000000003</v>
      </c>
      <c r="U63" s="163">
        <f t="shared" si="63"/>
        <v>148867.80000000002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</row>
    <row r="64" spans="2:39" x14ac:dyDescent="0.3">
      <c r="B64" s="754"/>
      <c r="C64" s="18" t="s">
        <v>30</v>
      </c>
      <c r="D64" s="163">
        <f>D25+Agosto23!AF61</f>
        <v>14122.4</v>
      </c>
      <c r="E64" s="164">
        <f t="shared" si="60"/>
        <v>14563.9</v>
      </c>
      <c r="F64" s="164">
        <f t="shared" si="60"/>
        <v>15053.8</v>
      </c>
      <c r="G64" s="165">
        <v>18667</v>
      </c>
      <c r="H64" s="166">
        <v>19364</v>
      </c>
      <c r="I64" s="163">
        <f t="shared" si="61"/>
        <v>19810.8</v>
      </c>
      <c r="J64" s="163">
        <f t="shared" si="61"/>
        <v>20323</v>
      </c>
      <c r="K64" s="163">
        <f t="shared" si="61"/>
        <v>20493.599999999999</v>
      </c>
      <c r="L64" s="163">
        <f t="shared" si="61"/>
        <v>20640.5</v>
      </c>
      <c r="M64" s="163">
        <f t="shared" si="62"/>
        <v>21030.7</v>
      </c>
      <c r="N64" s="163" t="e">
        <f>M64+#REF!</f>
        <v>#REF!</v>
      </c>
      <c r="O64" s="163" t="e">
        <f t="shared" si="62"/>
        <v>#REF!</v>
      </c>
      <c r="P64" s="163" t="e">
        <f t="shared" si="62"/>
        <v>#REF!</v>
      </c>
      <c r="Q64" s="163" t="e">
        <f t="shared" si="62"/>
        <v>#REF!</v>
      </c>
      <c r="R64" s="163" t="e">
        <f t="shared" si="62"/>
        <v>#REF!</v>
      </c>
      <c r="S64" s="163" t="e">
        <f t="shared" si="62"/>
        <v>#REF!</v>
      </c>
      <c r="T64" s="163" t="e">
        <f t="shared" si="63"/>
        <v>#REF!</v>
      </c>
      <c r="U64" s="163" t="e">
        <f t="shared" si="63"/>
        <v>#REF!</v>
      </c>
      <c r="V64" s="163" t="e">
        <f t="shared" si="63"/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</row>
    <row r="65" spans="2:39" x14ac:dyDescent="0.3">
      <c r="B65" s="754"/>
      <c r="C65" s="18" t="s">
        <v>111</v>
      </c>
      <c r="D65" s="163">
        <f>D26+Agosto23!AF62</f>
        <v>44865.5</v>
      </c>
      <c r="E65" s="164">
        <f t="shared" si="60"/>
        <v>45041.2</v>
      </c>
      <c r="F65" s="164">
        <f t="shared" si="60"/>
        <v>45494.399999999994</v>
      </c>
      <c r="G65" s="165">
        <v>46772</v>
      </c>
      <c r="H65" s="166">
        <v>47086</v>
      </c>
      <c r="I65" s="163">
        <f t="shared" si="61"/>
        <v>47526.6</v>
      </c>
      <c r="J65" s="163">
        <f t="shared" si="61"/>
        <v>47934.1</v>
      </c>
      <c r="K65" s="163">
        <f t="shared" si="61"/>
        <v>48358.2</v>
      </c>
      <c r="L65" s="163">
        <f t="shared" si="61"/>
        <v>48707.799999999996</v>
      </c>
      <c r="M65" s="163">
        <f t="shared" si="62"/>
        <v>49151.499999999993</v>
      </c>
      <c r="N65" s="163">
        <f>M65+N25</f>
        <v>49622.999999999993</v>
      </c>
      <c r="O65" s="163">
        <f t="shared" si="62"/>
        <v>49769.499999999993</v>
      </c>
      <c r="P65" s="163">
        <f t="shared" si="62"/>
        <v>50039.299999999996</v>
      </c>
      <c r="Q65" s="163">
        <f t="shared" si="62"/>
        <v>50447.499999999993</v>
      </c>
      <c r="R65" s="163">
        <f t="shared" si="62"/>
        <v>50871.099999999991</v>
      </c>
      <c r="S65" s="163">
        <f t="shared" si="62"/>
        <v>51294.399999999994</v>
      </c>
      <c r="T65" s="163">
        <f t="shared" si="63"/>
        <v>51617.499999999993</v>
      </c>
      <c r="U65" s="163">
        <f t="shared" si="63"/>
        <v>52085.499999999993</v>
      </c>
      <c r="V65" s="163">
        <f t="shared" si="63"/>
        <v>52384.299999999996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</row>
    <row r="66" spans="2:39" ht="15" thickBot="1" x14ac:dyDescent="0.35">
      <c r="B66" s="754"/>
      <c r="C66" s="18" t="s">
        <v>32</v>
      </c>
      <c r="D66" s="163">
        <f>D27+Agosto23!AF63</f>
        <v>9191.1</v>
      </c>
      <c r="E66" s="164">
        <f t="shared" si="60"/>
        <v>9438.3000000000011</v>
      </c>
      <c r="F66" s="164">
        <f t="shared" si="60"/>
        <v>9835.4000000000015</v>
      </c>
      <c r="G66" s="165">
        <v>10779</v>
      </c>
      <c r="H66" s="166">
        <v>10940</v>
      </c>
      <c r="I66" s="163">
        <f t="shared" si="61"/>
        <v>11253.5</v>
      </c>
      <c r="J66" s="163">
        <f t="shared" si="61"/>
        <v>11651.8</v>
      </c>
      <c r="K66" s="163">
        <f t="shared" si="61"/>
        <v>11745.699999999999</v>
      </c>
      <c r="L66" s="163">
        <f t="shared" si="61"/>
        <v>11898.3</v>
      </c>
      <c r="M66" s="163">
        <f t="shared" si="62"/>
        <v>12274</v>
      </c>
      <c r="N66" s="163">
        <f t="shared" si="62"/>
        <v>12582.5</v>
      </c>
      <c r="O66" s="163">
        <f t="shared" si="62"/>
        <v>12662.3</v>
      </c>
      <c r="P66" s="163">
        <f t="shared" si="62"/>
        <v>12764.9</v>
      </c>
      <c r="Q66" s="163">
        <f t="shared" si="62"/>
        <v>13154.8</v>
      </c>
      <c r="R66" s="163">
        <f t="shared" si="62"/>
        <v>13496.699999999999</v>
      </c>
      <c r="S66" s="163">
        <f t="shared" si="62"/>
        <v>13893.499999999998</v>
      </c>
      <c r="T66" s="163">
        <f t="shared" si="63"/>
        <v>14238.999999999998</v>
      </c>
      <c r="U66" s="163">
        <f t="shared" si="63"/>
        <v>14627.899999999998</v>
      </c>
      <c r="V66" s="163">
        <f t="shared" si="63"/>
        <v>14974.199999999997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</row>
    <row r="67" spans="2:39" x14ac:dyDescent="0.3">
      <c r="B67" s="754"/>
      <c r="C67" s="18" t="s">
        <v>112</v>
      </c>
      <c r="D67" s="163">
        <f>D29+Agosto23!AF64</f>
        <v>18641.8</v>
      </c>
      <c r="E67" s="164">
        <f>D67+E29</f>
        <v>18834.8</v>
      </c>
      <c r="F67" s="164">
        <f>E67+F29</f>
        <v>19226.599999999999</v>
      </c>
      <c r="G67" s="165">
        <v>20520.400000000001</v>
      </c>
      <c r="H67" s="166">
        <v>20739</v>
      </c>
      <c r="I67" s="163">
        <f t="shared" ref="I67:V67" si="64">H67+I29</f>
        <v>20996.5</v>
      </c>
      <c r="J67" s="163">
        <f>I67+J30</f>
        <v>21239.8</v>
      </c>
      <c r="K67" s="163">
        <f t="shared" si="64"/>
        <v>21329.399999999998</v>
      </c>
      <c r="L67" s="163">
        <f t="shared" si="64"/>
        <v>21473.999999999996</v>
      </c>
      <c r="M67" s="163">
        <f t="shared" si="64"/>
        <v>21809.099999999995</v>
      </c>
      <c r="N67" s="163">
        <f t="shared" si="64"/>
        <v>22112.799999999996</v>
      </c>
      <c r="O67" s="163">
        <f t="shared" si="64"/>
        <v>22185.799999999996</v>
      </c>
      <c r="P67" s="163">
        <f t="shared" si="64"/>
        <v>22280.199999999997</v>
      </c>
      <c r="Q67" s="163">
        <f t="shared" si="64"/>
        <v>22643.599999999999</v>
      </c>
      <c r="R67" s="163">
        <f t="shared" si="64"/>
        <v>22949.599999999999</v>
      </c>
      <c r="S67" s="163">
        <f t="shared" si="64"/>
        <v>23311.699999999997</v>
      </c>
      <c r="T67" s="163">
        <f t="shared" si="64"/>
        <v>23608.199999999997</v>
      </c>
      <c r="U67" s="163">
        <f t="shared" si="64"/>
        <v>23988.299999999996</v>
      </c>
      <c r="V67" s="163">
        <f t="shared" si="64"/>
        <v>24266.699999999997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9" x14ac:dyDescent="0.3">
      <c r="B68" s="756" t="s">
        <v>196</v>
      </c>
      <c r="C68" s="756"/>
      <c r="D68" s="756"/>
      <c r="E68" s="756"/>
    </row>
    <row r="69" spans="2:39" x14ac:dyDescent="0.3">
      <c r="B69" s="757" t="s">
        <v>132</v>
      </c>
      <c r="C69" s="757"/>
      <c r="D69" s="757"/>
      <c r="E69" s="757"/>
    </row>
  </sheetData>
  <mergeCells count="14">
    <mergeCell ref="B68:E68"/>
    <mergeCell ref="B69:E69"/>
    <mergeCell ref="AE34:AG34"/>
    <mergeCell ref="AE35:AG35"/>
    <mergeCell ref="AE36:AG36"/>
    <mergeCell ref="B44:B51"/>
    <mergeCell ref="B52:B55"/>
    <mergeCell ref="B56:B67"/>
    <mergeCell ref="B32:C32"/>
    <mergeCell ref="B4:C4"/>
    <mergeCell ref="B5:B12"/>
    <mergeCell ref="B13:B16"/>
    <mergeCell ref="B17:B29"/>
    <mergeCell ref="B30:B31"/>
  </mergeCells>
  <conditionalFormatting sqref="AL5:BO31">
    <cfRule type="cellIs" dxfId="101" priority="2" operator="equal">
      <formula>"VAZIO"</formula>
    </cfRule>
  </conditionalFormatting>
  <conditionalFormatting sqref="AL5:BP31">
    <cfRule type="expression" dxfId="100" priority="6">
      <formula>AL5&gt;$BQ5</formula>
    </cfRule>
    <cfRule type="expression" dxfId="99" priority="7">
      <formula>AL5&lt;($BQ5-0.01)</formula>
    </cfRule>
  </conditionalFormatting>
  <conditionalFormatting sqref="AM8:BO8 BJ9 AM16:BO16 BG17 AM24:BO25">
    <cfRule type="cellIs" dxfId="98" priority="3" operator="equal">
      <formula>"""VAZIO"""</formula>
    </cfRule>
  </conditionalFormatting>
  <conditionalFormatting sqref="AP5:BO31">
    <cfRule type="expression" dxfId="97" priority="1">
      <formula>AP5=0</formula>
    </cfRule>
  </conditionalFormatting>
  <conditionalFormatting sqref="BT5:BT31">
    <cfRule type="cellIs" dxfId="96" priority="4" operator="greaterThan">
      <formula>0</formula>
    </cfRule>
    <cfRule type="cellIs" dxfId="95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5433-D06D-44E6-AA56-E4F8240A5EC5}">
  <sheetPr>
    <tabColor rgb="FF00B050"/>
  </sheetPr>
  <dimension ref="B3:BX69"/>
  <sheetViews>
    <sheetView zoomScale="85" zoomScaleNormal="85" workbookViewId="0">
      <pane xSplit="3" ySplit="4" topLeftCell="AF5" activePane="bottomRight" state="frozen"/>
      <selection pane="topRight" activeCell="D1" sqref="D1"/>
      <selection pane="bottomLeft" activeCell="A5" sqref="A5"/>
      <selection pane="bottomRight" activeCell="AF23" sqref="AF23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34" width="16.4414062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595</v>
      </c>
      <c r="E4" s="344" t="s">
        <v>596</v>
      </c>
      <c r="F4" s="344" t="s">
        <v>597</v>
      </c>
      <c r="G4" s="344" t="s">
        <v>598</v>
      </c>
      <c r="H4" s="344" t="s">
        <v>599</v>
      </c>
      <c r="I4" s="344" t="s">
        <v>600</v>
      </c>
      <c r="J4" s="344" t="s">
        <v>601</v>
      </c>
      <c r="K4" s="344" t="s">
        <v>602</v>
      </c>
      <c r="L4" s="344" t="s">
        <v>603</v>
      </c>
      <c r="M4" s="344" t="s">
        <v>604</v>
      </c>
      <c r="N4" s="344" t="s">
        <v>605</v>
      </c>
      <c r="O4" s="344" t="s">
        <v>606</v>
      </c>
      <c r="P4" s="344" t="s">
        <v>607</v>
      </c>
      <c r="Q4" s="344" t="s">
        <v>608</v>
      </c>
      <c r="R4" s="344" t="s">
        <v>609</v>
      </c>
      <c r="S4" s="344" t="s">
        <v>610</v>
      </c>
      <c r="T4" s="344" t="s">
        <v>725</v>
      </c>
      <c r="U4" s="344" t="s">
        <v>611</v>
      </c>
      <c r="V4" s="344" t="s">
        <v>612</v>
      </c>
      <c r="W4" s="344" t="s">
        <v>613</v>
      </c>
      <c r="X4" s="344" t="s">
        <v>614</v>
      </c>
      <c r="Y4" s="344" t="s">
        <v>615</v>
      </c>
      <c r="Z4" s="344" t="s">
        <v>616</v>
      </c>
      <c r="AA4" s="344" t="s">
        <v>617</v>
      </c>
      <c r="AB4" s="344" t="s">
        <v>618</v>
      </c>
      <c r="AC4" s="344" t="s">
        <v>619</v>
      </c>
      <c r="AD4" s="344" t="s">
        <v>620</v>
      </c>
      <c r="AE4" s="344" t="s">
        <v>621</v>
      </c>
      <c r="AF4" s="344" t="s">
        <v>622</v>
      </c>
      <c r="AG4" s="345" t="s">
        <v>623</v>
      </c>
      <c r="AH4" s="345" t="s">
        <v>624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29.4</v>
      </c>
      <c r="E5" s="509">
        <v>54.6</v>
      </c>
      <c r="F5" s="103">
        <v>27.7</v>
      </c>
      <c r="G5" s="103">
        <v>44.8</v>
      </c>
      <c r="H5" s="103">
        <v>54.6</v>
      </c>
      <c r="I5" s="331">
        <v>56.7</v>
      </c>
      <c r="J5" s="509">
        <v>56.8</v>
      </c>
      <c r="K5" s="103">
        <v>48.7</v>
      </c>
      <c r="L5" s="103">
        <v>44</v>
      </c>
      <c r="M5" s="103">
        <v>7.1</v>
      </c>
      <c r="N5" s="283">
        <v>52.9</v>
      </c>
      <c r="O5" s="103">
        <v>55.8</v>
      </c>
      <c r="P5" s="103">
        <v>63.8</v>
      </c>
      <c r="Q5" s="331">
        <v>57.8</v>
      </c>
      <c r="R5" s="103">
        <v>57.1</v>
      </c>
      <c r="S5" s="509">
        <v>58</v>
      </c>
      <c r="T5" s="509">
        <v>56.8</v>
      </c>
      <c r="U5" s="509">
        <v>57.8</v>
      </c>
      <c r="V5" s="509">
        <v>59.2</v>
      </c>
      <c r="W5" s="559">
        <v>56.3</v>
      </c>
      <c r="X5" s="103">
        <v>56.4</v>
      </c>
      <c r="Y5" s="509">
        <v>59.7</v>
      </c>
      <c r="Z5" s="581">
        <v>57</v>
      </c>
      <c r="AA5" s="332">
        <v>32.700000000000003</v>
      </c>
      <c r="AB5" s="333">
        <v>34.200000000000003</v>
      </c>
      <c r="AC5" s="599">
        <v>4.8</v>
      </c>
      <c r="AD5" s="104">
        <v>28.6</v>
      </c>
      <c r="AE5" s="104">
        <v>55.4</v>
      </c>
      <c r="AF5" s="104">
        <v>48.7</v>
      </c>
      <c r="AG5" s="581">
        <v>63.9</v>
      </c>
      <c r="AH5" s="608">
        <v>62.6</v>
      </c>
      <c r="AI5" s="335">
        <f>SUM(D5:AH5)</f>
        <v>1503.9</v>
      </c>
      <c r="AJ5" s="160">
        <v>12</v>
      </c>
      <c r="AK5" s="336">
        <f t="shared" ref="AK5:AK11" si="0">F5/(AJ5*432)</f>
        <v>5.3433641975308638E-3</v>
      </c>
      <c r="AL5" s="337">
        <f t="shared" ref="AL5:BA20" si="1">IF(OR(D5="",D5="Sem monitoramento"),"VAZIO",IFERROR(D5/($AJ5*24),"-"))</f>
        <v>0.10208333333333333</v>
      </c>
      <c r="AM5" s="338">
        <f t="shared" si="1"/>
        <v>0.18958333333333333</v>
      </c>
      <c r="AN5" s="338">
        <f t="shared" si="1"/>
        <v>9.6180555555555547E-2</v>
      </c>
      <c r="AO5" s="338">
        <f t="shared" si="1"/>
        <v>0.15555555555555556</v>
      </c>
      <c r="AP5" s="338">
        <f t="shared" si="1"/>
        <v>0.18958333333333333</v>
      </c>
      <c r="AQ5" s="338">
        <f t="shared" si="1"/>
        <v>0.19687500000000002</v>
      </c>
      <c r="AR5" s="338">
        <f t="shared" si="1"/>
        <v>0.19722222222222222</v>
      </c>
      <c r="AS5" s="338">
        <f t="shared" si="1"/>
        <v>0.16909722222222223</v>
      </c>
      <c r="AT5" s="338">
        <f t="shared" si="1"/>
        <v>0.15277777777777779</v>
      </c>
      <c r="AU5" s="338">
        <f t="shared" si="1"/>
        <v>2.4652777777777777E-2</v>
      </c>
      <c r="AV5" s="338">
        <f t="shared" si="1"/>
        <v>0.18368055555555554</v>
      </c>
      <c r="AW5" s="338">
        <f t="shared" si="1"/>
        <v>0.19374999999999998</v>
      </c>
      <c r="AX5" s="338">
        <f t="shared" si="1"/>
        <v>0.22152777777777777</v>
      </c>
      <c r="AY5" s="338">
        <f t="shared" si="1"/>
        <v>0.20069444444444443</v>
      </c>
      <c r="AZ5" s="338">
        <f t="shared" si="1"/>
        <v>0.19826388888888891</v>
      </c>
      <c r="BA5" s="338">
        <f t="shared" si="1"/>
        <v>0.2013888888888889</v>
      </c>
      <c r="BB5" s="338">
        <f t="shared" ref="AV5:BJ20" si="2">IF(OR(T5="",T5="Sem monitoramento"),"VAZIO",IFERROR(T5/($AJ5*24),"-"))</f>
        <v>0.19722222222222222</v>
      </c>
      <c r="BC5" s="338">
        <f t="shared" si="2"/>
        <v>0.20069444444444443</v>
      </c>
      <c r="BD5" s="338">
        <f t="shared" si="2"/>
        <v>0.20555555555555557</v>
      </c>
      <c r="BE5" s="338">
        <f t="shared" si="2"/>
        <v>0.19548611111111111</v>
      </c>
      <c r="BF5" s="338">
        <f t="shared" si="2"/>
        <v>0.19583333333333333</v>
      </c>
      <c r="BG5" s="338">
        <f t="shared" si="2"/>
        <v>0.20729166666666668</v>
      </c>
      <c r="BH5" s="338">
        <f t="shared" si="2"/>
        <v>0.19791666666666666</v>
      </c>
      <c r="BI5" s="338">
        <f t="shared" si="2"/>
        <v>0.11354166666666668</v>
      </c>
      <c r="BJ5" s="338">
        <f t="shared" si="2"/>
        <v>0.11875000000000001</v>
      </c>
      <c r="BK5" s="338" t="e">
        <f>IF(OR(#REF!="",#REF!="Sem monitoramento"),"VAZIO",IFERROR(#REF!/($AJ5*24),"-"))</f>
        <v>#REF!</v>
      </c>
      <c r="BL5" s="338">
        <f t="shared" ref="BL5:BO20" si="3">IF(OR(AD5="",AD5="Sem monitoramento"),"VAZIO",IFERROR(AD5/($AJ5*24),"-"))</f>
        <v>9.9305555555555564E-2</v>
      </c>
      <c r="BM5" s="338">
        <f t="shared" si="3"/>
        <v>0.19236111111111109</v>
      </c>
      <c r="BN5" s="338">
        <f t="shared" si="3"/>
        <v>0.16909722222222223</v>
      </c>
      <c r="BO5" s="338">
        <f t="shared" si="3"/>
        <v>0.22187499999999999</v>
      </c>
      <c r="BP5" s="339">
        <f t="shared" ref="BP5:BP31" si="4">AI5/(AJ5*(COUNTA(D5:AG5)*24))</f>
        <v>0.17406250000000001</v>
      </c>
      <c r="BQ5" s="180">
        <f>'FCs estimados em PVsyst'!Y3</f>
        <v>0.1804398148148148</v>
      </c>
      <c r="BR5" s="340">
        <f t="shared" ref="BR5:BR11" si="5">AJ5*BQ5</f>
        <v>2.1652777777777779</v>
      </c>
      <c r="BS5" s="341">
        <f t="shared" ref="BS5:BS11" si="6">AN5-BQ5</f>
        <v>-8.4259259259259256E-2</v>
      </c>
      <c r="BT5" s="342">
        <f t="shared" ref="BT5:BT30" si="7">BP5-BQ5</f>
        <v>-6.377314814814794E-3</v>
      </c>
      <c r="BU5" s="15" t="s">
        <v>7</v>
      </c>
      <c r="BV5" s="75" t="s">
        <v>107</v>
      </c>
      <c r="BW5" s="7">
        <f>COUNTIF(BT5:BT29,"&gt;0")</f>
        <v>17</v>
      </c>
      <c r="BX5" s="2"/>
    </row>
    <row r="6" spans="2:76" x14ac:dyDescent="0.3">
      <c r="B6" s="771"/>
      <c r="C6" s="325" t="s">
        <v>8</v>
      </c>
      <c r="D6" s="62">
        <v>162.6</v>
      </c>
      <c r="E6" s="319">
        <v>334.6</v>
      </c>
      <c r="F6" s="63">
        <v>159.9</v>
      </c>
      <c r="G6" s="63">
        <v>256.8</v>
      </c>
      <c r="H6" s="63">
        <v>295.60000000000002</v>
      </c>
      <c r="I6" s="283">
        <v>347.9</v>
      </c>
      <c r="J6" s="319">
        <v>352.1</v>
      </c>
      <c r="K6" s="63">
        <v>314.10000000000002</v>
      </c>
      <c r="L6" s="63">
        <v>268.39999999999998</v>
      </c>
      <c r="M6" s="63">
        <v>36.799999999999997</v>
      </c>
      <c r="N6" s="283">
        <v>341.4</v>
      </c>
      <c r="O6" s="282">
        <v>323.8</v>
      </c>
      <c r="P6" s="283">
        <v>376.5</v>
      </c>
      <c r="Q6" s="283">
        <v>334</v>
      </c>
      <c r="R6" s="63">
        <v>323.39999999999998</v>
      </c>
      <c r="S6" s="319">
        <v>351.9</v>
      </c>
      <c r="T6" s="319">
        <v>346.3</v>
      </c>
      <c r="U6" s="319">
        <v>349.1</v>
      </c>
      <c r="V6" s="319">
        <v>360.7</v>
      </c>
      <c r="W6" s="355">
        <v>337.8</v>
      </c>
      <c r="X6" s="63">
        <v>334.2</v>
      </c>
      <c r="Y6" s="319">
        <v>345.4</v>
      </c>
      <c r="Z6" s="388">
        <v>351.1</v>
      </c>
      <c r="AA6" s="18">
        <v>194.8</v>
      </c>
      <c r="AB6" s="20">
        <v>211.1</v>
      </c>
      <c r="AC6" s="600">
        <v>23.6</v>
      </c>
      <c r="AD6" s="15">
        <v>163</v>
      </c>
      <c r="AE6" s="15">
        <v>284</v>
      </c>
      <c r="AF6" s="15">
        <v>256.3</v>
      </c>
      <c r="AG6" s="193">
        <v>385.2</v>
      </c>
      <c r="AH6" s="528">
        <v>376</v>
      </c>
      <c r="AI6" s="335">
        <f t="shared" ref="AI6:AI31" si="8">SUM(D6:AH6)</f>
        <v>8898.4000000000015</v>
      </c>
      <c r="AJ6" s="118">
        <v>67</v>
      </c>
      <c r="AK6" s="121">
        <f t="shared" si="0"/>
        <v>5.5244610281923717E-3</v>
      </c>
      <c r="AL6" s="67">
        <f t="shared" si="1"/>
        <v>0.10111940298507463</v>
      </c>
      <c r="AM6" s="68">
        <f t="shared" si="1"/>
        <v>0.20808457711442788</v>
      </c>
      <c r="AN6" s="68">
        <f t="shared" si="1"/>
        <v>9.9440298507462693E-2</v>
      </c>
      <c r="AO6" s="68">
        <f t="shared" si="1"/>
        <v>0.15970149253731344</v>
      </c>
      <c r="AP6" s="68">
        <f t="shared" si="1"/>
        <v>0.18383084577114428</v>
      </c>
      <c r="AQ6" s="68">
        <f t="shared" si="1"/>
        <v>0.2163557213930348</v>
      </c>
      <c r="AR6" s="68">
        <f t="shared" si="1"/>
        <v>0.2189676616915423</v>
      </c>
      <c r="AS6" s="68">
        <f t="shared" si="1"/>
        <v>0.1953358208955224</v>
      </c>
      <c r="AT6" s="68">
        <f t="shared" si="1"/>
        <v>0.16691542288557212</v>
      </c>
      <c r="AU6" s="68">
        <f t="shared" si="1"/>
        <v>2.2885572139303482E-2</v>
      </c>
      <c r="AV6" s="68">
        <f t="shared" si="2"/>
        <v>0.21231343283582088</v>
      </c>
      <c r="AW6" s="68">
        <f t="shared" si="2"/>
        <v>0.2013681592039801</v>
      </c>
      <c r="AX6" s="68">
        <f t="shared" si="2"/>
        <v>0.23414179104477612</v>
      </c>
      <c r="AY6" s="68">
        <f t="shared" si="2"/>
        <v>0.20771144278606965</v>
      </c>
      <c r="AZ6" s="68">
        <f t="shared" si="2"/>
        <v>0.20111940298507461</v>
      </c>
      <c r="BA6" s="68">
        <f t="shared" si="2"/>
        <v>0.21884328358208954</v>
      </c>
      <c r="BB6" s="68">
        <f t="shared" si="2"/>
        <v>0.21536069651741294</v>
      </c>
      <c r="BC6" s="68">
        <f t="shared" si="2"/>
        <v>0.21710199004975125</v>
      </c>
      <c r="BD6" s="68">
        <f t="shared" si="2"/>
        <v>0.22431592039800993</v>
      </c>
      <c r="BE6" s="68">
        <f t="shared" si="2"/>
        <v>0.21007462686567166</v>
      </c>
      <c r="BF6" s="68">
        <f t="shared" si="2"/>
        <v>0.20783582089552238</v>
      </c>
      <c r="BG6" s="68">
        <f t="shared" si="2"/>
        <v>0.2148009950248756</v>
      </c>
      <c r="BH6" s="68">
        <f t="shared" si="2"/>
        <v>0.21834577114427861</v>
      </c>
      <c r="BI6" s="68">
        <f t="shared" si="2"/>
        <v>0.12114427860696518</v>
      </c>
      <c r="BJ6" s="68">
        <f t="shared" si="2"/>
        <v>0.13128109452736317</v>
      </c>
      <c r="BK6" s="68">
        <f>IF(OR(AC5="",AC5="Sem monitoramento"),"VAZIO",IFERROR(AC5/($AJ6*24),"-"))</f>
        <v>2.9850746268656717E-3</v>
      </c>
      <c r="BL6" s="68">
        <f t="shared" si="3"/>
        <v>0.1013681592039801</v>
      </c>
      <c r="BM6" s="68">
        <f t="shared" si="3"/>
        <v>0.17661691542288557</v>
      </c>
      <c r="BN6" s="68">
        <f t="shared" si="3"/>
        <v>0.1593905472636816</v>
      </c>
      <c r="BO6" s="68">
        <f t="shared" si="3"/>
        <v>0.23955223880597015</v>
      </c>
      <c r="BP6" s="70">
        <f t="shared" si="4"/>
        <v>0.18446102819237151</v>
      </c>
      <c r="BQ6" s="180">
        <f>'FCs estimados em PVsyst'!Y4</f>
        <v>0.1868988391376451</v>
      </c>
      <c r="BR6" s="72">
        <f t="shared" si="5"/>
        <v>12.522222222222222</v>
      </c>
      <c r="BS6" s="73">
        <f t="shared" si="6"/>
        <v>-8.7458540630182408E-2</v>
      </c>
      <c r="BT6" s="74">
        <f t="shared" si="7"/>
        <v>-2.4378109452735941E-3</v>
      </c>
      <c r="BU6" s="15" t="s">
        <v>8</v>
      </c>
      <c r="BV6" s="77" t="s">
        <v>108</v>
      </c>
      <c r="BW6" s="78">
        <f>(COUNTA(BU5:BU29)-BW5-BW7)</f>
        <v>4</v>
      </c>
      <c r="BX6" s="2"/>
    </row>
    <row r="7" spans="2:76" x14ac:dyDescent="0.3">
      <c r="B7" s="771"/>
      <c r="C7" s="326" t="s">
        <v>9</v>
      </c>
      <c r="D7" s="62">
        <v>128.6</v>
      </c>
      <c r="E7" s="319">
        <v>239.5</v>
      </c>
      <c r="F7" s="63">
        <v>119.5</v>
      </c>
      <c r="G7" s="63">
        <v>188.9</v>
      </c>
      <c r="H7" s="63">
        <v>230.9</v>
      </c>
      <c r="I7" s="283">
        <v>249.7</v>
      </c>
      <c r="J7" s="319">
        <v>251.4</v>
      </c>
      <c r="K7" s="63">
        <v>213.3</v>
      </c>
      <c r="L7" s="283">
        <v>191.2</v>
      </c>
      <c r="M7" s="283">
        <v>27.6</v>
      </c>
      <c r="N7" s="283">
        <v>244.3</v>
      </c>
      <c r="O7" s="360">
        <v>239.3</v>
      </c>
      <c r="P7" s="283">
        <v>268.7</v>
      </c>
      <c r="Q7" s="283">
        <v>245.9</v>
      </c>
      <c r="R7" s="283">
        <v>245.3</v>
      </c>
      <c r="S7" s="355">
        <v>253.3</v>
      </c>
      <c r="T7" s="355">
        <v>247</v>
      </c>
      <c r="U7" s="319">
        <v>250.7</v>
      </c>
      <c r="V7" s="355">
        <v>257.7</v>
      </c>
      <c r="W7" s="355">
        <v>244.8</v>
      </c>
      <c r="X7" s="282">
        <v>56.5</v>
      </c>
      <c r="Y7" s="355">
        <v>257.89999999999998</v>
      </c>
      <c r="Z7" s="193">
        <v>249.5</v>
      </c>
      <c r="AA7" s="18">
        <v>141.19999999999999</v>
      </c>
      <c r="AB7" s="323">
        <v>150.19999999999999</v>
      </c>
      <c r="AC7" s="601">
        <v>19.3</v>
      </c>
      <c r="AD7" s="221">
        <v>125.1</v>
      </c>
      <c r="AE7" s="221">
        <v>232.2</v>
      </c>
      <c r="AF7" s="221">
        <v>206.4</v>
      </c>
      <c r="AG7" s="193">
        <v>271.3</v>
      </c>
      <c r="AH7" s="528">
        <v>266.60000000000002</v>
      </c>
      <c r="AI7" s="335">
        <f t="shared" si="8"/>
        <v>6313.8</v>
      </c>
      <c r="AJ7" s="118">
        <v>49</v>
      </c>
      <c r="AK7" s="121">
        <f t="shared" si="0"/>
        <v>5.6453136810279666E-3</v>
      </c>
      <c r="AL7" s="67">
        <f t="shared" si="1"/>
        <v>0.10935374149659864</v>
      </c>
      <c r="AM7" s="68">
        <f t="shared" si="1"/>
        <v>0.203656462585034</v>
      </c>
      <c r="AN7" s="68">
        <f t="shared" si="1"/>
        <v>0.1016156462585034</v>
      </c>
      <c r="AO7" s="68">
        <f t="shared" si="1"/>
        <v>0.16062925170068026</v>
      </c>
      <c r="AP7" s="68">
        <f t="shared" si="1"/>
        <v>0.19634353741496599</v>
      </c>
      <c r="AQ7" s="68">
        <f t="shared" si="1"/>
        <v>0.2123299319727891</v>
      </c>
      <c r="AR7" s="68">
        <f t="shared" si="1"/>
        <v>0.21377551020408164</v>
      </c>
      <c r="AS7" s="68">
        <f t="shared" si="1"/>
        <v>0.18137755102040817</v>
      </c>
      <c r="AT7" s="68">
        <f t="shared" si="1"/>
        <v>0.16258503401360544</v>
      </c>
      <c r="AU7" s="68">
        <f t="shared" si="1"/>
        <v>2.3469387755102041E-2</v>
      </c>
      <c r="AV7" s="68">
        <f t="shared" si="2"/>
        <v>0.20773809523809525</v>
      </c>
      <c r="AW7" s="68">
        <f t="shared" si="2"/>
        <v>0.20348639455782314</v>
      </c>
      <c r="AX7" s="68">
        <f t="shared" si="2"/>
        <v>0.22848639455782313</v>
      </c>
      <c r="AY7" s="68">
        <f t="shared" si="2"/>
        <v>0.20909863945578233</v>
      </c>
      <c r="AZ7" s="68">
        <f t="shared" si="2"/>
        <v>0.20858843537414967</v>
      </c>
      <c r="BA7" s="68">
        <f t="shared" si="2"/>
        <v>0.21539115646258505</v>
      </c>
      <c r="BB7" s="68">
        <f t="shared" si="2"/>
        <v>0.21003401360544219</v>
      </c>
      <c r="BC7" s="68">
        <f t="shared" si="2"/>
        <v>0.21318027210884352</v>
      </c>
      <c r="BD7" s="68">
        <f t="shared" si="2"/>
        <v>0.21913265306122448</v>
      </c>
      <c r="BE7" s="68">
        <f t="shared" si="2"/>
        <v>0.20816326530612245</v>
      </c>
      <c r="BF7" s="68">
        <f t="shared" si="2"/>
        <v>4.8044217687074828E-2</v>
      </c>
      <c r="BG7" s="68">
        <f t="shared" si="2"/>
        <v>0.21930272108843535</v>
      </c>
      <c r="BH7" s="68">
        <f t="shared" si="2"/>
        <v>0.21215986394557823</v>
      </c>
      <c r="BI7" s="68">
        <f t="shared" si="2"/>
        <v>0.12006802721088435</v>
      </c>
      <c r="BJ7" s="68">
        <f t="shared" si="2"/>
        <v>0.12772108843537414</v>
      </c>
      <c r="BK7" s="68" t="e">
        <f>IF(OR(#REF!="",#REF!="Sem monitoramento"),"VAZIO",IFERROR(#REF!/($AJ7*24),"-"))</f>
        <v>#REF!</v>
      </c>
      <c r="BL7" s="68">
        <f t="shared" si="3"/>
        <v>0.10637755102040816</v>
      </c>
      <c r="BM7" s="68">
        <f t="shared" si="3"/>
        <v>0.19744897959183672</v>
      </c>
      <c r="BN7" s="68">
        <f t="shared" si="3"/>
        <v>0.17551020408163265</v>
      </c>
      <c r="BO7" s="68" t="e">
        <f>IF(OR(#REF!="",#REF!="Sem monitoramento"),"VAZIO",IFERROR(#REF!/($AJ7*24),"-"))</f>
        <v>#REF!</v>
      </c>
      <c r="BP7" s="70">
        <f t="shared" si="4"/>
        <v>0.1789625850340136</v>
      </c>
      <c r="BQ7" s="180">
        <f>'FCs estimados em PVsyst'!Y5</f>
        <v>0.17987528344671203</v>
      </c>
      <c r="BR7" s="72">
        <f t="shared" si="5"/>
        <v>8.81388888888889</v>
      </c>
      <c r="BS7" s="73">
        <f t="shared" si="6"/>
        <v>-7.8259637188208622E-2</v>
      </c>
      <c r="BT7" s="74">
        <f t="shared" si="7"/>
        <v>-9.1269841269842056E-4</v>
      </c>
      <c r="BU7" s="15" t="s">
        <v>9</v>
      </c>
      <c r="BV7" s="79" t="s">
        <v>109</v>
      </c>
      <c r="BW7" s="80">
        <f>COUNTIF(BT5:BT29,"&lt;-0,01")</f>
        <v>4</v>
      </c>
      <c r="BX7" s="2"/>
    </row>
    <row r="8" spans="2:76" x14ac:dyDescent="0.3">
      <c r="B8" s="771"/>
      <c r="C8" s="326" t="s">
        <v>10</v>
      </c>
      <c r="D8" s="62">
        <v>71.2</v>
      </c>
      <c r="E8" s="319">
        <v>136.19999999999999</v>
      </c>
      <c r="F8" s="63">
        <v>65.7</v>
      </c>
      <c r="G8" s="63">
        <v>108.8</v>
      </c>
      <c r="H8" s="63">
        <v>128.6</v>
      </c>
      <c r="I8" s="283">
        <v>142</v>
      </c>
      <c r="J8" s="319">
        <v>143.69999999999999</v>
      </c>
      <c r="K8" s="63">
        <v>120.4</v>
      </c>
      <c r="L8" s="283">
        <v>107.3</v>
      </c>
      <c r="M8" s="283">
        <v>16.8</v>
      </c>
      <c r="N8" s="283">
        <v>135.6</v>
      </c>
      <c r="O8" s="63">
        <v>136.30000000000001</v>
      </c>
      <c r="P8" s="63">
        <v>153.6</v>
      </c>
      <c r="Q8" s="283">
        <v>140.30000000000001</v>
      </c>
      <c r="R8" s="63">
        <v>140.69999999999999</v>
      </c>
      <c r="S8" s="319">
        <v>144.30000000000001</v>
      </c>
      <c r="T8" s="319">
        <v>140.80000000000001</v>
      </c>
      <c r="U8" s="319">
        <v>143.19999999999999</v>
      </c>
      <c r="V8" s="319">
        <v>147.9</v>
      </c>
      <c r="W8" s="355">
        <v>139.5</v>
      </c>
      <c r="X8" s="282">
        <v>32</v>
      </c>
      <c r="Y8" s="355">
        <v>147.80000000000001</v>
      </c>
      <c r="Z8" s="193">
        <v>143</v>
      </c>
      <c r="AA8" s="18">
        <v>80.8</v>
      </c>
      <c r="AB8" s="323">
        <v>85.2</v>
      </c>
      <c r="AC8" s="601">
        <v>12.1</v>
      </c>
      <c r="AD8" s="221">
        <v>71.2</v>
      </c>
      <c r="AE8" s="221">
        <v>130.80000000000001</v>
      </c>
      <c r="AF8" s="221">
        <v>116.4</v>
      </c>
      <c r="AG8" s="193">
        <v>155.6</v>
      </c>
      <c r="AH8" s="528">
        <v>152.5</v>
      </c>
      <c r="AI8" s="335">
        <f t="shared" si="8"/>
        <v>3590.2999999999997</v>
      </c>
      <c r="AJ8" s="118">
        <v>33</v>
      </c>
      <c r="AK8" s="121">
        <f t="shared" si="0"/>
        <v>4.6085858585858588E-3</v>
      </c>
      <c r="AL8" s="67">
        <f t="shared" si="1"/>
        <v>8.9898989898989909E-2</v>
      </c>
      <c r="AM8" s="68">
        <f t="shared" si="1"/>
        <v>0.17196969696969697</v>
      </c>
      <c r="AN8" s="68">
        <f t="shared" si="1"/>
        <v>8.2954545454545461E-2</v>
      </c>
      <c r="AO8" s="68">
        <f t="shared" si="1"/>
        <v>0.13737373737373737</v>
      </c>
      <c r="AP8" s="68">
        <f t="shared" si="1"/>
        <v>0.16237373737373736</v>
      </c>
      <c r="AQ8" s="68">
        <f t="shared" si="1"/>
        <v>0.17929292929292928</v>
      </c>
      <c r="AR8" s="68">
        <f t="shared" si="1"/>
        <v>0.18143939393939393</v>
      </c>
      <c r="AS8" s="68">
        <f t="shared" si="1"/>
        <v>0.15202020202020203</v>
      </c>
      <c r="AT8" s="68">
        <f t="shared" si="1"/>
        <v>0.13547979797979798</v>
      </c>
      <c r="AU8" s="68">
        <f t="shared" si="1"/>
        <v>2.1212121212121213E-2</v>
      </c>
      <c r="AV8" s="68">
        <f t="shared" si="2"/>
        <v>0.1712121212121212</v>
      </c>
      <c r="AW8" s="68">
        <f t="shared" si="2"/>
        <v>0.17209595959595961</v>
      </c>
      <c r="AX8" s="68">
        <f t="shared" si="2"/>
        <v>0.19393939393939394</v>
      </c>
      <c r="AY8" s="68">
        <f t="shared" si="2"/>
        <v>0.17714646464646466</v>
      </c>
      <c r="AZ8" s="68">
        <f t="shared" si="2"/>
        <v>0.17765151515151514</v>
      </c>
      <c r="BA8" s="68">
        <f t="shared" si="2"/>
        <v>0.18219696969696972</v>
      </c>
      <c r="BB8" s="68">
        <f t="shared" si="2"/>
        <v>0.17777777777777778</v>
      </c>
      <c r="BC8" s="68">
        <f t="shared" si="2"/>
        <v>0.18080808080808081</v>
      </c>
      <c r="BD8" s="68">
        <f t="shared" si="2"/>
        <v>0.18674242424242424</v>
      </c>
      <c r="BE8" s="68">
        <f t="shared" si="2"/>
        <v>0.17613636363636365</v>
      </c>
      <c r="BF8" s="68">
        <f t="shared" si="2"/>
        <v>4.0404040404040407E-2</v>
      </c>
      <c r="BG8" s="68">
        <f t="shared" si="2"/>
        <v>0.18661616161616162</v>
      </c>
      <c r="BH8" s="68">
        <f t="shared" si="2"/>
        <v>0.18055555555555555</v>
      </c>
      <c r="BI8" s="68">
        <f t="shared" si="2"/>
        <v>0.10202020202020201</v>
      </c>
      <c r="BJ8" s="68">
        <f t="shared" si="2"/>
        <v>0.10757575757575757</v>
      </c>
      <c r="BK8" s="68" t="e">
        <f>IF(OR(#REF!="",#REF!="Sem monitoramento"),"VAZIO",IFERROR(#REF!/($AJ8*24),"-"))</f>
        <v>#REF!</v>
      </c>
      <c r="BL8" s="68">
        <f t="shared" si="3"/>
        <v>8.9898989898989909E-2</v>
      </c>
      <c r="BM8" s="68">
        <f t="shared" si="3"/>
        <v>0.16515151515151516</v>
      </c>
      <c r="BN8" s="68">
        <f t="shared" si="3"/>
        <v>0.14696969696969697</v>
      </c>
      <c r="BO8" s="68" t="e">
        <f>IF(OR(#REF!="",#REF!="Sem monitoramento"),"VAZIO",IFERROR(#REF!/($AJ8*24),"-"))</f>
        <v>#REF!</v>
      </c>
      <c r="BP8" s="70">
        <f t="shared" si="4"/>
        <v>0.15110690235690236</v>
      </c>
      <c r="BQ8" s="180">
        <f>'FCs estimados em PVsyst'!Y6</f>
        <v>0.18501683501683502</v>
      </c>
      <c r="BR8" s="72">
        <f t="shared" si="5"/>
        <v>6.1055555555555561</v>
      </c>
      <c r="BS8" s="73">
        <f t="shared" si="6"/>
        <v>-0.10206228956228956</v>
      </c>
      <c r="BT8" s="74">
        <f t="shared" si="7"/>
        <v>-3.3909932659932668E-2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572">
        <v>35.1</v>
      </c>
      <c r="E9" s="319">
        <v>61.8</v>
      </c>
      <c r="F9" s="63">
        <v>27.8</v>
      </c>
      <c r="G9" s="82">
        <v>46.3</v>
      </c>
      <c r="H9" s="82">
        <v>54.3</v>
      </c>
      <c r="I9" s="308">
        <v>61</v>
      </c>
      <c r="J9" s="319">
        <v>62.5</v>
      </c>
      <c r="K9" s="283">
        <v>58</v>
      </c>
      <c r="L9" s="63">
        <v>49.2</v>
      </c>
      <c r="M9" s="63">
        <v>6.1</v>
      </c>
      <c r="N9" s="63">
        <v>62</v>
      </c>
      <c r="O9" s="63">
        <v>58.3</v>
      </c>
      <c r="P9" s="316">
        <v>67.5</v>
      </c>
      <c r="Q9" s="283">
        <v>60.8</v>
      </c>
      <c r="R9" s="308">
        <v>60.5</v>
      </c>
      <c r="S9" s="319">
        <v>62.6</v>
      </c>
      <c r="T9" s="319">
        <v>61.8</v>
      </c>
      <c r="U9" s="511">
        <v>62.4</v>
      </c>
      <c r="V9" s="319">
        <v>64.400000000000006</v>
      </c>
      <c r="W9" s="355">
        <v>60.3</v>
      </c>
      <c r="X9" s="63">
        <v>60.3</v>
      </c>
      <c r="Y9" s="319">
        <v>62.9</v>
      </c>
      <c r="Z9" s="521">
        <v>62.7</v>
      </c>
      <c r="AA9" s="18">
        <v>34.1</v>
      </c>
      <c r="AB9" s="323">
        <v>35.9</v>
      </c>
      <c r="AC9" s="602">
        <v>3.4</v>
      </c>
      <c r="AD9" s="15">
        <v>27.1</v>
      </c>
      <c r="AE9" s="15">
        <v>53</v>
      </c>
      <c r="AF9" s="15">
        <v>49</v>
      </c>
      <c r="AG9" s="193">
        <v>68.7</v>
      </c>
      <c r="AH9" s="528">
        <v>67</v>
      </c>
      <c r="AI9" s="335">
        <f t="shared" si="8"/>
        <v>1606.8</v>
      </c>
      <c r="AJ9" s="118">
        <v>12</v>
      </c>
      <c r="AK9" s="121">
        <f t="shared" si="0"/>
        <v>5.3626543209876545E-3</v>
      </c>
      <c r="AL9" s="67">
        <f>IF(OR(D10="",D10="Sem monitoramento"),"VAZIO",IFERROR(D10/($AJ9*24),"-"))</f>
        <v>0.19930555555555554</v>
      </c>
      <c r="AM9" s="68">
        <f t="shared" si="1"/>
        <v>0.21458333333333332</v>
      </c>
      <c r="AN9" s="68">
        <f t="shared" si="1"/>
        <v>9.6527777777777782E-2</v>
      </c>
      <c r="AO9" s="68">
        <f t="shared" si="1"/>
        <v>0.16076388888888887</v>
      </c>
      <c r="AP9" s="68">
        <f t="shared" si="1"/>
        <v>0.18854166666666666</v>
      </c>
      <c r="AQ9" s="68">
        <f t="shared" si="1"/>
        <v>0.21180555555555555</v>
      </c>
      <c r="AR9" s="68">
        <f t="shared" si="1"/>
        <v>0.2170138888888889</v>
      </c>
      <c r="AS9" s="68">
        <f t="shared" si="1"/>
        <v>0.2013888888888889</v>
      </c>
      <c r="AT9" s="68">
        <f t="shared" si="1"/>
        <v>0.17083333333333334</v>
      </c>
      <c r="AU9" s="68">
        <f t="shared" si="1"/>
        <v>2.1180555555555553E-2</v>
      </c>
      <c r="AV9" s="68">
        <f t="shared" si="1"/>
        <v>0.21527777777777779</v>
      </c>
      <c r="AW9" s="68">
        <f t="shared" si="1"/>
        <v>0.20243055555555556</v>
      </c>
      <c r="AX9" s="68">
        <f>IF(OR(P10="",P10="Sem monitoramento"),"VAZIO",IFERROR(P10/($AJ9*24),"-"))</f>
        <v>0.37743055555555555</v>
      </c>
      <c r="AY9" s="68">
        <f t="shared" si="1"/>
        <v>0.21111111111111111</v>
      </c>
      <c r="AZ9" s="68">
        <f t="shared" si="1"/>
        <v>0.21006944444444445</v>
      </c>
      <c r="BA9" s="68">
        <f t="shared" si="1"/>
        <v>0.21736111111111112</v>
      </c>
      <c r="BB9" s="68">
        <f t="shared" si="2"/>
        <v>0.21458333333333332</v>
      </c>
      <c r="BC9" s="68">
        <f>IF(OR(U7="",U7="Sem monitoramento"),"VAZIO",IFERROR(U7/($AJ9*24),"-"))</f>
        <v>0.87048611111111107</v>
      </c>
      <c r="BD9" s="68">
        <f t="shared" si="2"/>
        <v>0.22361111111111112</v>
      </c>
      <c r="BE9" s="68">
        <f t="shared" si="2"/>
        <v>0.20937499999999998</v>
      </c>
      <c r="BF9" s="68">
        <f t="shared" si="2"/>
        <v>0.20937499999999998</v>
      </c>
      <c r="BG9" s="68">
        <f t="shared" si="2"/>
        <v>0.21840277777777778</v>
      </c>
      <c r="BH9" s="68">
        <f>IF(OR(Z10="",Z10="Sem monitoramento"),"VAZIO",IFERROR(Z10/($AJ9*24),"-"))</f>
        <v>0.35486111111111113</v>
      </c>
      <c r="BI9" s="68">
        <f>IF(OR(AA9="",AA9="Sem monitoramento"),"VAZIO",IFERROR(AA9/($AJ9*24),"-"))</f>
        <v>0.11840277777777779</v>
      </c>
      <c r="BJ9" s="68">
        <f>IF(OR(AB9="",AB9="Sem monitoramento"),"VAZIO",IFERROR(AB9/($AJ9*24),"-"))</f>
        <v>0.12465277777777778</v>
      </c>
      <c r="BK9" s="68">
        <f>IF(OR(AC7="",AC7="Sem monitoramento"),"VAZIO",IFERROR(AC7/($AJ9*24),"-"))</f>
        <v>6.7013888888888887E-2</v>
      </c>
      <c r="BL9" s="68">
        <f t="shared" si="3"/>
        <v>9.4097222222222221E-2</v>
      </c>
      <c r="BM9" s="68">
        <f t="shared" si="3"/>
        <v>0.18402777777777779</v>
      </c>
      <c r="BN9" s="68">
        <f t="shared" si="3"/>
        <v>0.1701388888888889</v>
      </c>
      <c r="BO9" s="68">
        <f>IF(OR(AG7="",AG7="Sem monitoramento"),"VAZIO",IFERROR(AG7/($AJ9*24),"-"))</f>
        <v>0.94201388888888893</v>
      </c>
      <c r="BP9" s="70">
        <f t="shared" si="4"/>
        <v>0.18597222222222221</v>
      </c>
      <c r="BQ9" s="180">
        <f>'FCs estimados em PVsyst'!Y7</f>
        <v>0.18333333333333332</v>
      </c>
      <c r="BR9" s="72">
        <f t="shared" si="5"/>
        <v>2.1999999999999997</v>
      </c>
      <c r="BS9" s="73">
        <f t="shared" si="6"/>
        <v>-8.6805555555555539E-2</v>
      </c>
      <c r="BT9" s="74">
        <f t="shared" si="7"/>
        <v>2.6388888888888851E-3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57.4</v>
      </c>
      <c r="E10" s="319">
        <v>82.7</v>
      </c>
      <c r="F10" s="63">
        <v>62.8</v>
      </c>
      <c r="G10" s="82">
        <v>75.099999999999994</v>
      </c>
      <c r="H10" s="82">
        <v>87.1</v>
      </c>
      <c r="I10" s="63">
        <v>96.7</v>
      </c>
      <c r="J10" s="319">
        <v>98.8</v>
      </c>
      <c r="K10" s="283">
        <v>93</v>
      </c>
      <c r="L10" s="63">
        <v>80.099999999999994</v>
      </c>
      <c r="M10" s="63">
        <v>11.8</v>
      </c>
      <c r="N10" s="63">
        <v>101.2</v>
      </c>
      <c r="O10" s="63">
        <v>95.6</v>
      </c>
      <c r="P10" s="63">
        <v>108.7</v>
      </c>
      <c r="Q10" s="283">
        <v>91.1</v>
      </c>
      <c r="R10" s="308">
        <v>105.2</v>
      </c>
      <c r="S10" s="319">
        <v>102.3</v>
      </c>
      <c r="T10" s="319">
        <v>100.7</v>
      </c>
      <c r="U10" s="319">
        <v>101.6</v>
      </c>
      <c r="V10" s="319">
        <v>104.2</v>
      </c>
      <c r="W10" s="355">
        <v>98.7</v>
      </c>
      <c r="X10" s="63">
        <v>98.2</v>
      </c>
      <c r="Y10" s="319">
        <v>102.4</v>
      </c>
      <c r="Z10" s="193">
        <v>102.2</v>
      </c>
      <c r="AA10" s="18">
        <v>60</v>
      </c>
      <c r="AB10" s="323">
        <v>62.7</v>
      </c>
      <c r="AC10" s="602">
        <v>7.1</v>
      </c>
      <c r="AD10" s="15">
        <v>51.2</v>
      </c>
      <c r="AE10" s="15">
        <v>90.9</v>
      </c>
      <c r="AF10" s="15">
        <v>83.3</v>
      </c>
      <c r="AG10" s="193">
        <v>119.7</v>
      </c>
      <c r="AH10" s="528">
        <v>116.8</v>
      </c>
      <c r="AI10" s="335">
        <f>SUM(D10:AH10)</f>
        <v>2649.2999999999997</v>
      </c>
      <c r="AJ10" s="118">
        <v>25</v>
      </c>
      <c r="AK10" s="121">
        <f t="shared" si="0"/>
        <v>5.8148148148148143E-3</v>
      </c>
      <c r="AL10" s="67" t="e">
        <f>IF(OR(#REF!="",#REF!="Sem monitoramento"),"VAZIO",IFERROR(#REF!/($AJ10*24),"-"))</f>
        <v>#REF!</v>
      </c>
      <c r="AM10" s="68">
        <f t="shared" si="1"/>
        <v>0.13783333333333334</v>
      </c>
      <c r="AN10" s="68">
        <f t="shared" si="1"/>
        <v>0.10466666666666666</v>
      </c>
      <c r="AO10" s="68">
        <f t="shared" si="1"/>
        <v>0.12516666666666665</v>
      </c>
      <c r="AP10" s="68">
        <f t="shared" si="1"/>
        <v>0.14516666666666667</v>
      </c>
      <c r="AQ10" s="68">
        <f t="shared" si="1"/>
        <v>0.16116666666666668</v>
      </c>
      <c r="AR10" s="68">
        <f t="shared" si="1"/>
        <v>0.16466666666666666</v>
      </c>
      <c r="AS10" s="68">
        <f t="shared" si="1"/>
        <v>0.155</v>
      </c>
      <c r="AT10" s="68">
        <f t="shared" si="1"/>
        <v>0.13349999999999998</v>
      </c>
      <c r="AU10" s="68">
        <f t="shared" si="1"/>
        <v>1.9666666666666669E-2</v>
      </c>
      <c r="AV10" s="68">
        <f t="shared" si="1"/>
        <v>0.16866666666666666</v>
      </c>
      <c r="AW10" s="68">
        <f t="shared" si="1"/>
        <v>0.15933333333333333</v>
      </c>
      <c r="AX10" s="68" t="e">
        <f>IF(OR(#REF!="",#REF!="Sem monitoramento"),"VAZIO",IFERROR(#REF!/($AJ10*24),"-"))</f>
        <v>#REF!</v>
      </c>
      <c r="AY10" s="68">
        <f t="shared" si="1"/>
        <v>0.15183333333333332</v>
      </c>
      <c r="AZ10" s="68">
        <f t="shared" si="1"/>
        <v>0.17533333333333334</v>
      </c>
      <c r="BA10" s="68">
        <f t="shared" si="1"/>
        <v>0.17049999999999998</v>
      </c>
      <c r="BB10" s="68">
        <f t="shared" si="2"/>
        <v>0.16783333333333333</v>
      </c>
      <c r="BC10" s="68">
        <f>IF(OR(U8="",U8="Sem monitoramento"),"VAZIO",IFERROR(U8/($AJ10*24),"-"))</f>
        <v>0.23866666666666664</v>
      </c>
      <c r="BD10" s="68">
        <f t="shared" si="2"/>
        <v>0.17366666666666666</v>
      </c>
      <c r="BE10" s="68">
        <f t="shared" si="2"/>
        <v>0.16450000000000001</v>
      </c>
      <c r="BF10" s="68">
        <f t="shared" si="2"/>
        <v>0.16366666666666668</v>
      </c>
      <c r="BG10" s="68">
        <f t="shared" si="2"/>
        <v>0.17066666666666669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0.1</v>
      </c>
      <c r="BJ10" s="68">
        <f>IF(OR(AB10="",AB10="Sem monitoramento"),"VAZIO",IFERROR(AB10/($AJ10*24),"-"))</f>
        <v>0.10450000000000001</v>
      </c>
      <c r="BK10" s="68">
        <f>IF(OR(AC8="",AC8="Sem monitoramento"),"VAZIO",IFERROR(AC8/($AJ10*24),"-"))</f>
        <v>2.0166666666666666E-2</v>
      </c>
      <c r="BL10" s="68">
        <f t="shared" si="3"/>
        <v>8.5333333333333344E-2</v>
      </c>
      <c r="BM10" s="68">
        <f t="shared" si="3"/>
        <v>0.1515</v>
      </c>
      <c r="BN10" s="68">
        <f t="shared" si="3"/>
        <v>0.13883333333333334</v>
      </c>
      <c r="BO10" s="68">
        <f>IF(OR(AG8="",AG8="Sem monitoramento"),"VAZIO",IFERROR(AG8/($AJ10*24),"-"))</f>
        <v>0.2593333333333333</v>
      </c>
      <c r="BP10" s="70">
        <f t="shared" si="4"/>
        <v>0.1471833333333333</v>
      </c>
      <c r="BQ10" s="180">
        <f>'FCs estimados em PVsyst'!Y8</f>
        <v>0.185</v>
      </c>
      <c r="BR10" s="72">
        <f t="shared" si="5"/>
        <v>4.625</v>
      </c>
      <c r="BS10" s="73">
        <f t="shared" si="6"/>
        <v>-8.033333333333334E-2</v>
      </c>
      <c r="BT10" s="74">
        <f t="shared" si="7"/>
        <v>-3.7816666666666693E-2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206.3</v>
      </c>
      <c r="E11" s="319">
        <v>348</v>
      </c>
      <c r="F11" s="63">
        <v>184.1</v>
      </c>
      <c r="G11" s="63">
        <v>196.8</v>
      </c>
      <c r="H11" s="63">
        <v>320.8</v>
      </c>
      <c r="I11" s="283">
        <v>358.3</v>
      </c>
      <c r="J11" s="283">
        <v>360.4</v>
      </c>
      <c r="K11" s="283">
        <v>317.89999999999998</v>
      </c>
      <c r="L11" s="63">
        <v>324.8</v>
      </c>
      <c r="M11" s="283">
        <v>44.4</v>
      </c>
      <c r="N11" s="63">
        <v>397.6</v>
      </c>
      <c r="O11" s="63">
        <v>342.6</v>
      </c>
      <c r="P11" s="63">
        <v>407.2</v>
      </c>
      <c r="Q11" s="283">
        <v>323.8</v>
      </c>
      <c r="R11" s="319">
        <v>378.6</v>
      </c>
      <c r="S11" s="319">
        <v>381.1</v>
      </c>
      <c r="T11" s="319">
        <v>376.2</v>
      </c>
      <c r="U11" s="319">
        <v>380.3</v>
      </c>
      <c r="V11" s="355">
        <v>389.4</v>
      </c>
      <c r="W11" s="561">
        <v>368.2</v>
      </c>
      <c r="X11" s="63">
        <v>348.3</v>
      </c>
      <c r="Y11" s="319">
        <v>381.6</v>
      </c>
      <c r="Z11" s="193">
        <v>376.4</v>
      </c>
      <c r="AA11" s="18">
        <v>217.7</v>
      </c>
      <c r="AB11" s="323">
        <v>244.5</v>
      </c>
      <c r="AC11" s="601">
        <v>36.799999999999997</v>
      </c>
      <c r="AD11" s="15">
        <v>190.9</v>
      </c>
      <c r="AE11" s="15">
        <v>301.7</v>
      </c>
      <c r="AF11" s="15">
        <v>268.3</v>
      </c>
      <c r="AG11" s="193">
        <v>421.4</v>
      </c>
      <c r="AH11" s="528">
        <v>414.1</v>
      </c>
      <c r="AI11" s="335">
        <f t="shared" si="8"/>
        <v>9608.5</v>
      </c>
      <c r="AJ11" s="118">
        <v>78</v>
      </c>
      <c r="AK11" s="121">
        <f t="shared" si="0"/>
        <v>5.4635565052231719E-3</v>
      </c>
      <c r="AL11" s="67">
        <f t="shared" ref="AL11:AU31" si="9">IF(OR(D11="",D11="Sem monitoramento"),"VAZIO",IFERROR(D11/($AJ11*24),"-"))</f>
        <v>0.11020299145299146</v>
      </c>
      <c r="AM11" s="68">
        <f t="shared" si="1"/>
        <v>0.1858974358974359</v>
      </c>
      <c r="AN11" s="68">
        <f t="shared" si="1"/>
        <v>9.8344017094017092E-2</v>
      </c>
      <c r="AO11" s="68">
        <f t="shared" si="1"/>
        <v>0.10512820512820513</v>
      </c>
      <c r="AP11" s="68">
        <f t="shared" si="1"/>
        <v>0.17136752136752137</v>
      </c>
      <c r="AQ11" s="68">
        <f t="shared" si="1"/>
        <v>0.19139957264957266</v>
      </c>
      <c r="AR11" s="68">
        <f t="shared" si="1"/>
        <v>0.1925213675213675</v>
      </c>
      <c r="AS11" s="68">
        <f t="shared" si="1"/>
        <v>0.16981837606837605</v>
      </c>
      <c r="AT11" s="68">
        <f t="shared" si="1"/>
        <v>0.1735042735042735</v>
      </c>
      <c r="AU11" s="68">
        <f t="shared" si="1"/>
        <v>2.3717948717948717E-2</v>
      </c>
      <c r="AV11" s="68">
        <f t="shared" si="1"/>
        <v>0.21239316239316242</v>
      </c>
      <c r="AW11" s="68">
        <f t="shared" si="1"/>
        <v>0.18301282051282053</v>
      </c>
      <c r="AX11" s="68">
        <f t="shared" si="1"/>
        <v>0.21752136752136753</v>
      </c>
      <c r="AY11" s="68">
        <f t="shared" si="1"/>
        <v>0.17297008547008547</v>
      </c>
      <c r="AZ11" s="68">
        <f t="shared" si="1"/>
        <v>0.20224358974358975</v>
      </c>
      <c r="BA11" s="68">
        <f t="shared" si="1"/>
        <v>0.20357905982905983</v>
      </c>
      <c r="BB11" s="68">
        <f t="shared" si="2"/>
        <v>0.20096153846153847</v>
      </c>
      <c r="BC11" s="68">
        <f t="shared" si="2"/>
        <v>0.2031517094017094</v>
      </c>
      <c r="BD11" s="68">
        <f t="shared" si="2"/>
        <v>0.2080128205128205</v>
      </c>
      <c r="BE11" s="68">
        <f>IF(OR(W12="",W12="Sem monitoramento"),"VAZIO",IFERROR(W12/($AJ11*24),"-"))</f>
        <v>0.17628205128205129</v>
      </c>
      <c r="BF11" s="68">
        <f t="shared" si="2"/>
        <v>0.18605769230769231</v>
      </c>
      <c r="BG11" s="68">
        <f t="shared" si="2"/>
        <v>0.20384615384615387</v>
      </c>
      <c r="BH11" s="68">
        <f t="shared" si="2"/>
        <v>0.20106837606837605</v>
      </c>
      <c r="BI11" s="68">
        <f t="shared" si="2"/>
        <v>0.11629273504273503</v>
      </c>
      <c r="BJ11" s="68">
        <f>IF(OR(AB9="",AB9="Sem monitoramento"),"VAZIO",IFERROR(AB9/($AJ11*24),"-"))</f>
        <v>1.9177350427350425E-2</v>
      </c>
      <c r="BK11" s="68">
        <f t="shared" ref="BK11:BL31" si="10">IF(OR(AC11="",AC11="Sem monitoramento"),"VAZIO",IFERROR(AC11/($AJ11*24),"-"))</f>
        <v>1.9658119658119658E-2</v>
      </c>
      <c r="BL11" s="68">
        <f t="shared" si="3"/>
        <v>0.10197649572649573</v>
      </c>
      <c r="BM11" s="68">
        <f t="shared" si="3"/>
        <v>0.1611645299145299</v>
      </c>
      <c r="BN11" s="68">
        <f t="shared" si="3"/>
        <v>0.14332264957264959</v>
      </c>
      <c r="BO11" s="68">
        <f t="shared" si="3"/>
        <v>0.22510683760683758</v>
      </c>
      <c r="BP11" s="70">
        <f t="shared" si="4"/>
        <v>0.17109152421652421</v>
      </c>
      <c r="BQ11" s="198">
        <f>BQ19</f>
        <v>0.168125</v>
      </c>
      <c r="BR11" s="72">
        <f t="shared" si="5"/>
        <v>13.11375</v>
      </c>
      <c r="BS11" s="73">
        <f t="shared" si="6"/>
        <v>-6.9780982905982905E-2</v>
      </c>
      <c r="BT11" s="74">
        <f t="shared" si="7"/>
        <v>2.9665242165242134E-3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150</v>
      </c>
      <c r="E12" s="573">
        <v>280</v>
      </c>
      <c r="F12" s="547">
        <v>120</v>
      </c>
      <c r="G12" s="547">
        <v>195</v>
      </c>
      <c r="H12" s="547">
        <v>210</v>
      </c>
      <c r="I12" s="573">
        <v>310</v>
      </c>
      <c r="J12" s="547">
        <v>315</v>
      </c>
      <c r="K12" s="573">
        <v>300</v>
      </c>
      <c r="L12" s="547">
        <v>220</v>
      </c>
      <c r="M12" s="547">
        <v>35</v>
      </c>
      <c r="N12" s="547">
        <v>320</v>
      </c>
      <c r="O12" s="547">
        <v>300</v>
      </c>
      <c r="P12" s="547">
        <v>350</v>
      </c>
      <c r="Q12" s="573">
        <v>300</v>
      </c>
      <c r="R12" s="573">
        <v>300</v>
      </c>
      <c r="S12" s="547">
        <v>330</v>
      </c>
      <c r="T12" s="547">
        <v>340</v>
      </c>
      <c r="U12" s="547">
        <v>350</v>
      </c>
      <c r="V12" s="547">
        <v>370</v>
      </c>
      <c r="W12" s="517">
        <v>330</v>
      </c>
      <c r="X12" s="547">
        <v>300</v>
      </c>
      <c r="Y12" s="547">
        <v>300</v>
      </c>
      <c r="Z12" s="582">
        <v>360</v>
      </c>
      <c r="AA12" s="585">
        <v>190</v>
      </c>
      <c r="AB12" s="587">
        <v>185</v>
      </c>
      <c r="AC12" s="588">
        <v>11</v>
      </c>
      <c r="AD12" s="582">
        <v>120</v>
      </c>
      <c r="AE12" s="582">
        <v>280</v>
      </c>
      <c r="AF12" s="582">
        <v>290</v>
      </c>
      <c r="AG12" s="582">
        <v>380</v>
      </c>
      <c r="AH12" s="607">
        <v>375</v>
      </c>
      <c r="AI12" s="335">
        <f t="shared" si="8"/>
        <v>8216</v>
      </c>
      <c r="AJ12" s="123">
        <v>61</v>
      </c>
      <c r="AK12" s="121" t="s">
        <v>31</v>
      </c>
      <c r="AL12" s="67">
        <f t="shared" si="9"/>
        <v>0.10245901639344263</v>
      </c>
      <c r="AM12" s="68">
        <f t="shared" si="1"/>
        <v>0.19125683060109289</v>
      </c>
      <c r="AN12" s="68">
        <f t="shared" si="1"/>
        <v>8.1967213114754092E-2</v>
      </c>
      <c r="AO12" s="68">
        <f t="shared" si="1"/>
        <v>0.13319672131147542</v>
      </c>
      <c r="AP12" s="68">
        <f t="shared" si="1"/>
        <v>0.14344262295081966</v>
      </c>
      <c r="AQ12" s="68">
        <f t="shared" si="1"/>
        <v>0.21174863387978143</v>
      </c>
      <c r="AR12" s="68">
        <f t="shared" si="1"/>
        <v>0.2151639344262295</v>
      </c>
      <c r="AS12" s="68">
        <f t="shared" si="1"/>
        <v>0.20491803278688525</v>
      </c>
      <c r="AT12" s="68">
        <f t="shared" si="1"/>
        <v>0.15027322404371585</v>
      </c>
      <c r="AU12" s="68">
        <f t="shared" si="1"/>
        <v>2.3907103825136611E-2</v>
      </c>
      <c r="AV12" s="68">
        <f t="shared" si="1"/>
        <v>0.21857923497267759</v>
      </c>
      <c r="AW12" s="68">
        <f t="shared" si="1"/>
        <v>0.20491803278688525</v>
      </c>
      <c r="AX12" s="68">
        <f t="shared" si="1"/>
        <v>0.23907103825136611</v>
      </c>
      <c r="AY12" s="68">
        <f t="shared" si="1"/>
        <v>0.20491803278688525</v>
      </c>
      <c r="AZ12" s="68">
        <f t="shared" si="1"/>
        <v>0.20491803278688525</v>
      </c>
      <c r="BA12" s="68">
        <f t="shared" si="1"/>
        <v>0.22540983606557377</v>
      </c>
      <c r="BB12" s="68">
        <f t="shared" si="2"/>
        <v>0.23224043715846995</v>
      </c>
      <c r="BC12" s="68">
        <f t="shared" si="2"/>
        <v>0.23907103825136611</v>
      </c>
      <c r="BD12" s="68">
        <f t="shared" si="2"/>
        <v>0.25273224043715847</v>
      </c>
      <c r="BE12" s="68" t="e">
        <f>IF(OR(#REF!="",#REF!="Sem monitoramento"),"VAZIO",IFERROR(#REF!/($AJ12*24),"-"))</f>
        <v>#REF!</v>
      </c>
      <c r="BF12" s="68">
        <f t="shared" si="2"/>
        <v>0.20491803278688525</v>
      </c>
      <c r="BG12" s="68">
        <f t="shared" si="2"/>
        <v>0.20491803278688525</v>
      </c>
      <c r="BH12" s="68">
        <f t="shared" si="2"/>
        <v>0.24590163934426229</v>
      </c>
      <c r="BI12" s="68">
        <f t="shared" si="2"/>
        <v>0.12978142076502733</v>
      </c>
      <c r="BJ12" s="68">
        <f t="shared" si="2"/>
        <v>0.12636612021857924</v>
      </c>
      <c r="BK12" s="68">
        <f t="shared" si="10"/>
        <v>7.513661202185792E-3</v>
      </c>
      <c r="BL12" s="68">
        <f t="shared" si="3"/>
        <v>8.1967213114754092E-2</v>
      </c>
      <c r="BM12" s="68">
        <f t="shared" si="3"/>
        <v>0.19125683060109289</v>
      </c>
      <c r="BN12" s="68">
        <f t="shared" si="3"/>
        <v>0.19808743169398907</v>
      </c>
      <c r="BO12" s="68">
        <f t="shared" si="3"/>
        <v>0.25956284153005466</v>
      </c>
      <c r="BP12" s="70">
        <f t="shared" si="4"/>
        <v>0.18706739526411659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7"/>
        <v>2.4134790528233252E-3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223">
        <v>264</v>
      </c>
      <c r="E13" s="355">
        <v>499.6</v>
      </c>
      <c r="F13" s="283">
        <v>241.5</v>
      </c>
      <c r="G13" s="283">
        <v>345.1</v>
      </c>
      <c r="H13" s="283">
        <v>381.7</v>
      </c>
      <c r="I13" s="283">
        <v>517.4</v>
      </c>
      <c r="J13" s="319">
        <v>522.20000000000005</v>
      </c>
      <c r="K13" s="283">
        <v>493.1</v>
      </c>
      <c r="L13" s="63">
        <v>420.9</v>
      </c>
      <c r="M13" s="63">
        <v>61.5</v>
      </c>
      <c r="N13" s="283">
        <v>517.29999999999995</v>
      </c>
      <c r="O13" s="63">
        <v>470.9</v>
      </c>
      <c r="P13" s="63">
        <v>545.79999999999995</v>
      </c>
      <c r="Q13" s="283">
        <v>464.4</v>
      </c>
      <c r="R13" s="308">
        <v>465.4</v>
      </c>
      <c r="S13" s="319">
        <v>518.20000000000005</v>
      </c>
      <c r="T13" s="319">
        <v>514.29999999999995</v>
      </c>
      <c r="U13" s="319">
        <v>516.5</v>
      </c>
      <c r="V13" s="319">
        <v>533.79999999999995</v>
      </c>
      <c r="W13" s="355">
        <v>502</v>
      </c>
      <c r="X13" s="63">
        <v>470.1</v>
      </c>
      <c r="Y13" s="63">
        <v>483.7</v>
      </c>
      <c r="Z13" s="193">
        <v>524.70000000000005</v>
      </c>
      <c r="AA13" s="18">
        <v>303.7</v>
      </c>
      <c r="AB13" s="323">
        <v>337</v>
      </c>
      <c r="AC13" s="602">
        <v>30</v>
      </c>
      <c r="AD13" s="45">
        <v>240</v>
      </c>
      <c r="AE13" s="15">
        <v>361.8</v>
      </c>
      <c r="AF13" s="15">
        <v>345.4</v>
      </c>
      <c r="AG13" s="15">
        <v>562.6</v>
      </c>
      <c r="AH13" s="528">
        <v>553.70000000000005</v>
      </c>
      <c r="AI13" s="335">
        <f t="shared" si="8"/>
        <v>13008.300000000001</v>
      </c>
      <c r="AJ13" s="118">
        <v>100</v>
      </c>
      <c r="AK13" s="121">
        <f t="shared" ref="AK13:AK30" si="11">F13/(AJ13*432)</f>
        <v>5.5902777777777773E-3</v>
      </c>
      <c r="AL13" s="67">
        <f t="shared" si="9"/>
        <v>0.11</v>
      </c>
      <c r="AM13" s="68">
        <f t="shared" si="1"/>
        <v>0.20816666666666667</v>
      </c>
      <c r="AN13" s="68">
        <f t="shared" si="1"/>
        <v>0.10062500000000001</v>
      </c>
      <c r="AO13" s="68">
        <f t="shared" si="1"/>
        <v>0.14379166666666668</v>
      </c>
      <c r="AP13" s="68">
        <f t="shared" si="1"/>
        <v>0.15904166666666666</v>
      </c>
      <c r="AQ13" s="68">
        <f t="shared" si="1"/>
        <v>0.21558333333333332</v>
      </c>
      <c r="AR13" s="68">
        <f t="shared" si="1"/>
        <v>0.21758333333333335</v>
      </c>
      <c r="AS13" s="68">
        <f t="shared" si="1"/>
        <v>0.20545833333333335</v>
      </c>
      <c r="AT13" s="68">
        <f t="shared" si="1"/>
        <v>0.175375</v>
      </c>
      <c r="AU13" s="68">
        <f t="shared" si="1"/>
        <v>2.5624999999999998E-2</v>
      </c>
      <c r="AV13" s="68">
        <f t="shared" si="1"/>
        <v>0.21554166666666666</v>
      </c>
      <c r="AW13" s="68">
        <f t="shared" si="1"/>
        <v>0.19620833333333332</v>
      </c>
      <c r="AX13" s="68">
        <f t="shared" si="1"/>
        <v>0.22741666666666666</v>
      </c>
      <c r="AY13" s="68">
        <f t="shared" si="1"/>
        <v>0.19349999999999998</v>
      </c>
      <c r="AZ13" s="68">
        <f t="shared" si="1"/>
        <v>0.19391666666666665</v>
      </c>
      <c r="BA13" s="68">
        <f t="shared" si="1"/>
        <v>0.21591666666666667</v>
      </c>
      <c r="BB13" s="68">
        <f t="shared" si="2"/>
        <v>0.21429166666666666</v>
      </c>
      <c r="BC13" s="68">
        <f t="shared" si="2"/>
        <v>0.21520833333333333</v>
      </c>
      <c r="BD13" s="68">
        <f t="shared" si="2"/>
        <v>0.22241666666666665</v>
      </c>
      <c r="BE13" s="68">
        <f t="shared" si="2"/>
        <v>0.20916666666666667</v>
      </c>
      <c r="BF13" s="68">
        <f t="shared" si="2"/>
        <v>0.19587500000000002</v>
      </c>
      <c r="BG13" s="68">
        <f t="shared" si="2"/>
        <v>0.20154166666666667</v>
      </c>
      <c r="BH13" s="68">
        <f t="shared" si="2"/>
        <v>0.21862500000000001</v>
      </c>
      <c r="BI13" s="68">
        <f t="shared" si="2"/>
        <v>0.12654166666666666</v>
      </c>
      <c r="BJ13" s="68">
        <f t="shared" si="2"/>
        <v>0.14041666666666666</v>
      </c>
      <c r="BK13" s="68">
        <f t="shared" si="10"/>
        <v>1.2500000000000001E-2</v>
      </c>
      <c r="BL13" s="68">
        <f t="shared" si="3"/>
        <v>0.1</v>
      </c>
      <c r="BM13" s="68">
        <f t="shared" si="3"/>
        <v>0.15075</v>
      </c>
      <c r="BN13" s="68">
        <f t="shared" si="3"/>
        <v>0.14391666666666666</v>
      </c>
      <c r="BO13" s="68">
        <f t="shared" si="3"/>
        <v>0.23441666666666669</v>
      </c>
      <c r="BP13" s="70">
        <f t="shared" si="4"/>
        <v>0.18067083333333334</v>
      </c>
      <c r="BQ13" s="198">
        <f>BQ19</f>
        <v>0.168125</v>
      </c>
      <c r="BR13" s="72">
        <f t="shared" ref="BR13:BR30" si="12">AJ13*BQ13</f>
        <v>16.8125</v>
      </c>
      <c r="BS13" s="73">
        <f t="shared" ref="BS13:BS30" si="13">AN13-BQ13</f>
        <v>-6.7499999999999991E-2</v>
      </c>
      <c r="BT13" s="74">
        <f t="shared" si="7"/>
        <v>1.2545833333333339E-2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285.39999999999998</v>
      </c>
      <c r="E14" s="319">
        <v>494</v>
      </c>
      <c r="F14" s="63">
        <v>258.3</v>
      </c>
      <c r="G14" s="63">
        <v>268.2</v>
      </c>
      <c r="H14" s="63">
        <v>443.7</v>
      </c>
      <c r="I14" s="283">
        <v>505.6</v>
      </c>
      <c r="J14" s="283">
        <v>508.6</v>
      </c>
      <c r="K14" s="283">
        <v>460.1</v>
      </c>
      <c r="L14" s="63">
        <v>454.9</v>
      </c>
      <c r="M14" s="283">
        <v>53.2</v>
      </c>
      <c r="N14" s="63">
        <v>534.20000000000005</v>
      </c>
      <c r="O14" s="63">
        <v>470.3</v>
      </c>
      <c r="P14" s="63">
        <v>536.4</v>
      </c>
      <c r="Q14" s="283">
        <v>481.6</v>
      </c>
      <c r="R14" s="319">
        <v>520</v>
      </c>
      <c r="S14" s="319">
        <v>524.4</v>
      </c>
      <c r="T14" s="319">
        <v>518.4</v>
      </c>
      <c r="U14" s="319">
        <v>515.4</v>
      </c>
      <c r="V14" s="355">
        <v>521.29999999999995</v>
      </c>
      <c r="W14" s="355">
        <v>510.3</v>
      </c>
      <c r="X14" s="63">
        <v>469.3</v>
      </c>
      <c r="Y14" s="319">
        <v>510</v>
      </c>
      <c r="Z14" s="193">
        <v>523.4</v>
      </c>
      <c r="AA14" s="18">
        <v>306.60000000000002</v>
      </c>
      <c r="AB14" s="323">
        <v>351.5</v>
      </c>
      <c r="AC14" s="601">
        <v>42</v>
      </c>
      <c r="AD14" s="15">
        <v>269.89999999999998</v>
      </c>
      <c r="AE14" s="15">
        <v>415.1</v>
      </c>
      <c r="AF14" s="15">
        <v>356.4</v>
      </c>
      <c r="AG14" s="15">
        <v>558.1</v>
      </c>
      <c r="AH14" s="528">
        <v>554.29999999999995</v>
      </c>
      <c r="AI14" s="335">
        <f t="shared" si="8"/>
        <v>13220.899999999996</v>
      </c>
      <c r="AJ14" s="118">
        <v>100</v>
      </c>
      <c r="AK14" s="121">
        <f t="shared" si="11"/>
        <v>5.9791666666666674E-3</v>
      </c>
      <c r="AL14" s="67">
        <f t="shared" si="9"/>
        <v>0.11891666666666666</v>
      </c>
      <c r="AM14" s="68">
        <f t="shared" si="1"/>
        <v>0.20583333333333334</v>
      </c>
      <c r="AN14" s="68">
        <f t="shared" si="1"/>
        <v>0.107625</v>
      </c>
      <c r="AO14" s="68">
        <f t="shared" si="1"/>
        <v>0.11175</v>
      </c>
      <c r="AP14" s="68">
        <f t="shared" si="1"/>
        <v>0.18487499999999998</v>
      </c>
      <c r="AQ14" s="68">
        <f t="shared" si="1"/>
        <v>0.21066666666666667</v>
      </c>
      <c r="AR14" s="68">
        <f t="shared" si="1"/>
        <v>0.21191666666666667</v>
      </c>
      <c r="AS14" s="68">
        <f t="shared" si="1"/>
        <v>0.19170833333333334</v>
      </c>
      <c r="AT14" s="68">
        <f t="shared" si="1"/>
        <v>0.18954166666666666</v>
      </c>
      <c r="AU14" s="68">
        <f t="shared" si="1"/>
        <v>2.2166666666666668E-2</v>
      </c>
      <c r="AV14" s="68">
        <f t="shared" si="1"/>
        <v>0.22258333333333336</v>
      </c>
      <c r="AW14" s="68">
        <f t="shared" si="1"/>
        <v>0.19595833333333335</v>
      </c>
      <c r="AX14" s="68">
        <f t="shared" si="1"/>
        <v>0.2235</v>
      </c>
      <c r="AY14" s="68">
        <f t="shared" si="1"/>
        <v>0.20066666666666669</v>
      </c>
      <c r="AZ14" s="68">
        <f t="shared" si="1"/>
        <v>0.21666666666666667</v>
      </c>
      <c r="BA14" s="68">
        <f t="shared" si="1"/>
        <v>0.2185</v>
      </c>
      <c r="BB14" s="68">
        <f t="shared" si="2"/>
        <v>0.216</v>
      </c>
      <c r="BC14" s="68">
        <f t="shared" si="2"/>
        <v>0.21475</v>
      </c>
      <c r="BD14" s="68">
        <f t="shared" si="2"/>
        <v>0.21720833333333331</v>
      </c>
      <c r="BE14" s="68">
        <f t="shared" si="2"/>
        <v>0.21262500000000001</v>
      </c>
      <c r="BF14" s="68">
        <f t="shared" si="2"/>
        <v>0.19554166666666667</v>
      </c>
      <c r="BG14" s="68">
        <f t="shared" si="2"/>
        <v>0.21249999999999999</v>
      </c>
      <c r="BH14" s="68">
        <f t="shared" si="2"/>
        <v>0.21808333333333332</v>
      </c>
      <c r="BI14" s="68">
        <f t="shared" si="2"/>
        <v>0.12775</v>
      </c>
      <c r="BJ14" s="68">
        <f t="shared" si="2"/>
        <v>0.14645833333333333</v>
      </c>
      <c r="BK14" s="68">
        <f t="shared" si="10"/>
        <v>1.7500000000000002E-2</v>
      </c>
      <c r="BL14" s="68">
        <f t="shared" si="3"/>
        <v>0.11245833333333333</v>
      </c>
      <c r="BM14" s="68">
        <f t="shared" si="3"/>
        <v>0.17295833333333335</v>
      </c>
      <c r="BN14" s="68">
        <f t="shared" si="3"/>
        <v>0.14849999999999999</v>
      </c>
      <c r="BO14" s="68">
        <f t="shared" si="3"/>
        <v>0.23254166666666667</v>
      </c>
      <c r="BP14" s="70">
        <f t="shared" si="4"/>
        <v>0.18362361111111106</v>
      </c>
      <c r="BQ14" s="198">
        <f>$BQ$19</f>
        <v>0.168125</v>
      </c>
      <c r="BR14" s="72">
        <f t="shared" si="12"/>
        <v>16.8125</v>
      </c>
      <c r="BS14" s="73">
        <f t="shared" si="13"/>
        <v>-6.0499999999999998E-2</v>
      </c>
      <c r="BT14" s="74">
        <f t="shared" si="7"/>
        <v>1.549861111111106E-2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78.099999999999994</v>
      </c>
      <c r="E15" s="319">
        <v>134.19999999999999</v>
      </c>
      <c r="F15" s="63">
        <v>70.7</v>
      </c>
      <c r="G15" s="63">
        <v>74.599999999999994</v>
      </c>
      <c r="H15" s="63">
        <v>124.7</v>
      </c>
      <c r="I15" s="283">
        <v>136.19999999999999</v>
      </c>
      <c r="J15" s="283">
        <v>136.19999999999999</v>
      </c>
      <c r="K15" s="283">
        <v>121.7</v>
      </c>
      <c r="L15" s="63">
        <v>121.2</v>
      </c>
      <c r="M15" s="283">
        <v>13.4</v>
      </c>
      <c r="N15" s="63">
        <v>149.19999999999999</v>
      </c>
      <c r="O15" s="63">
        <v>128.9</v>
      </c>
      <c r="P15" s="63">
        <v>152.9</v>
      </c>
      <c r="Q15" s="283">
        <v>136.6</v>
      </c>
      <c r="R15" s="319">
        <v>141.80000000000001</v>
      </c>
      <c r="S15" s="319">
        <v>143.1</v>
      </c>
      <c r="T15" s="319">
        <v>140.69999999999999</v>
      </c>
      <c r="U15" s="319">
        <v>142</v>
      </c>
      <c r="V15" s="355">
        <v>146</v>
      </c>
      <c r="W15" s="355">
        <v>137.6</v>
      </c>
      <c r="X15" s="63">
        <v>131</v>
      </c>
      <c r="Y15" s="319">
        <v>143.6</v>
      </c>
      <c r="Z15" s="487">
        <v>141.69999999999999</v>
      </c>
      <c r="AA15" s="18">
        <v>81.7</v>
      </c>
      <c r="AB15" s="323">
        <v>94.5</v>
      </c>
      <c r="AC15" s="601">
        <v>10.5</v>
      </c>
      <c r="AD15" s="221">
        <v>70.3</v>
      </c>
      <c r="AE15" s="15">
        <v>122.9</v>
      </c>
      <c r="AF15" s="15">
        <v>105.3</v>
      </c>
      <c r="AG15" s="15">
        <v>157.5</v>
      </c>
      <c r="AH15" s="528">
        <v>154.30000000000001</v>
      </c>
      <c r="AI15" s="335">
        <f t="shared" si="8"/>
        <v>3643.1</v>
      </c>
      <c r="AJ15" s="118">
        <v>29</v>
      </c>
      <c r="AK15" s="121">
        <f t="shared" si="11"/>
        <v>5.6433588761174974E-3</v>
      </c>
      <c r="AL15" s="67">
        <f t="shared" si="9"/>
        <v>0.11221264367816092</v>
      </c>
      <c r="AM15" s="68">
        <f t="shared" si="1"/>
        <v>0.19281609195402297</v>
      </c>
      <c r="AN15" s="68">
        <f t="shared" si="1"/>
        <v>0.10158045977011494</v>
      </c>
      <c r="AO15" s="68">
        <f t="shared" si="1"/>
        <v>0.10718390804597701</v>
      </c>
      <c r="AP15" s="68">
        <f t="shared" si="1"/>
        <v>0.17916666666666667</v>
      </c>
      <c r="AQ15" s="68">
        <f t="shared" si="1"/>
        <v>0.19568965517241377</v>
      </c>
      <c r="AR15" s="68">
        <f t="shared" si="1"/>
        <v>0.19568965517241377</v>
      </c>
      <c r="AS15" s="68">
        <f t="shared" si="1"/>
        <v>0.17485632183908045</v>
      </c>
      <c r="AT15" s="68">
        <f t="shared" si="1"/>
        <v>0.17413793103448277</v>
      </c>
      <c r="AU15" s="68">
        <f t="shared" si="1"/>
        <v>1.9252873563218392E-2</v>
      </c>
      <c r="AV15" s="68">
        <f t="shared" si="1"/>
        <v>0.21436781609195402</v>
      </c>
      <c r="AW15" s="68">
        <f t="shared" si="1"/>
        <v>0.18520114942528737</v>
      </c>
      <c r="AX15" s="68">
        <f t="shared" si="1"/>
        <v>0.21968390804597701</v>
      </c>
      <c r="AY15" s="68">
        <f t="shared" si="1"/>
        <v>0.19626436781609194</v>
      </c>
      <c r="AZ15" s="68">
        <f t="shared" si="1"/>
        <v>0.20373563218390806</v>
      </c>
      <c r="BA15" s="68">
        <f t="shared" si="1"/>
        <v>0.20560344827586205</v>
      </c>
      <c r="BB15" s="68">
        <f t="shared" si="2"/>
        <v>0.20215517241379308</v>
      </c>
      <c r="BC15" s="68">
        <f t="shared" si="2"/>
        <v>0.20402298850574713</v>
      </c>
      <c r="BD15" s="68">
        <f t="shared" si="2"/>
        <v>0.20977011494252873</v>
      </c>
      <c r="BE15" s="68">
        <f t="shared" si="2"/>
        <v>0.19770114942528735</v>
      </c>
      <c r="BF15" s="68">
        <f t="shared" si="2"/>
        <v>0.18821839080459771</v>
      </c>
      <c r="BG15" s="68">
        <f>IF(OR(Y16="",Y16="Sem monitoramento"),"VAZIO",IFERROR(Y16/($AJ15*24),"-"))</f>
        <v>0.76839080459770104</v>
      </c>
      <c r="BH15" s="68">
        <f>IF(OR(Z16="",Z16="Sem monitoramento"),"VAZIO",IFERROR(Z16/($AJ15*24),"-"))</f>
        <v>0.7777298850574712</v>
      </c>
      <c r="BI15" s="68">
        <f t="shared" si="2"/>
        <v>0.11738505747126438</v>
      </c>
      <c r="BJ15" s="68">
        <f t="shared" si="2"/>
        <v>0.13577586206896552</v>
      </c>
      <c r="BK15" s="68">
        <f t="shared" si="10"/>
        <v>1.5086206896551725E-2</v>
      </c>
      <c r="BL15" s="68">
        <f t="shared" si="3"/>
        <v>0.10100574712643677</v>
      </c>
      <c r="BM15" s="68">
        <f t="shared" si="3"/>
        <v>0.17658045977011494</v>
      </c>
      <c r="BN15" s="68">
        <f t="shared" si="3"/>
        <v>0.15129310344827585</v>
      </c>
      <c r="BO15" s="68">
        <f t="shared" si="3"/>
        <v>0.22629310344827586</v>
      </c>
      <c r="BP15" s="70">
        <f t="shared" si="4"/>
        <v>0.174477969348659</v>
      </c>
      <c r="BQ15" s="180">
        <f>'FCs estimados em PVsyst'!Y13</f>
        <v>0.1850095785440613</v>
      </c>
      <c r="BR15" s="72">
        <f t="shared" si="12"/>
        <v>5.365277777777778</v>
      </c>
      <c r="BS15" s="73">
        <f t="shared" si="13"/>
        <v>-8.3429118773946362E-2</v>
      </c>
      <c r="BT15" s="74">
        <f t="shared" si="7"/>
        <v>-1.0531609195402303E-2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358.4</v>
      </c>
      <c r="E16" s="319">
        <v>539.9</v>
      </c>
      <c r="F16" s="63">
        <v>260.60000000000002</v>
      </c>
      <c r="G16" s="63">
        <v>349.9</v>
      </c>
      <c r="H16" s="63">
        <v>464.4</v>
      </c>
      <c r="I16" s="63">
        <v>534.29999999999995</v>
      </c>
      <c r="J16" s="63">
        <v>536.79999999999995</v>
      </c>
      <c r="K16" s="63">
        <v>510.5</v>
      </c>
      <c r="L16" s="63">
        <v>457.8</v>
      </c>
      <c r="M16" s="63">
        <v>40.299999999999997</v>
      </c>
      <c r="N16" s="63">
        <v>530.9</v>
      </c>
      <c r="O16" s="63">
        <v>491.5</v>
      </c>
      <c r="P16" s="283">
        <v>570.5</v>
      </c>
      <c r="Q16" s="283">
        <v>459.5</v>
      </c>
      <c r="R16" s="319">
        <v>542.1</v>
      </c>
      <c r="S16" s="319">
        <v>546.6</v>
      </c>
      <c r="T16" s="595">
        <v>547</v>
      </c>
      <c r="U16" s="319">
        <v>542.70000000000005</v>
      </c>
      <c r="V16" s="355">
        <v>551.70000000000005</v>
      </c>
      <c r="W16" s="355">
        <v>529.5</v>
      </c>
      <c r="X16" s="63">
        <v>520.9</v>
      </c>
      <c r="Y16" s="319">
        <v>534.79999999999995</v>
      </c>
      <c r="Z16" s="193">
        <v>541.29999999999995</v>
      </c>
      <c r="AA16" s="61">
        <v>324.8</v>
      </c>
      <c r="AB16" s="323">
        <v>335.2</v>
      </c>
      <c r="AC16" s="603">
        <v>37.9</v>
      </c>
      <c r="AD16" s="15">
        <v>289.10000000000002</v>
      </c>
      <c r="AE16" s="15">
        <v>432.4</v>
      </c>
      <c r="AF16" s="15">
        <v>392.5</v>
      </c>
      <c r="AG16" s="15">
        <v>580.70000000000005</v>
      </c>
      <c r="AH16" s="528">
        <v>571.9</v>
      </c>
      <c r="AI16" s="335">
        <f t="shared" si="8"/>
        <v>13926.4</v>
      </c>
      <c r="AJ16" s="118">
        <v>100</v>
      </c>
      <c r="AK16" s="121">
        <f t="shared" si="11"/>
        <v>6.0324074074074082E-3</v>
      </c>
      <c r="AL16" s="67">
        <f t="shared" si="9"/>
        <v>0.14933333333333332</v>
      </c>
      <c r="AM16" s="68">
        <f t="shared" si="1"/>
        <v>0.22495833333333332</v>
      </c>
      <c r="AN16" s="68">
        <f t="shared" si="1"/>
        <v>0.10858333333333334</v>
      </c>
      <c r="AO16" s="68">
        <f t="shared" si="1"/>
        <v>0.14579166666666665</v>
      </c>
      <c r="AP16" s="68">
        <f t="shared" si="1"/>
        <v>0.19349999999999998</v>
      </c>
      <c r="AQ16" s="68">
        <f t="shared" si="1"/>
        <v>0.22262499999999999</v>
      </c>
      <c r="AR16" s="68">
        <f t="shared" si="1"/>
        <v>0.22366666666666665</v>
      </c>
      <c r="AS16" s="68">
        <f t="shared" si="1"/>
        <v>0.21270833333333333</v>
      </c>
      <c r="AT16" s="68">
        <f t="shared" si="1"/>
        <v>0.19075</v>
      </c>
      <c r="AU16" s="68">
        <f t="shared" si="1"/>
        <v>1.6791666666666667E-2</v>
      </c>
      <c r="AV16" s="68">
        <f t="shared" si="1"/>
        <v>0.22120833333333331</v>
      </c>
      <c r="AW16" s="68">
        <f t="shared" si="1"/>
        <v>0.20479166666666668</v>
      </c>
      <c r="AX16" s="68">
        <f t="shared" si="1"/>
        <v>0.23770833333333333</v>
      </c>
      <c r="AY16" s="68">
        <f t="shared" si="1"/>
        <v>0.19145833333333334</v>
      </c>
      <c r="AZ16" s="68">
        <f t="shared" si="1"/>
        <v>0.22587500000000002</v>
      </c>
      <c r="BA16" s="68">
        <f t="shared" si="1"/>
        <v>0.22775000000000001</v>
      </c>
      <c r="BB16" s="68">
        <f>IF(OR(T14="",T14="Sem monitoramento"),"VAZIO",IFERROR(T14/($AJ16*24),"-"))</f>
        <v>0.216</v>
      </c>
      <c r="BC16" s="68">
        <f t="shared" si="2"/>
        <v>0.22612500000000002</v>
      </c>
      <c r="BD16" s="68">
        <f t="shared" si="2"/>
        <v>0.22987500000000002</v>
      </c>
      <c r="BE16" s="68">
        <f t="shared" si="2"/>
        <v>0.22062499999999999</v>
      </c>
      <c r="BF16" s="68">
        <f t="shared" si="2"/>
        <v>0.21704166666666666</v>
      </c>
      <c r="BG16" s="68" t="e">
        <f>IF(OR(#REF!="",#REF!="Sem monitoramento"),"VAZIO",IFERROR(#REF!/($AJ16*24),"-"))</f>
        <v>#REF!</v>
      </c>
      <c r="BH16" s="68" t="e">
        <f>IF(OR(#REF!="",#REF!="Sem monitoramento"),"VAZIO",IFERROR(#REF!/($AJ16*24),"-"))</f>
        <v>#REF!</v>
      </c>
      <c r="BI16" s="68">
        <f t="shared" si="2"/>
        <v>0.13533333333333333</v>
      </c>
      <c r="BJ16" s="68">
        <f t="shared" si="2"/>
        <v>0.13966666666666666</v>
      </c>
      <c r="BK16" s="68">
        <f t="shared" si="10"/>
        <v>1.5791666666666666E-2</v>
      </c>
      <c r="BL16" s="68">
        <f t="shared" si="3"/>
        <v>0.12045833333333335</v>
      </c>
      <c r="BM16" s="68">
        <f t="shared" si="3"/>
        <v>0.18016666666666667</v>
      </c>
      <c r="BN16" s="68">
        <f t="shared" si="3"/>
        <v>0.16354166666666667</v>
      </c>
      <c r="BO16" s="68">
        <f t="shared" si="3"/>
        <v>0.24195833333333336</v>
      </c>
      <c r="BP16" s="70">
        <f t="shared" si="4"/>
        <v>0.19342222222222222</v>
      </c>
      <c r="BQ16" s="180">
        <f>'FCs estimados em PVsyst'!Y14</f>
        <v>0.16425000000000001</v>
      </c>
      <c r="BR16" s="72">
        <f t="shared" si="12"/>
        <v>16.425000000000001</v>
      </c>
      <c r="BS16" s="73">
        <f t="shared" si="13"/>
        <v>-5.566666666666667E-2</v>
      </c>
      <c r="BT16" s="74">
        <f t="shared" si="7"/>
        <v>2.9172222222222211E-2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299.10000000000002</v>
      </c>
      <c r="E17" s="319">
        <v>485.8</v>
      </c>
      <c r="F17" s="308">
        <v>226.9</v>
      </c>
      <c r="G17" s="283">
        <v>383.3</v>
      </c>
      <c r="H17" s="283">
        <v>468.9</v>
      </c>
      <c r="I17" s="82">
        <v>491.7</v>
      </c>
      <c r="J17" s="356">
        <v>502.6</v>
      </c>
      <c r="K17" s="63">
        <v>487.8</v>
      </c>
      <c r="L17" s="63">
        <v>437.2</v>
      </c>
      <c r="M17" s="63">
        <v>82.9</v>
      </c>
      <c r="N17" s="31">
        <v>469.8</v>
      </c>
      <c r="O17" s="63">
        <v>480.5</v>
      </c>
      <c r="P17" s="283">
        <v>539.1</v>
      </c>
      <c r="Q17" s="283">
        <v>502.1</v>
      </c>
      <c r="R17" s="63">
        <v>507.2</v>
      </c>
      <c r="S17" s="355">
        <v>502.8</v>
      </c>
      <c r="T17" s="319">
        <v>502.9</v>
      </c>
      <c r="U17" s="319">
        <v>508.1</v>
      </c>
      <c r="V17" s="319">
        <v>517.6</v>
      </c>
      <c r="W17" s="355">
        <v>493</v>
      </c>
      <c r="X17" s="63">
        <v>475.3</v>
      </c>
      <c r="Y17" s="63">
        <v>497.3</v>
      </c>
      <c r="Z17" s="193">
        <v>495.7</v>
      </c>
      <c r="AA17" s="18">
        <v>298.8</v>
      </c>
      <c r="AB17" s="20">
        <v>325.5</v>
      </c>
      <c r="AC17" s="601">
        <v>24.6</v>
      </c>
      <c r="AD17" s="221">
        <v>190.7</v>
      </c>
      <c r="AE17" s="15">
        <v>477.5</v>
      </c>
      <c r="AF17" s="15">
        <v>406</v>
      </c>
      <c r="AG17" s="15">
        <v>586.9</v>
      </c>
      <c r="AH17" s="528">
        <v>578.9</v>
      </c>
      <c r="AI17" s="335">
        <f t="shared" si="8"/>
        <v>13246.5</v>
      </c>
      <c r="AJ17" s="118">
        <v>100</v>
      </c>
      <c r="AK17" s="122">
        <f t="shared" si="11"/>
        <v>5.2523148148148147E-3</v>
      </c>
      <c r="AL17" s="67">
        <f t="shared" si="9"/>
        <v>0.12462500000000001</v>
      </c>
      <c r="AM17" s="68">
        <f t="shared" si="1"/>
        <v>0.20241666666666666</v>
      </c>
      <c r="AN17" s="68">
        <f t="shared" si="1"/>
        <v>9.4541666666666663E-2</v>
      </c>
      <c r="AO17" s="68">
        <f t="shared" si="1"/>
        <v>0.15970833333333334</v>
      </c>
      <c r="AP17" s="68">
        <f t="shared" si="1"/>
        <v>0.19537499999999999</v>
      </c>
      <c r="AQ17" s="68">
        <f t="shared" si="1"/>
        <v>0.204875</v>
      </c>
      <c r="AR17" s="68">
        <f t="shared" si="1"/>
        <v>0.20941666666666667</v>
      </c>
      <c r="AS17" s="68" t="e">
        <f>IF(OR(#REF!="",#REF!="Sem monitoramento"),"VAZIO",IFERROR(#REF!/($AJ17*24),"-"))</f>
        <v>#REF!</v>
      </c>
      <c r="AT17" s="68">
        <f>IF(OR(L17="",L17="Sem monitoramento"),"VAZIO",IFERROR(L17/($AJ17*24),"-"))</f>
        <v>0.18216666666666667</v>
      </c>
      <c r="AU17" s="68">
        <f>IF(OR(M17="",M17="Sem monitoramento"),"VAZIO",IFERROR(M17/($AJ17*24),"-"))</f>
        <v>3.4541666666666672E-2</v>
      </c>
      <c r="AV17" s="68">
        <f>IF(OR(N18="",N18="Sem monitoramento"),"VAZIO",IFERROR(N18/($AJ17*24),"-"))</f>
        <v>0.20120833333333332</v>
      </c>
      <c r="AW17" s="68">
        <f t="shared" si="1"/>
        <v>0.20020833333333332</v>
      </c>
      <c r="AX17" s="68">
        <f t="shared" si="1"/>
        <v>0.22462500000000002</v>
      </c>
      <c r="AY17" s="68">
        <f t="shared" si="1"/>
        <v>0.20920833333333333</v>
      </c>
      <c r="AZ17" s="68">
        <f t="shared" si="1"/>
        <v>0.21133333333333332</v>
      </c>
      <c r="BA17" s="68">
        <f t="shared" si="1"/>
        <v>0.20949999999999999</v>
      </c>
      <c r="BB17" s="68">
        <f t="shared" ref="AW17:BD31" si="14">IF(OR(T17="",T17="Sem monitoramento"),"VAZIO",IFERROR(T17/($AJ17*24),"-"))</f>
        <v>0.20954166666666665</v>
      </c>
      <c r="BC17" s="68">
        <f t="shared" si="2"/>
        <v>0.21170833333333333</v>
      </c>
      <c r="BD17" s="68">
        <f t="shared" si="2"/>
        <v>0.21566666666666667</v>
      </c>
      <c r="BE17" s="68">
        <f t="shared" si="2"/>
        <v>0.20541666666666666</v>
      </c>
      <c r="BF17" s="68">
        <f t="shared" si="2"/>
        <v>0.19804166666666667</v>
      </c>
      <c r="BG17" s="68">
        <f t="shared" si="2"/>
        <v>0.20720833333333333</v>
      </c>
      <c r="BH17" s="68">
        <f t="shared" si="2"/>
        <v>0.20654166666666665</v>
      </c>
      <c r="BI17" s="68">
        <f t="shared" si="2"/>
        <v>0.1245</v>
      </c>
      <c r="BJ17" s="68">
        <f t="shared" si="2"/>
        <v>0.135625</v>
      </c>
      <c r="BK17" s="68">
        <f t="shared" si="10"/>
        <v>1.025E-2</v>
      </c>
      <c r="BL17" s="68">
        <f t="shared" si="3"/>
        <v>7.9458333333333325E-2</v>
      </c>
      <c r="BM17" s="68">
        <f t="shared" si="3"/>
        <v>0.19895833333333332</v>
      </c>
      <c r="BN17" s="68">
        <f t="shared" si="3"/>
        <v>0.16916666666666666</v>
      </c>
      <c r="BO17" s="68">
        <f t="shared" si="3"/>
        <v>0.24454166666666666</v>
      </c>
      <c r="BP17" s="70">
        <f t="shared" si="4"/>
        <v>0.18397916666666667</v>
      </c>
      <c r="BQ17" s="198">
        <f>$BQ$19</f>
        <v>0.168125</v>
      </c>
      <c r="BR17" s="90">
        <f t="shared" si="12"/>
        <v>16.8125</v>
      </c>
      <c r="BS17" s="73">
        <f t="shared" si="13"/>
        <v>-7.3583333333333334E-2</v>
      </c>
      <c r="BT17" s="74">
        <f t="shared" si="7"/>
        <v>1.5854166666666669E-2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327.39999999999998</v>
      </c>
      <c r="E18" s="319">
        <v>499.6</v>
      </c>
      <c r="F18" s="308">
        <v>241.4</v>
      </c>
      <c r="G18" s="283">
        <v>415.1</v>
      </c>
      <c r="H18" s="63">
        <v>502.2</v>
      </c>
      <c r="I18" s="63">
        <v>516.4</v>
      </c>
      <c r="J18" s="319">
        <v>525.70000000000005</v>
      </c>
      <c r="K18" s="63">
        <v>509.3</v>
      </c>
      <c r="L18" s="63">
        <v>467.4</v>
      </c>
      <c r="M18" s="316">
        <v>90.3</v>
      </c>
      <c r="N18" s="63">
        <v>482.9</v>
      </c>
      <c r="O18" s="63">
        <v>508.9</v>
      </c>
      <c r="P18" s="63">
        <v>561.79999999999995</v>
      </c>
      <c r="Q18" s="519">
        <v>524.6</v>
      </c>
      <c r="R18" s="63">
        <v>536.70000000000005</v>
      </c>
      <c r="S18" s="355">
        <v>530.29999999999995</v>
      </c>
      <c r="T18" s="319">
        <v>531</v>
      </c>
      <c r="U18" s="355">
        <v>535.29999999999995</v>
      </c>
      <c r="V18" s="355">
        <v>542</v>
      </c>
      <c r="W18" s="355">
        <v>520</v>
      </c>
      <c r="X18" s="282">
        <v>90.7</v>
      </c>
      <c r="Y18" s="282">
        <v>82.3</v>
      </c>
      <c r="Z18" s="583">
        <v>141.1</v>
      </c>
      <c r="AA18" s="18">
        <v>322.7</v>
      </c>
      <c r="AB18" s="20">
        <v>348</v>
      </c>
      <c r="AC18" s="601">
        <v>26.9</v>
      </c>
      <c r="AD18" s="221">
        <v>209.3</v>
      </c>
      <c r="AE18" s="15">
        <v>478.3</v>
      </c>
      <c r="AF18" s="15">
        <v>412.5</v>
      </c>
      <c r="AG18" s="15">
        <v>577.5</v>
      </c>
      <c r="AH18" s="528">
        <v>568</v>
      </c>
      <c r="AI18" s="335">
        <f t="shared" si="8"/>
        <v>12625.6</v>
      </c>
      <c r="AJ18" s="118">
        <v>100</v>
      </c>
      <c r="AK18" s="122">
        <f t="shared" si="11"/>
        <v>5.587962962962963E-3</v>
      </c>
      <c r="AL18" s="67">
        <f t="shared" si="9"/>
        <v>0.13641666666666666</v>
      </c>
      <c r="AM18" s="68">
        <f t="shared" si="1"/>
        <v>0.20816666666666667</v>
      </c>
      <c r="AN18" s="68">
        <f t="shared" si="1"/>
        <v>0.10058333333333333</v>
      </c>
      <c r="AO18" s="68">
        <f t="shared" si="1"/>
        <v>0.17295833333333335</v>
      </c>
      <c r="AP18" s="68">
        <f t="shared" si="1"/>
        <v>0.20924999999999999</v>
      </c>
      <c r="AQ18" s="68">
        <f t="shared" si="1"/>
        <v>0.21516666666666664</v>
      </c>
      <c r="AR18" s="68">
        <f t="shared" si="1"/>
        <v>0.21904166666666669</v>
      </c>
      <c r="AS18" s="68">
        <f>IF(OR(K18="",K18="Sem monitoramento"),"VAZIO",IFERROR(K18/($AJ18*24),"-"))</f>
        <v>0.21220833333333333</v>
      </c>
      <c r="AT18" s="68">
        <f>IF(OR(L18="",L18="Sem monitoramento"),"VAZIO",IFERROR(L18/($AJ18*24),"-"))</f>
        <v>0.19474999999999998</v>
      </c>
      <c r="AU18" s="68">
        <f>IF(OR(M19="",M19="Sem monitoramento"),"VAZIO",IFERROR(M19/($AJ18*24),"-"))</f>
        <v>2.1666666666666667E-2</v>
      </c>
      <c r="AV18" s="68" t="e">
        <f>IF(OR(#REF!="",#REF!="Sem monitoramento"),"VAZIO",IFERROR(#REF!/($AJ18*24),"-"))</f>
        <v>#REF!</v>
      </c>
      <c r="AW18" s="68">
        <f t="shared" si="14"/>
        <v>0.21204166666666666</v>
      </c>
      <c r="AX18" s="68">
        <f t="shared" si="14"/>
        <v>0.23408333333333331</v>
      </c>
      <c r="AY18" s="68">
        <f>IF(OR(Q19="",Q19="Sem monitoramento"),"VAZIO",IFERROR(Q19/($AJ18*24),"-"))</f>
        <v>0.17937500000000001</v>
      </c>
      <c r="AZ18" s="68" t="e">
        <f>IF(OR(#REF!="",#REF!="Sem monitoramento"),"VAZIO",IFERROR(#REF!/($AJ18*24),"-"))</f>
        <v>#REF!</v>
      </c>
      <c r="BA18" s="68">
        <f t="shared" si="14"/>
        <v>0.22095833333333331</v>
      </c>
      <c r="BB18" s="68">
        <f t="shared" si="14"/>
        <v>0.22125</v>
      </c>
      <c r="BC18" s="68">
        <f t="shared" si="2"/>
        <v>0.22304166666666664</v>
      </c>
      <c r="BD18" s="68">
        <f t="shared" si="2"/>
        <v>0.22583333333333333</v>
      </c>
      <c r="BE18" s="68">
        <f t="shared" si="2"/>
        <v>0.21666666666666667</v>
      </c>
      <c r="BF18" s="68">
        <f t="shared" si="2"/>
        <v>3.7791666666666668E-2</v>
      </c>
      <c r="BG18" s="68">
        <f t="shared" si="2"/>
        <v>3.4291666666666665E-2</v>
      </c>
      <c r="BH18" s="68">
        <f t="shared" si="2"/>
        <v>5.8791666666666666E-2</v>
      </c>
      <c r="BI18" s="68">
        <f t="shared" si="2"/>
        <v>0.13445833333333332</v>
      </c>
      <c r="BJ18" s="68">
        <f t="shared" si="2"/>
        <v>0.14499999999999999</v>
      </c>
      <c r="BK18" s="68">
        <f t="shared" si="10"/>
        <v>1.1208333333333332E-2</v>
      </c>
      <c r="BL18" s="68">
        <f t="shared" si="3"/>
        <v>8.7208333333333332E-2</v>
      </c>
      <c r="BM18" s="68">
        <f t="shared" si="3"/>
        <v>0.19929166666666667</v>
      </c>
      <c r="BN18" s="68">
        <f t="shared" si="3"/>
        <v>0.171875</v>
      </c>
      <c r="BO18" s="68">
        <f t="shared" si="3"/>
        <v>0.24062500000000001</v>
      </c>
      <c r="BP18" s="70">
        <f t="shared" si="4"/>
        <v>0.17535555555555557</v>
      </c>
      <c r="BQ18" s="198">
        <f>$BQ$19</f>
        <v>0.168125</v>
      </c>
      <c r="BR18" s="90">
        <f t="shared" si="12"/>
        <v>16.8125</v>
      </c>
      <c r="BS18" s="73">
        <f t="shared" si="13"/>
        <v>-6.7541666666666667E-2</v>
      </c>
      <c r="BT18" s="74">
        <f t="shared" si="7"/>
        <v>7.2305555555555734E-3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247.7</v>
      </c>
      <c r="E19" s="319">
        <v>407.2</v>
      </c>
      <c r="F19" s="63">
        <v>201</v>
      </c>
      <c r="G19" s="283">
        <v>274.89999999999998</v>
      </c>
      <c r="H19" s="283">
        <v>362.8</v>
      </c>
      <c r="I19" s="63">
        <v>418.1</v>
      </c>
      <c r="J19" s="355">
        <v>420.9</v>
      </c>
      <c r="K19" s="319">
        <v>412.3</v>
      </c>
      <c r="L19" s="63">
        <v>357.9</v>
      </c>
      <c r="M19" s="63">
        <v>52</v>
      </c>
      <c r="N19" s="63">
        <v>388</v>
      </c>
      <c r="O19" s="63">
        <v>407.3</v>
      </c>
      <c r="P19" s="63">
        <v>456.3</v>
      </c>
      <c r="Q19" s="283">
        <v>430.5</v>
      </c>
      <c r="R19" s="63">
        <v>416.6</v>
      </c>
      <c r="S19" s="319">
        <v>420.8</v>
      </c>
      <c r="T19" s="319">
        <v>422</v>
      </c>
      <c r="U19" s="319">
        <v>425.6</v>
      </c>
      <c r="V19" s="355">
        <v>431.6</v>
      </c>
      <c r="W19" s="355">
        <v>413.4</v>
      </c>
      <c r="X19" s="316">
        <v>409</v>
      </c>
      <c r="Y19" s="316">
        <v>356.7</v>
      </c>
      <c r="Z19" s="319">
        <v>419.5</v>
      </c>
      <c r="AA19" s="18">
        <v>254.4</v>
      </c>
      <c r="AB19" s="323">
        <v>288.3</v>
      </c>
      <c r="AC19" s="603">
        <v>37.799999999999997</v>
      </c>
      <c r="AD19" s="283">
        <v>171.5</v>
      </c>
      <c r="AE19" s="221">
        <v>374.8</v>
      </c>
      <c r="AF19" s="15">
        <v>326.7</v>
      </c>
      <c r="AG19" s="15">
        <v>466.9</v>
      </c>
      <c r="AH19" s="528">
        <v>459.2</v>
      </c>
      <c r="AI19" s="335">
        <f t="shared" si="8"/>
        <v>10931.7</v>
      </c>
      <c r="AJ19" s="118">
        <v>80</v>
      </c>
      <c r="AK19" s="121">
        <f t="shared" si="11"/>
        <v>5.8159722222222224E-3</v>
      </c>
      <c r="AL19" s="67">
        <f t="shared" si="9"/>
        <v>0.12901041666666666</v>
      </c>
      <c r="AM19" s="68">
        <f t="shared" si="1"/>
        <v>0.21208333333333332</v>
      </c>
      <c r="AN19" s="68">
        <f t="shared" si="1"/>
        <v>0.1046875</v>
      </c>
      <c r="AO19" s="68">
        <f t="shared" si="1"/>
        <v>0.14317708333333332</v>
      </c>
      <c r="AP19" s="68">
        <f t="shared" si="1"/>
        <v>0.18895833333333334</v>
      </c>
      <c r="AQ19" s="68">
        <f t="shared" si="1"/>
        <v>0.21776041666666668</v>
      </c>
      <c r="AR19" s="68">
        <f t="shared" si="1"/>
        <v>0.21921874999999999</v>
      </c>
      <c r="AS19" s="68">
        <f>IF(OR(K19="",K19="Sem monitoramento"),"VAZIO",IFERROR(K19/($AJ19*24),"-"))</f>
        <v>0.21473958333333334</v>
      </c>
      <c r="AT19" s="68">
        <f>IF(OR(L21="",L21="Sem monitoramento"),"VAZIO",IFERROR(L21/($AJ19*24),"-"))</f>
        <v>0.18625</v>
      </c>
      <c r="AU19" s="68" t="e">
        <f>IF(OR(#REF!="",#REF!="Sem monitoramento"),"VAZIO",IFERROR(#REF!/($AJ19*24),"-"))</f>
        <v>#REF!</v>
      </c>
      <c r="AV19" s="68">
        <f>IF(OR(N19="",N19="Sem monitoramento"),"VAZIO",IFERROR(N19/($AJ19*24),"-"))</f>
        <v>0.20208333333333334</v>
      </c>
      <c r="AW19" s="68">
        <f t="shared" si="14"/>
        <v>0.21213541666666666</v>
      </c>
      <c r="AX19" s="68">
        <f t="shared" si="14"/>
        <v>0.23765625000000001</v>
      </c>
      <c r="AY19" s="68" t="e">
        <f>IF(OR(#REF!="",#REF!="Sem monitoramento"),"VAZIO",IFERROR(#REF!/($AJ19*24),"-"))</f>
        <v>#REF!</v>
      </c>
      <c r="AZ19" s="68">
        <f t="shared" si="14"/>
        <v>0.21697916666666667</v>
      </c>
      <c r="BA19" s="68">
        <f t="shared" si="14"/>
        <v>0.21916666666666668</v>
      </c>
      <c r="BB19" s="68">
        <f t="shared" si="14"/>
        <v>0.21979166666666666</v>
      </c>
      <c r="BC19" s="68">
        <f>IF(OR(U19="",U19="Sem monitoramento"),"VAZIO",IFERROR(U19/($AJ19*24),"-"))</f>
        <v>0.22166666666666668</v>
      </c>
      <c r="BD19" s="68" t="e">
        <f>IF(OR(#REF!="",#REF!="Sem monitoramento"),"VAZIO",IFERROR(#REF!/($AJ19*24),"-"))</f>
        <v>#REF!</v>
      </c>
      <c r="BE19" s="68">
        <f t="shared" si="2"/>
        <v>0.21531249999999999</v>
      </c>
      <c r="BF19" s="68">
        <f>IF(OR(X21="",X21="Sem monitoramento"),"VAZIO",IFERROR(X21/($AJ19*24),"-"))</f>
        <v>0.20671874999999998</v>
      </c>
      <c r="BG19" s="68">
        <f>IF(OR(Y17="",Y17="Sem monitoramento"),"VAZIO",IFERROR(Y17/($AJ19*24),"-"))</f>
        <v>0.25901041666666669</v>
      </c>
      <c r="BH19" s="68">
        <f t="shared" si="2"/>
        <v>0.21848958333333332</v>
      </c>
      <c r="BI19" s="68">
        <f t="shared" si="2"/>
        <v>0.13250000000000001</v>
      </c>
      <c r="BJ19" s="68">
        <f t="shared" si="2"/>
        <v>0.15015625000000002</v>
      </c>
      <c r="BK19" s="68">
        <f t="shared" si="10"/>
        <v>1.96875E-2</v>
      </c>
      <c r="BL19" s="68">
        <f t="shared" si="3"/>
        <v>8.9322916666666669E-2</v>
      </c>
      <c r="BM19" s="68">
        <f t="shared" si="3"/>
        <v>0.19520833333333334</v>
      </c>
      <c r="BN19" s="68">
        <f t="shared" si="3"/>
        <v>0.17015624999999998</v>
      </c>
      <c r="BO19" s="68">
        <f t="shared" si="3"/>
        <v>0.24317708333333332</v>
      </c>
      <c r="BP19" s="70">
        <f t="shared" si="4"/>
        <v>0.18978645833333335</v>
      </c>
      <c r="BQ19" s="180">
        <f>'FCs estimados em PVsyst'!Y17</f>
        <v>0.168125</v>
      </c>
      <c r="BR19" s="72">
        <f t="shared" si="12"/>
        <v>13.45</v>
      </c>
      <c r="BS19" s="73">
        <f t="shared" si="13"/>
        <v>-6.3437499999999994E-2</v>
      </c>
      <c r="BT19" s="74">
        <f t="shared" si="7"/>
        <v>2.1661458333333355E-2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223">
        <v>304.7</v>
      </c>
      <c r="E20" s="319">
        <v>525.1</v>
      </c>
      <c r="F20" s="63">
        <v>272.10000000000002</v>
      </c>
      <c r="G20" s="63">
        <v>325.2</v>
      </c>
      <c r="H20" s="283">
        <v>445.1</v>
      </c>
      <c r="I20" s="63">
        <v>540.4</v>
      </c>
      <c r="J20" s="355">
        <v>549.29999999999995</v>
      </c>
      <c r="K20" s="511">
        <v>542.4</v>
      </c>
      <c r="L20" s="63">
        <v>495.2</v>
      </c>
      <c r="M20" s="63">
        <v>66.2</v>
      </c>
      <c r="N20" s="316">
        <v>508.9</v>
      </c>
      <c r="O20" s="63">
        <v>516.5</v>
      </c>
      <c r="P20" s="63">
        <v>573.20000000000005</v>
      </c>
      <c r="Q20" s="283">
        <v>538.70000000000005</v>
      </c>
      <c r="R20" s="316">
        <v>537.5</v>
      </c>
      <c r="S20" s="319">
        <v>551.6</v>
      </c>
      <c r="T20" s="319">
        <v>553.6</v>
      </c>
      <c r="U20" s="319">
        <v>555.70000000000005</v>
      </c>
      <c r="V20" s="561">
        <v>562.6</v>
      </c>
      <c r="W20" s="355">
        <v>543.9</v>
      </c>
      <c r="X20" s="283">
        <v>531.6</v>
      </c>
      <c r="Y20" s="63">
        <v>431.3</v>
      </c>
      <c r="Z20" s="511">
        <v>551</v>
      </c>
      <c r="AA20" s="18">
        <v>342.8</v>
      </c>
      <c r="AB20" s="323">
        <v>388.4</v>
      </c>
      <c r="AC20" s="604">
        <v>49.7</v>
      </c>
      <c r="AD20" s="283">
        <v>224.1</v>
      </c>
      <c r="AE20" s="283">
        <v>454.4</v>
      </c>
      <c r="AF20" s="283">
        <v>389</v>
      </c>
      <c r="AG20" s="221">
        <v>579.4</v>
      </c>
      <c r="AH20" s="528">
        <v>585.70000000000005</v>
      </c>
      <c r="AI20" s="335">
        <f t="shared" si="8"/>
        <v>14035.300000000001</v>
      </c>
      <c r="AJ20" s="118">
        <v>100</v>
      </c>
      <c r="AK20" s="121">
        <f t="shared" si="11"/>
        <v>6.2986111111111116E-3</v>
      </c>
      <c r="AL20" s="67">
        <f t="shared" si="9"/>
        <v>0.12695833333333334</v>
      </c>
      <c r="AM20" s="68">
        <f t="shared" si="1"/>
        <v>0.21879166666666669</v>
      </c>
      <c r="AN20" s="68">
        <f t="shared" si="1"/>
        <v>0.113375</v>
      </c>
      <c r="AO20" s="68">
        <f t="shared" si="1"/>
        <v>0.13549999999999998</v>
      </c>
      <c r="AP20" s="68">
        <f t="shared" si="1"/>
        <v>0.18545833333333334</v>
      </c>
      <c r="AQ20" s="68">
        <f t="shared" si="1"/>
        <v>0.22516666666666665</v>
      </c>
      <c r="AR20" s="68">
        <f t="shared" si="1"/>
        <v>0.22887499999999997</v>
      </c>
      <c r="AS20" s="68">
        <f>IF(OR(K17="",K17="Sem monitoramento"),"VAZIO",IFERROR(K17/($AJ20*24),"-"))</f>
        <v>0.20325000000000001</v>
      </c>
      <c r="AT20" s="68">
        <f>IF(OR(L20="",L20="Sem monitoramento"),"VAZIO",IFERROR(L20/($AJ20*24),"-"))</f>
        <v>0.20633333333333334</v>
      </c>
      <c r="AU20" s="68">
        <f>IF(OR(M20="",M20="Sem monitoramento"),"VAZIO",IFERROR(M20/($AJ20*24),"-"))</f>
        <v>2.7583333333333335E-2</v>
      </c>
      <c r="AV20" s="68">
        <f>IF(OR(N21="",N21="Sem monitoramento"),"VAZIO",IFERROR(N21/($AJ20*24),"-"))</f>
        <v>0.16116666666666668</v>
      </c>
      <c r="AW20" s="68">
        <f t="shared" si="14"/>
        <v>0.21520833333333333</v>
      </c>
      <c r="AX20" s="68">
        <f t="shared" si="14"/>
        <v>0.23883333333333334</v>
      </c>
      <c r="AY20" s="68">
        <f t="shared" si="14"/>
        <v>0.22445833333333334</v>
      </c>
      <c r="AZ20" s="68">
        <f>IF(OR(R18="",R18="Sem monitoramento"),"VAZIO",IFERROR(R18/($AJ20*24),"-"))</f>
        <v>0.22362500000000002</v>
      </c>
      <c r="BA20" s="68">
        <f>IF(OR(S21="",S21="Sem monitoramento"),"VAZIO",IFERROR(S21/($AJ20*24),"-"))</f>
        <v>0.17033333333333334</v>
      </c>
      <c r="BB20" s="68">
        <f t="shared" si="14"/>
        <v>0.23066666666666669</v>
      </c>
      <c r="BC20" s="68">
        <f>IF(OR(U20="",U20="Sem monitoramento"),"VAZIO",IFERROR(U20/($AJ20*24),"-"))</f>
        <v>0.23154166666666667</v>
      </c>
      <c r="BD20" s="68">
        <f>IF(OR(V19="",V19="Sem monitoramento"),"VAZIO",IFERROR(V19/($AJ20*24),"-"))</f>
        <v>0.17983333333333335</v>
      </c>
      <c r="BE20" s="68">
        <f t="shared" si="2"/>
        <v>0.22662499999999999</v>
      </c>
      <c r="BF20" s="68">
        <f>IF(OR(X22="",X22="Sem monitoramento"),"VAZIO",IFERROR(X22/($AJ20*24),"-"))</f>
        <v>0.21987500000000001</v>
      </c>
      <c r="BG20" s="68">
        <f>IF(OR(Y18="",Y18="Sem monitoramento"),"VAZIO",IFERROR(Y18/($AJ20*24),"-"))</f>
        <v>3.4291666666666665E-2</v>
      </c>
      <c r="BH20" s="68">
        <f t="shared" si="2"/>
        <v>0.22958333333333333</v>
      </c>
      <c r="BI20" s="68">
        <f t="shared" si="2"/>
        <v>0.14283333333333334</v>
      </c>
      <c r="BJ20" s="68">
        <f t="shared" si="2"/>
        <v>0.16183333333333333</v>
      </c>
      <c r="BK20" s="68">
        <f t="shared" si="10"/>
        <v>2.0708333333333336E-2</v>
      </c>
      <c r="BL20" s="68">
        <f>IF(OR(AD21="",AD21="Sem monitoramento"),"VAZIO",IFERROR(AD21/($AJ20*24),"-"))</f>
        <v>6.895833333333333E-2</v>
      </c>
      <c r="BM20" s="68">
        <f t="shared" si="3"/>
        <v>0.18933333333333333</v>
      </c>
      <c r="BN20" s="68">
        <f t="shared" si="3"/>
        <v>0.16208333333333333</v>
      </c>
      <c r="BO20" s="68">
        <f t="shared" si="3"/>
        <v>0.24141666666666667</v>
      </c>
      <c r="BP20" s="70">
        <f t="shared" si="4"/>
        <v>0.19493472222222225</v>
      </c>
      <c r="BQ20" s="198">
        <f t="shared" ref="BQ20:BQ30" si="15">$BQ$19</f>
        <v>0.168125</v>
      </c>
      <c r="BR20" s="72">
        <f t="shared" si="12"/>
        <v>16.8125</v>
      </c>
      <c r="BS20" s="73">
        <f t="shared" si="13"/>
        <v>-5.4749999999999993E-2</v>
      </c>
      <c r="BT20" s="74">
        <f t="shared" si="7"/>
        <v>2.6809722222222249E-2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223">
        <v>216.7</v>
      </c>
      <c r="E21" s="355">
        <v>390.8</v>
      </c>
      <c r="F21" s="283">
        <v>202.1</v>
      </c>
      <c r="G21" s="283">
        <v>241.4</v>
      </c>
      <c r="H21" s="283">
        <v>328.6</v>
      </c>
      <c r="I21" s="63">
        <v>397.8</v>
      </c>
      <c r="J21" s="355">
        <v>403.8</v>
      </c>
      <c r="K21" s="319">
        <v>400.1</v>
      </c>
      <c r="L21" s="283">
        <v>357.6</v>
      </c>
      <c r="M21" s="316">
        <v>48.4</v>
      </c>
      <c r="N21" s="63">
        <v>386.8</v>
      </c>
      <c r="O21" s="63">
        <v>389.8</v>
      </c>
      <c r="P21" s="63">
        <v>439.4</v>
      </c>
      <c r="Q21" s="283">
        <v>411</v>
      </c>
      <c r="R21" s="63">
        <v>398.4</v>
      </c>
      <c r="S21" s="319">
        <v>408.8</v>
      </c>
      <c r="T21" s="355">
        <v>410.5</v>
      </c>
      <c r="U21" s="355">
        <v>412.8</v>
      </c>
      <c r="V21" s="355">
        <v>420.4</v>
      </c>
      <c r="W21" s="355">
        <v>404.3</v>
      </c>
      <c r="X21" s="283">
        <v>396.9</v>
      </c>
      <c r="Y21" s="283">
        <v>326.3</v>
      </c>
      <c r="Z21" s="319">
        <v>412.5</v>
      </c>
      <c r="AA21" s="320">
        <v>253</v>
      </c>
      <c r="AB21" s="323">
        <v>291.8</v>
      </c>
      <c r="AC21" s="601">
        <v>36.5</v>
      </c>
      <c r="AD21" s="283">
        <v>165.5</v>
      </c>
      <c r="AE21" s="221">
        <v>338.1</v>
      </c>
      <c r="AF21" s="221">
        <v>297.7</v>
      </c>
      <c r="AG21" s="221">
        <v>450.4</v>
      </c>
      <c r="AH21" s="530">
        <v>451.6</v>
      </c>
      <c r="AI21" s="335">
        <f t="shared" si="8"/>
        <v>10489.800000000001</v>
      </c>
      <c r="AJ21" s="118">
        <v>100</v>
      </c>
      <c r="AK21" s="121">
        <f t="shared" si="11"/>
        <v>4.6782407407407406E-3</v>
      </c>
      <c r="AL21" s="67">
        <f t="shared" si="9"/>
        <v>9.0291666666666659E-2</v>
      </c>
      <c r="AM21" s="68">
        <f t="shared" si="9"/>
        <v>0.16283333333333333</v>
      </c>
      <c r="AN21" s="68">
        <f t="shared" si="9"/>
        <v>8.4208333333333329E-2</v>
      </c>
      <c r="AO21" s="68">
        <f t="shared" si="9"/>
        <v>0.10058333333333333</v>
      </c>
      <c r="AP21" s="68">
        <f t="shared" si="9"/>
        <v>0.13691666666666669</v>
      </c>
      <c r="AQ21" s="68">
        <f t="shared" si="9"/>
        <v>0.16575000000000001</v>
      </c>
      <c r="AR21" s="68">
        <f t="shared" si="9"/>
        <v>0.16825000000000001</v>
      </c>
      <c r="AS21" s="68">
        <f t="shared" si="9"/>
        <v>0.16670833333333335</v>
      </c>
      <c r="AT21" s="68">
        <f t="shared" si="9"/>
        <v>0.14900000000000002</v>
      </c>
      <c r="AU21" s="68">
        <f>IF(OR(M19="",M19="Sem monitoramento"),"VAZIO",IFERROR(M19/($AJ21*24),"-"))</f>
        <v>2.1666666666666667E-2</v>
      </c>
      <c r="AV21" s="68">
        <f>IF(OR(N22="",N22="Sem monitoramento"),"VAZIO",IFERROR(N22/($AJ21*24),"-"))</f>
        <v>0.20204166666666665</v>
      </c>
      <c r="AW21" s="68">
        <f t="shared" si="14"/>
        <v>0.16241666666666668</v>
      </c>
      <c r="AX21" s="68">
        <f t="shared" si="14"/>
        <v>0.18308333333333332</v>
      </c>
      <c r="AY21" s="68">
        <f t="shared" si="14"/>
        <v>0.17125000000000001</v>
      </c>
      <c r="AZ21" s="68">
        <f t="shared" si="14"/>
        <v>0.16599999999999998</v>
      </c>
      <c r="BA21" s="68">
        <f>IF(OR(S22="",S22="Sem monitoramento"),"VAZIO",IFERROR(S22/($AJ21*24),"-"))</f>
        <v>0.22875000000000001</v>
      </c>
      <c r="BB21" s="68">
        <f t="shared" si="14"/>
        <v>0.17104166666666668</v>
      </c>
      <c r="BC21" s="68">
        <f t="shared" si="14"/>
        <v>0.17200000000000001</v>
      </c>
      <c r="BD21" s="68">
        <f t="shared" ref="BD21:BE23" si="16">IF(OR(V21="",V21="Sem monitoramento"),"VAZIO",IFERROR(V21/($AJ21*24),"-"))</f>
        <v>0.17516666666666666</v>
      </c>
      <c r="BE21" s="68">
        <f t="shared" si="16"/>
        <v>0.16845833333333335</v>
      </c>
      <c r="BF21" s="68">
        <f>IF(OR(X23="",X23="Sem monitoramento"),"VAZIO",IFERROR(X23/($AJ21*24),"-"))</f>
        <v>0.19729166666666667</v>
      </c>
      <c r="BG21" s="68">
        <f t="shared" ref="BG21:BJ31" si="17">IF(OR(Y21="",Y21="Sem monitoramento"),"VAZIO",IFERROR(Y21/($AJ21*24),"-"))</f>
        <v>0.13595833333333335</v>
      </c>
      <c r="BH21" s="68">
        <f t="shared" si="17"/>
        <v>0.171875</v>
      </c>
      <c r="BI21" s="68">
        <f t="shared" si="17"/>
        <v>0.10541666666666667</v>
      </c>
      <c r="BJ21" s="68">
        <f>IF(OR(AB20="",AB20="Sem monitoramento"),"VAZIO",IFERROR(AB20/($AJ21*24),"-"))</f>
        <v>0.16183333333333333</v>
      </c>
      <c r="BK21" s="68">
        <f t="shared" si="10"/>
        <v>1.5208333333333334E-2</v>
      </c>
      <c r="BL21" s="68" t="e">
        <f>IF(OR(#REF!="",#REF!="Sem monitoramento"),"VAZIO",IFERROR(#REF!/($AJ21*24),"-"))</f>
        <v>#REF!</v>
      </c>
      <c r="BM21" s="68">
        <f t="shared" ref="BM21:BO31" si="18">IF(OR(AE21="",AE21="Sem monitoramento"),"VAZIO",IFERROR(AE21/($AJ21*24),"-"))</f>
        <v>0.140875</v>
      </c>
      <c r="BN21" s="68">
        <f t="shared" si="18"/>
        <v>0.12404166666666666</v>
      </c>
      <c r="BO21" s="68">
        <f t="shared" si="18"/>
        <v>0.18766666666666665</v>
      </c>
      <c r="BP21" s="70">
        <f t="shared" si="4"/>
        <v>0.14569166666666669</v>
      </c>
      <c r="BQ21" s="198">
        <f t="shared" si="15"/>
        <v>0.168125</v>
      </c>
      <c r="BR21" s="72">
        <f t="shared" si="12"/>
        <v>16.8125</v>
      </c>
      <c r="BS21" s="73">
        <f t="shared" si="13"/>
        <v>-8.3916666666666667E-2</v>
      </c>
      <c r="BT21" s="74">
        <f t="shared" si="7"/>
        <v>-2.2433333333333305E-2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62">
        <v>332.2</v>
      </c>
      <c r="E22" s="319">
        <v>540.6</v>
      </c>
      <c r="F22" s="63">
        <v>286.89999999999998</v>
      </c>
      <c r="G22" s="63">
        <v>338.8</v>
      </c>
      <c r="H22" s="282">
        <v>113.2</v>
      </c>
      <c r="I22" s="319">
        <v>540</v>
      </c>
      <c r="J22" s="319">
        <v>540.70000000000005</v>
      </c>
      <c r="K22" s="63">
        <v>506.4</v>
      </c>
      <c r="L22" s="63">
        <v>452.2</v>
      </c>
      <c r="M22" s="63">
        <v>55.5</v>
      </c>
      <c r="N22" s="63">
        <v>484.9</v>
      </c>
      <c r="O22" s="282">
        <v>152.19999999999999</v>
      </c>
      <c r="P22" s="63">
        <v>556.70000000000005</v>
      </c>
      <c r="Q22" s="283">
        <v>526.79999999999995</v>
      </c>
      <c r="R22" s="355">
        <v>550</v>
      </c>
      <c r="S22" s="355">
        <v>549</v>
      </c>
      <c r="T22" s="319">
        <v>537.70000000000005</v>
      </c>
      <c r="U22" s="319">
        <v>545.20000000000005</v>
      </c>
      <c r="V22" s="319">
        <v>559.29999999999995</v>
      </c>
      <c r="W22" s="355">
        <v>532.20000000000005</v>
      </c>
      <c r="X22" s="63">
        <v>527.70000000000005</v>
      </c>
      <c r="Y22" s="319">
        <v>555.70000000000005</v>
      </c>
      <c r="Z22" s="193">
        <v>547.4</v>
      </c>
      <c r="AA22" s="18">
        <v>319.39999999999998</v>
      </c>
      <c r="AB22" s="20">
        <v>302.2</v>
      </c>
      <c r="AC22" s="603">
        <v>57.2</v>
      </c>
      <c r="AD22" s="221">
        <v>331.6</v>
      </c>
      <c r="AE22" s="15">
        <v>459.3</v>
      </c>
      <c r="AF22" s="15">
        <v>451.4</v>
      </c>
      <c r="AG22" s="148">
        <v>588.20000000000005</v>
      </c>
      <c r="AH22" s="528">
        <v>579.70000000000005</v>
      </c>
      <c r="AI22" s="335">
        <f t="shared" si="8"/>
        <v>13420.300000000003</v>
      </c>
      <c r="AJ22" s="118">
        <v>100</v>
      </c>
      <c r="AK22" s="121">
        <f t="shared" si="11"/>
        <v>6.641203703703703E-3</v>
      </c>
      <c r="AL22" s="67">
        <f t="shared" si="9"/>
        <v>0.13841666666666666</v>
      </c>
      <c r="AM22" s="68">
        <f t="shared" si="9"/>
        <v>0.22525000000000001</v>
      </c>
      <c r="AN22" s="68">
        <f t="shared" si="9"/>
        <v>0.11954166666666666</v>
      </c>
      <c r="AO22" s="68">
        <f t="shared" si="9"/>
        <v>0.14116666666666666</v>
      </c>
      <c r="AP22" s="68">
        <f t="shared" si="9"/>
        <v>4.7166666666666669E-2</v>
      </c>
      <c r="AQ22" s="68">
        <f t="shared" si="9"/>
        <v>0.22500000000000001</v>
      </c>
      <c r="AR22" s="68">
        <f t="shared" si="9"/>
        <v>0.2252916666666667</v>
      </c>
      <c r="AS22" s="68">
        <f t="shared" si="9"/>
        <v>0.21099999999999999</v>
      </c>
      <c r="AT22" s="68">
        <f t="shared" si="9"/>
        <v>0.18841666666666665</v>
      </c>
      <c r="AU22" s="68" t="e">
        <f>IF(OR(#REF!="",#REF!="Sem monitoramento"),"VAZIO",IFERROR(#REF!/($AJ22*24),"-"))</f>
        <v>#REF!</v>
      </c>
      <c r="AV22" s="68">
        <f>IF(OR(N22="",N22="Sem monitoramento"),"VAZIO",IFERROR(N22/($AJ22*24),"-"))</f>
        <v>0.20204166666666665</v>
      </c>
      <c r="AW22" s="68">
        <f t="shared" si="14"/>
        <v>6.3416666666666663E-2</v>
      </c>
      <c r="AX22" s="68">
        <f t="shared" si="14"/>
        <v>0.23195833333333335</v>
      </c>
      <c r="AY22" s="68">
        <f t="shared" si="14"/>
        <v>0.21949999999999997</v>
      </c>
      <c r="AZ22" s="68">
        <f t="shared" si="14"/>
        <v>0.22916666666666666</v>
      </c>
      <c r="BA22" s="68">
        <f t="shared" si="14"/>
        <v>0.22875000000000001</v>
      </c>
      <c r="BB22" s="68">
        <f t="shared" si="14"/>
        <v>0.22404166666666669</v>
      </c>
      <c r="BC22" s="68">
        <f t="shared" si="14"/>
        <v>0.22716666666666668</v>
      </c>
      <c r="BD22" s="68">
        <f t="shared" si="16"/>
        <v>0.23304166666666665</v>
      </c>
      <c r="BE22" s="68">
        <f t="shared" si="16"/>
        <v>0.22175000000000003</v>
      </c>
      <c r="BF22" s="68">
        <f>IF(OR(X22="",X22="Sem monitoramento"),"VAZIO",IFERROR(X22/($AJ22*24),"-"))</f>
        <v>0.21987500000000001</v>
      </c>
      <c r="BG22" s="68">
        <f t="shared" si="17"/>
        <v>0.23154166666666667</v>
      </c>
      <c r="BH22" s="68">
        <f t="shared" si="17"/>
        <v>0.22808333333333333</v>
      </c>
      <c r="BI22" s="68">
        <f t="shared" si="17"/>
        <v>0.13308333333333333</v>
      </c>
      <c r="BJ22" s="68">
        <f>IF(OR(AB21="",AB21="Sem monitoramento"),"VAZIO",IFERROR(AB21/($AJ22*24),"-"))</f>
        <v>0.12158333333333333</v>
      </c>
      <c r="BK22" s="68">
        <f t="shared" si="10"/>
        <v>2.3833333333333335E-2</v>
      </c>
      <c r="BL22" s="68">
        <f t="shared" si="10"/>
        <v>0.13816666666666669</v>
      </c>
      <c r="BM22" s="68">
        <f t="shared" si="18"/>
        <v>0.19137500000000002</v>
      </c>
      <c r="BN22" s="68">
        <f t="shared" si="18"/>
        <v>0.18808333333333332</v>
      </c>
      <c r="BO22" s="68">
        <f>IF(OR(AG23="",AG23="Sem monitoramento"),"VAZIO",IFERROR(AG23/($AJ22*24),"-"))</f>
        <v>0.22775000000000001</v>
      </c>
      <c r="BP22" s="70">
        <f t="shared" si="4"/>
        <v>0.1863930555555556</v>
      </c>
      <c r="BQ22" s="198">
        <f t="shared" si="15"/>
        <v>0.168125</v>
      </c>
      <c r="BR22" s="72">
        <f t="shared" si="12"/>
        <v>16.8125</v>
      </c>
      <c r="BS22" s="73">
        <f t="shared" si="13"/>
        <v>-4.8583333333333339E-2</v>
      </c>
      <c r="BT22" s="74">
        <f t="shared" si="7"/>
        <v>1.8268055555555607E-2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293.8</v>
      </c>
      <c r="E23" s="319">
        <v>491.1</v>
      </c>
      <c r="F23" s="283">
        <v>255.2</v>
      </c>
      <c r="G23" s="63">
        <v>302</v>
      </c>
      <c r="H23" s="282">
        <v>101.6</v>
      </c>
      <c r="I23" s="319">
        <v>488</v>
      </c>
      <c r="J23" s="319">
        <v>487.6</v>
      </c>
      <c r="K23" s="63">
        <v>453.6</v>
      </c>
      <c r="L23" s="63">
        <v>406.1</v>
      </c>
      <c r="M23" s="316">
        <v>48.4</v>
      </c>
      <c r="N23" s="63">
        <v>453</v>
      </c>
      <c r="O23" s="592">
        <v>137</v>
      </c>
      <c r="P23" s="63">
        <v>520.20000000000005</v>
      </c>
      <c r="Q23" s="283">
        <v>486.5</v>
      </c>
      <c r="R23" s="319">
        <v>502.9</v>
      </c>
      <c r="S23" s="319">
        <v>502.1</v>
      </c>
      <c r="T23" s="319">
        <v>490</v>
      </c>
      <c r="U23" s="319">
        <v>496.4</v>
      </c>
      <c r="V23" s="319">
        <v>515.5</v>
      </c>
      <c r="W23" s="355">
        <v>481.1</v>
      </c>
      <c r="X23" s="63">
        <v>473.5</v>
      </c>
      <c r="Y23" s="319">
        <v>509.1</v>
      </c>
      <c r="Z23" s="193">
        <v>497.3</v>
      </c>
      <c r="AA23" s="18">
        <v>284.10000000000002</v>
      </c>
      <c r="AB23" s="20">
        <v>270.3</v>
      </c>
      <c r="AC23" s="603">
        <v>50.4</v>
      </c>
      <c r="AD23" s="15">
        <v>292.3</v>
      </c>
      <c r="AE23" s="15">
        <v>411.8</v>
      </c>
      <c r="AF23" s="15">
        <v>410.1</v>
      </c>
      <c r="AG23" s="15">
        <v>546.6</v>
      </c>
      <c r="AH23" s="528">
        <v>532</v>
      </c>
      <c r="AI23" s="335">
        <f t="shared" si="8"/>
        <v>12189.599999999999</v>
      </c>
      <c r="AJ23" s="118">
        <v>100</v>
      </c>
      <c r="AK23" s="121">
        <f t="shared" si="11"/>
        <v>5.9074074074074072E-3</v>
      </c>
      <c r="AL23" s="67">
        <f t="shared" si="9"/>
        <v>0.12241666666666667</v>
      </c>
      <c r="AM23" s="68">
        <f t="shared" si="9"/>
        <v>0.204625</v>
      </c>
      <c r="AN23" s="68">
        <f t="shared" si="9"/>
        <v>0.10633333333333334</v>
      </c>
      <c r="AO23" s="68">
        <f t="shared" si="9"/>
        <v>0.12583333333333332</v>
      </c>
      <c r="AP23" s="68">
        <f t="shared" si="9"/>
        <v>4.2333333333333334E-2</v>
      </c>
      <c r="AQ23" s="68">
        <f t="shared" si="9"/>
        <v>0.20333333333333334</v>
      </c>
      <c r="AR23" s="68">
        <f t="shared" si="9"/>
        <v>0.20316666666666669</v>
      </c>
      <c r="AS23" s="68">
        <f t="shared" si="9"/>
        <v>0.189</v>
      </c>
      <c r="AT23" s="68">
        <f t="shared" si="9"/>
        <v>0.16920833333333335</v>
      </c>
      <c r="AU23" s="68">
        <f>IF(OR(M22="",M22="Sem monitoramento"),"VAZIO",IFERROR(M22/($AJ23*24),"-"))</f>
        <v>2.3125E-2</v>
      </c>
      <c r="AV23" s="68">
        <f>IF(OR(N23="",N23="Sem monitoramento"),"VAZIO",IFERROR(N23/($AJ23*24),"-"))</f>
        <v>0.18875</v>
      </c>
      <c r="AW23" s="68">
        <f>IF(OR(O20="",O20="Sem monitoramento"),"VAZIO",IFERROR(O20/($AJ23*24),"-"))</f>
        <v>0.21520833333333333</v>
      </c>
      <c r="AX23" s="68">
        <f t="shared" si="14"/>
        <v>0.21675000000000003</v>
      </c>
      <c r="AY23" s="68">
        <f t="shared" si="14"/>
        <v>0.20270833333333332</v>
      </c>
      <c r="AZ23" s="68">
        <f t="shared" si="14"/>
        <v>0.20954166666666665</v>
      </c>
      <c r="BA23" s="68">
        <f t="shared" si="14"/>
        <v>0.20920833333333333</v>
      </c>
      <c r="BB23" s="68">
        <f t="shared" si="14"/>
        <v>0.20416666666666666</v>
      </c>
      <c r="BC23" s="68">
        <f t="shared" si="14"/>
        <v>0.20683333333333331</v>
      </c>
      <c r="BD23" s="68">
        <f t="shared" si="16"/>
        <v>0.21479166666666666</v>
      </c>
      <c r="BE23" s="68">
        <f t="shared" si="16"/>
        <v>0.20045833333333335</v>
      </c>
      <c r="BF23" s="68">
        <f>IF(OR(X23="",X23="Sem monitoramento"),"VAZIO",IFERROR(X23/($AJ23*24),"-"))</f>
        <v>0.19729166666666667</v>
      </c>
      <c r="BG23" s="68">
        <f t="shared" si="17"/>
        <v>0.21212500000000001</v>
      </c>
      <c r="BH23" s="68">
        <f t="shared" si="17"/>
        <v>0.20720833333333333</v>
      </c>
      <c r="BI23" s="68">
        <f t="shared" si="17"/>
        <v>0.11837500000000001</v>
      </c>
      <c r="BJ23" s="68">
        <f t="shared" si="17"/>
        <v>0.112625</v>
      </c>
      <c r="BK23" s="68">
        <f t="shared" si="10"/>
        <v>2.0999999999999998E-2</v>
      </c>
      <c r="BL23" s="68">
        <f t="shared" si="10"/>
        <v>0.12179166666666667</v>
      </c>
      <c r="BM23" s="68">
        <f t="shared" si="18"/>
        <v>0.17158333333333334</v>
      </c>
      <c r="BN23" s="68">
        <f t="shared" si="18"/>
        <v>0.170875</v>
      </c>
      <c r="BO23" s="68" t="e">
        <f>IF(OR(#REF!="",#REF!="Sem monitoramento"),"VAZIO",IFERROR(#REF!/($AJ23*24),"-"))</f>
        <v>#REF!</v>
      </c>
      <c r="BP23" s="70">
        <f>AI23/(AJ23*(COUNTA(D23:AG23)*24))</f>
        <v>0.16929999999999998</v>
      </c>
      <c r="BQ23" s="198">
        <f t="shared" si="15"/>
        <v>0.168125</v>
      </c>
      <c r="BR23" s="72">
        <f t="shared" si="12"/>
        <v>16.8125</v>
      </c>
      <c r="BS23" s="73">
        <f t="shared" si="13"/>
        <v>-6.1791666666666661E-2</v>
      </c>
      <c r="BT23" s="74">
        <f t="shared" si="7"/>
        <v>1.1749999999999816E-3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1171.9000000000001</v>
      </c>
      <c r="E24" s="319">
        <f>708.2+530.8+698.2</f>
        <v>1937.2</v>
      </c>
      <c r="F24" s="63">
        <f>374+273.6+365.7</f>
        <v>1013.3</v>
      </c>
      <c r="G24" s="63">
        <v>1204.8</v>
      </c>
      <c r="H24" s="282">
        <f>155.1+107.5+147.7</f>
        <v>410.3</v>
      </c>
      <c r="I24" s="319">
        <v>1937.4</v>
      </c>
      <c r="J24" s="319">
        <v>1917</v>
      </c>
      <c r="K24" s="63">
        <v>1792</v>
      </c>
      <c r="L24" s="63">
        <f>594.7+437.6+575.6</f>
        <v>1607.9</v>
      </c>
      <c r="M24" s="63">
        <v>192.4</v>
      </c>
      <c r="N24" s="283">
        <v>1743</v>
      </c>
      <c r="O24" s="282">
        <v>543.20000000000005</v>
      </c>
      <c r="P24" s="283">
        <v>2018.1</v>
      </c>
      <c r="Q24" s="283">
        <v>1884.6</v>
      </c>
      <c r="R24" s="319">
        <v>1959.6</v>
      </c>
      <c r="S24" s="319">
        <v>1939.2</v>
      </c>
      <c r="T24" s="319">
        <v>1894</v>
      </c>
      <c r="U24" s="319">
        <v>1918.9</v>
      </c>
      <c r="V24" s="487">
        <v>1978.1</v>
      </c>
      <c r="W24" s="355">
        <v>1900.2</v>
      </c>
      <c r="X24" s="316">
        <v>1858.7</v>
      </c>
      <c r="Y24" s="319">
        <v>1962.1</v>
      </c>
      <c r="Z24" s="193">
        <v>1919.7</v>
      </c>
      <c r="AA24" s="18">
        <f>416.2+304.2+404.5</f>
        <v>1124.9000000000001</v>
      </c>
      <c r="AB24" s="323">
        <f>394+286.6+383.9</f>
        <v>1064.5</v>
      </c>
      <c r="AC24" s="601">
        <v>198</v>
      </c>
      <c r="AD24" s="15">
        <f>430.4+312+418.4</f>
        <v>1160.8</v>
      </c>
      <c r="AE24" s="15">
        <v>1642.1</v>
      </c>
      <c r="AF24" s="15">
        <v>1609.6</v>
      </c>
      <c r="AG24" s="15">
        <v>2099.9</v>
      </c>
      <c r="AH24" s="528">
        <v>2090.4</v>
      </c>
      <c r="AI24" s="335">
        <f t="shared" si="8"/>
        <v>47693.799999999996</v>
      </c>
      <c r="AJ24" s="118">
        <v>383</v>
      </c>
      <c r="AK24" s="121">
        <f t="shared" si="11"/>
        <v>6.1242868194565318E-3</v>
      </c>
      <c r="AL24" s="67">
        <f t="shared" si="9"/>
        <v>0.12749129677980853</v>
      </c>
      <c r="AM24" s="68">
        <f t="shared" si="9"/>
        <v>0.21074847693646651</v>
      </c>
      <c r="AN24" s="68">
        <f t="shared" si="9"/>
        <v>0.11023716275021758</v>
      </c>
      <c r="AO24" s="68">
        <f t="shared" si="9"/>
        <v>0.1310704960835509</v>
      </c>
      <c r="AP24" s="68">
        <f t="shared" si="9"/>
        <v>4.4636640557006092E-2</v>
      </c>
      <c r="AQ24" s="68">
        <f t="shared" si="9"/>
        <v>0.21077023498694519</v>
      </c>
      <c r="AR24" s="68">
        <f t="shared" si="9"/>
        <v>0.20855091383812011</v>
      </c>
      <c r="AS24" s="68">
        <f t="shared" si="9"/>
        <v>0.19495213228894692</v>
      </c>
      <c r="AT24" s="68">
        <f t="shared" si="9"/>
        <v>0.17492384682332465</v>
      </c>
      <c r="AU24" s="68">
        <f t="shared" si="9"/>
        <v>2.093124456048738E-2</v>
      </c>
      <c r="AV24" s="68">
        <f>IF(OR(N24="",N24="Sem monitoramento"),"VAZIO",IFERROR(N24/($AJ24*24),"-"))</f>
        <v>0.18962140992167101</v>
      </c>
      <c r="AW24" s="68">
        <f t="shared" ref="AW24:AW31" si="19">IF(OR(O24="",O24="Sem monitoramento"),"VAZIO",IFERROR(O24/($AJ24*24),"-"))</f>
        <v>5.9094865100087039E-2</v>
      </c>
      <c r="AX24" s="68">
        <f t="shared" si="14"/>
        <v>0.21954960835509138</v>
      </c>
      <c r="AY24" s="68">
        <f t="shared" si="14"/>
        <v>0.20502610966057441</v>
      </c>
      <c r="AZ24" s="68">
        <f t="shared" si="14"/>
        <v>0.21318537859007833</v>
      </c>
      <c r="BA24" s="68">
        <f t="shared" si="14"/>
        <v>0.21096605744125327</v>
      </c>
      <c r="BB24" s="68">
        <f t="shared" si="14"/>
        <v>0.20604873803307225</v>
      </c>
      <c r="BC24" s="68">
        <f t="shared" si="14"/>
        <v>0.20875761531766754</v>
      </c>
      <c r="BD24" s="68" t="e">
        <f>IF(OR(#REF!="",#REF!="Sem monitoramento"),"VAZIO",IFERROR(#REF!/($AJ24*24),"-"))</f>
        <v>#REF!</v>
      </c>
      <c r="BE24" s="68">
        <f>IF(OR(W24="",W24="Sem monitoramento"),"VAZIO",IFERROR(W24/($AJ24*24),"-"))</f>
        <v>0.20672323759791122</v>
      </c>
      <c r="BF24" s="68" t="e">
        <f>IF(OR(#REF!="",#REF!="Sem monitoramento"),"VAZIO",IFERROR(#REF!/($AJ24*24),"-"))</f>
        <v>#REF!</v>
      </c>
      <c r="BG24" s="68">
        <f t="shared" si="17"/>
        <v>0.2134573542210618</v>
      </c>
      <c r="BH24" s="68">
        <f t="shared" si="17"/>
        <v>0.20884464751958226</v>
      </c>
      <c r="BI24" s="68">
        <f t="shared" si="17"/>
        <v>0.12237815491731942</v>
      </c>
      <c r="BJ24" s="68">
        <f t="shared" si="17"/>
        <v>0.11580722367275892</v>
      </c>
      <c r="BK24" s="68">
        <f t="shared" si="10"/>
        <v>2.1540469973890339E-2</v>
      </c>
      <c r="BL24" s="68">
        <f t="shared" si="10"/>
        <v>0.12628372497824195</v>
      </c>
      <c r="BM24" s="68">
        <f t="shared" si="18"/>
        <v>0.17864447345517839</v>
      </c>
      <c r="BN24" s="68">
        <f t="shared" si="18"/>
        <v>0.17510879025239337</v>
      </c>
      <c r="BO24" s="68">
        <f t="shared" si="18"/>
        <v>0.22844865100087033</v>
      </c>
      <c r="BP24" s="70">
        <f t="shared" si="4"/>
        <v>0.17295401798665505</v>
      </c>
      <c r="BQ24" s="198">
        <f t="shared" si="15"/>
        <v>0.168125</v>
      </c>
      <c r="BR24" s="72">
        <f>AJ24*BQ24</f>
        <v>64.391874999999999</v>
      </c>
      <c r="BS24" s="73">
        <f t="shared" si="13"/>
        <v>-5.7887837249782415E-2</v>
      </c>
      <c r="BT24" s="74">
        <f t="shared" si="7"/>
        <v>4.8290179866550542E-3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533.79999999999995</v>
      </c>
      <c r="E25" s="319">
        <v>571.4</v>
      </c>
      <c r="F25" s="319">
        <v>585.20000000000005</v>
      </c>
      <c r="G25" s="63">
        <v>462.4</v>
      </c>
      <c r="H25" s="319">
        <v>576.70000000000005</v>
      </c>
      <c r="I25" s="63">
        <v>530.9</v>
      </c>
      <c r="J25" s="319">
        <v>587.6</v>
      </c>
      <c r="K25" s="63">
        <v>521.9</v>
      </c>
      <c r="L25" s="63">
        <v>403.3</v>
      </c>
      <c r="M25" s="63">
        <v>92.5</v>
      </c>
      <c r="N25" s="63">
        <v>598.6</v>
      </c>
      <c r="O25" s="63">
        <v>512.5</v>
      </c>
      <c r="P25" s="63">
        <v>578.79999999999995</v>
      </c>
      <c r="Q25" s="283">
        <v>596.6</v>
      </c>
      <c r="R25" s="319">
        <v>584.4</v>
      </c>
      <c r="S25" s="319">
        <v>585.9</v>
      </c>
      <c r="T25" s="319">
        <v>585.9</v>
      </c>
      <c r="U25" s="319">
        <v>583.79999999999995</v>
      </c>
      <c r="V25" s="355">
        <v>583.79999999999995</v>
      </c>
      <c r="W25" s="355">
        <v>583.79999999999995</v>
      </c>
      <c r="X25" s="63">
        <v>499.7</v>
      </c>
      <c r="Y25" s="319">
        <v>584.9</v>
      </c>
      <c r="Z25" s="521">
        <v>580.9</v>
      </c>
      <c r="AA25" s="18">
        <v>500.4</v>
      </c>
      <c r="AB25" s="598">
        <v>74.8</v>
      </c>
      <c r="AC25" s="603">
        <v>217.4</v>
      </c>
      <c r="AD25" s="15">
        <v>621.5</v>
      </c>
      <c r="AE25" s="15">
        <v>514.6</v>
      </c>
      <c r="AF25" s="15">
        <v>490</v>
      </c>
      <c r="AG25" s="15">
        <v>603.20000000000005</v>
      </c>
      <c r="AH25" s="528">
        <v>613.70000000000005</v>
      </c>
      <c r="AI25" s="335">
        <f t="shared" si="8"/>
        <v>15960.899999999998</v>
      </c>
      <c r="AJ25" s="118">
        <v>100</v>
      </c>
      <c r="AK25" s="121">
        <f t="shared" si="11"/>
        <v>1.3546296296296298E-2</v>
      </c>
      <c r="AL25" s="67">
        <f t="shared" si="9"/>
        <v>0.22241666666666665</v>
      </c>
      <c r="AM25" s="68">
        <f t="shared" si="9"/>
        <v>0.23808333333333331</v>
      </c>
      <c r="AN25" s="68">
        <f t="shared" si="9"/>
        <v>0.24383333333333335</v>
      </c>
      <c r="AO25" s="68">
        <f t="shared" si="9"/>
        <v>0.19266666666666665</v>
      </c>
      <c r="AP25" s="68">
        <f t="shared" si="9"/>
        <v>0.24029166666666668</v>
      </c>
      <c r="AQ25" s="68">
        <f t="shared" si="9"/>
        <v>0.22120833333333331</v>
      </c>
      <c r="AR25" s="68">
        <f t="shared" si="9"/>
        <v>0.24483333333333335</v>
      </c>
      <c r="AS25" s="68">
        <f t="shared" si="9"/>
        <v>0.21745833333333334</v>
      </c>
      <c r="AT25" s="68">
        <f t="shared" si="9"/>
        <v>0.16804166666666667</v>
      </c>
      <c r="AU25" s="68">
        <f t="shared" si="9"/>
        <v>3.8541666666666669E-2</v>
      </c>
      <c r="AV25" s="68" t="e">
        <f>IF(OR(#REF!="",#REF!="Sem monitoramento"),"VAZIO",IFERROR(#REF!/($AJ25*24),"-"))</f>
        <v>#REF!</v>
      </c>
      <c r="AW25" s="68">
        <f t="shared" si="19"/>
        <v>0.21354166666666666</v>
      </c>
      <c r="AX25" s="68">
        <f t="shared" si="14"/>
        <v>0.24116666666666664</v>
      </c>
      <c r="AY25" s="68">
        <f t="shared" si="14"/>
        <v>0.24858333333333335</v>
      </c>
      <c r="AZ25" s="68">
        <f t="shared" si="14"/>
        <v>0.24349999999999999</v>
      </c>
      <c r="BA25" s="68">
        <f t="shared" si="14"/>
        <v>0.24412499999999998</v>
      </c>
      <c r="BB25" s="68">
        <f t="shared" si="14"/>
        <v>0.24412499999999998</v>
      </c>
      <c r="BC25" s="68">
        <f t="shared" si="14"/>
        <v>0.24324999999999999</v>
      </c>
      <c r="BD25" s="68">
        <f>IF(OR(V25="",V25="Sem monitoramento"),"VAZIO",IFERROR(V25/($AJ25*24),"-"))</f>
        <v>0.24324999999999999</v>
      </c>
      <c r="BE25" s="68" t="e">
        <f>IF(OR(#REF!="",#REF!="Sem monitoramento"),"VAZIO",IFERROR(#REF!/($AJ25*24),"-"))</f>
        <v>#REF!</v>
      </c>
      <c r="BF25" s="68">
        <f t="shared" ref="BF25:BF31" si="20">IF(OR(X25="",X25="Sem monitoramento"),"VAZIO",IFERROR(X25/($AJ25*24),"-"))</f>
        <v>0.20820833333333333</v>
      </c>
      <c r="BG25" s="68">
        <f t="shared" si="17"/>
        <v>0.24370833333333333</v>
      </c>
      <c r="BH25" s="68">
        <f>IF(OR(Z26="",Z26="Sem monitoramento"),"VAZIO",IFERROR(Z26/($AJ25*24),"-"))</f>
        <v>0.21179166666666668</v>
      </c>
      <c r="BI25" s="68">
        <f t="shared" si="17"/>
        <v>0.20849999999999999</v>
      </c>
      <c r="BJ25" s="68">
        <f t="shared" si="17"/>
        <v>3.1166666666666665E-2</v>
      </c>
      <c r="BK25" s="68">
        <f t="shared" si="10"/>
        <v>9.0583333333333335E-2</v>
      </c>
      <c r="BL25" s="68">
        <f t="shared" si="10"/>
        <v>0.25895833333333335</v>
      </c>
      <c r="BM25" s="68">
        <f t="shared" si="18"/>
        <v>0.21441666666666667</v>
      </c>
      <c r="BN25" s="68">
        <f t="shared" si="18"/>
        <v>0.20416666666666666</v>
      </c>
      <c r="BO25" s="68">
        <f t="shared" si="18"/>
        <v>0.25133333333333335</v>
      </c>
      <c r="BP25" s="70">
        <f t="shared" si="4"/>
        <v>0.22167916666666665</v>
      </c>
      <c r="BQ25" s="198">
        <f t="shared" si="15"/>
        <v>0.168125</v>
      </c>
      <c r="BR25" s="72">
        <f t="shared" si="12"/>
        <v>16.8125</v>
      </c>
      <c r="BS25" s="73">
        <f t="shared" si="13"/>
        <v>7.570833333333335E-2</v>
      </c>
      <c r="BT25" s="74">
        <f t="shared" si="7"/>
        <v>5.3554166666666653E-2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431.7</v>
      </c>
      <c r="E26" s="355">
        <v>501.6</v>
      </c>
      <c r="F26" s="63">
        <v>371.7</v>
      </c>
      <c r="G26" s="63">
        <v>446.7</v>
      </c>
      <c r="H26" s="63">
        <v>486.9</v>
      </c>
      <c r="I26" s="355">
        <v>503.8</v>
      </c>
      <c r="J26" s="63">
        <v>498.1</v>
      </c>
      <c r="K26" s="63">
        <v>449.3</v>
      </c>
      <c r="L26" s="63">
        <v>425.1</v>
      </c>
      <c r="M26" s="63">
        <v>53.4</v>
      </c>
      <c r="N26" s="316">
        <v>515.1</v>
      </c>
      <c r="O26" s="63">
        <v>408.4</v>
      </c>
      <c r="P26" s="63">
        <v>527.1</v>
      </c>
      <c r="Q26" s="283">
        <v>484.3</v>
      </c>
      <c r="R26" s="319">
        <v>507.5</v>
      </c>
      <c r="S26" s="319">
        <v>512.5</v>
      </c>
      <c r="T26" s="319">
        <v>509.1</v>
      </c>
      <c r="U26" s="319">
        <v>509.1</v>
      </c>
      <c r="V26" s="355">
        <v>507.1</v>
      </c>
      <c r="W26" s="561">
        <v>503.7</v>
      </c>
      <c r="X26" s="63">
        <v>506.2</v>
      </c>
      <c r="Y26" s="319">
        <v>518.70000000000005</v>
      </c>
      <c r="Z26" s="388">
        <v>508.3</v>
      </c>
      <c r="AA26" s="320">
        <v>370.3</v>
      </c>
      <c r="AB26" s="20">
        <v>236.7</v>
      </c>
      <c r="AC26" s="603">
        <v>56.9</v>
      </c>
      <c r="AD26" s="221">
        <v>313.7</v>
      </c>
      <c r="AE26" s="15">
        <v>472.9</v>
      </c>
      <c r="AF26" s="283">
        <v>408.1</v>
      </c>
      <c r="AG26" s="221">
        <v>535.4</v>
      </c>
      <c r="AH26" s="530">
        <v>530.79999999999995</v>
      </c>
      <c r="AI26" s="335">
        <f t="shared" si="8"/>
        <v>13610.200000000003</v>
      </c>
      <c r="AJ26" s="118">
        <v>100</v>
      </c>
      <c r="AK26" s="121">
        <f t="shared" si="11"/>
        <v>8.6041666666666662E-3</v>
      </c>
      <c r="AL26" s="67">
        <f t="shared" si="9"/>
        <v>0.17987500000000001</v>
      </c>
      <c r="AM26" s="68">
        <f t="shared" si="9"/>
        <v>0.20900000000000002</v>
      </c>
      <c r="AN26" s="68">
        <f t="shared" si="9"/>
        <v>0.15487499999999998</v>
      </c>
      <c r="AO26" s="68">
        <f t="shared" si="9"/>
        <v>0.18612499999999998</v>
      </c>
      <c r="AP26" s="68" t="e">
        <f>IF(OR(#REF!="",#REF!="Sem monitoramento"),"VAZIO",IFERROR(#REF!/($AJ26*24),"-"))</f>
        <v>#REF!</v>
      </c>
      <c r="AQ26" s="68">
        <f t="shared" si="9"/>
        <v>0.20991666666666667</v>
      </c>
      <c r="AR26" s="68">
        <f t="shared" si="9"/>
        <v>0.20754166666666668</v>
      </c>
      <c r="AS26" s="68">
        <f t="shared" si="9"/>
        <v>0.18720833333333334</v>
      </c>
      <c r="AT26" s="68">
        <f t="shared" si="9"/>
        <v>0.177125</v>
      </c>
      <c r="AU26" s="68">
        <f t="shared" si="9"/>
        <v>2.2249999999999999E-2</v>
      </c>
      <c r="AV26" s="68">
        <f>IF(OR(N25="",N25="Sem monitoramento"),"VAZIO",IFERROR(N25/($AJ26*24),"-"))</f>
        <v>0.24941666666666668</v>
      </c>
      <c r="AW26" s="68">
        <f t="shared" si="19"/>
        <v>0.17016666666666666</v>
      </c>
      <c r="AX26" s="68">
        <f t="shared" si="14"/>
        <v>0.21962500000000001</v>
      </c>
      <c r="AY26" s="68">
        <f t="shared" si="14"/>
        <v>0.20179166666666667</v>
      </c>
      <c r="AZ26" s="68">
        <f t="shared" si="14"/>
        <v>0.21145833333333333</v>
      </c>
      <c r="BA26" s="68">
        <f t="shared" si="14"/>
        <v>0.21354166666666666</v>
      </c>
      <c r="BB26" s="68">
        <f t="shared" si="14"/>
        <v>0.21212500000000001</v>
      </c>
      <c r="BC26" s="68">
        <f t="shared" si="14"/>
        <v>0.21212500000000001</v>
      </c>
      <c r="BD26" s="68">
        <f t="shared" si="14"/>
        <v>0.21129166666666668</v>
      </c>
      <c r="BE26" s="68">
        <f>IF(OR(W25="",W25="Sem monitoramento"),"VAZIO",IFERROR(W25/($AJ26*24),"-"))</f>
        <v>0.24324999999999999</v>
      </c>
      <c r="BF26" s="68">
        <f t="shared" si="20"/>
        <v>0.21091666666666667</v>
      </c>
      <c r="BG26" s="68">
        <f t="shared" si="17"/>
        <v>0.21612500000000001</v>
      </c>
      <c r="BH26" s="68" t="e">
        <f>IF(OR(#REF!="",#REF!="Sem monitoramento"),"VAZIO",IFERROR(#REF!/($AJ26*24),"-"))</f>
        <v>#REF!</v>
      </c>
      <c r="BI26" s="68">
        <f t="shared" si="17"/>
        <v>0.15429166666666666</v>
      </c>
      <c r="BJ26" s="68">
        <f t="shared" si="17"/>
        <v>9.862499999999999E-2</v>
      </c>
      <c r="BK26" s="68">
        <f t="shared" si="10"/>
        <v>2.3708333333333331E-2</v>
      </c>
      <c r="BL26" s="68">
        <f t="shared" si="10"/>
        <v>0.13070833333333332</v>
      </c>
      <c r="BM26" s="68">
        <f t="shared" si="18"/>
        <v>0.19704166666666667</v>
      </c>
      <c r="BN26" s="68">
        <f t="shared" si="18"/>
        <v>0.17004166666666667</v>
      </c>
      <c r="BO26" s="68">
        <f t="shared" si="18"/>
        <v>0.22308333333333333</v>
      </c>
      <c r="BP26" s="70">
        <f t="shared" si="4"/>
        <v>0.18903055555555559</v>
      </c>
      <c r="BQ26" s="198">
        <f t="shared" si="15"/>
        <v>0.168125</v>
      </c>
      <c r="BR26" s="72">
        <f t="shared" si="12"/>
        <v>16.8125</v>
      </c>
      <c r="BS26" s="73">
        <f t="shared" si="13"/>
        <v>-1.3250000000000012E-2</v>
      </c>
      <c r="BT26" s="74">
        <f t="shared" si="7"/>
        <v>2.0905555555555594E-2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460.4</v>
      </c>
      <c r="E27" s="319">
        <v>480.4</v>
      </c>
      <c r="F27" s="63">
        <v>462.6</v>
      </c>
      <c r="G27" s="308">
        <v>448</v>
      </c>
      <c r="H27" s="511">
        <v>479.8</v>
      </c>
      <c r="I27" s="355">
        <v>476</v>
      </c>
      <c r="J27" s="355">
        <v>483.2</v>
      </c>
      <c r="K27" s="283">
        <v>406</v>
      </c>
      <c r="L27" s="63">
        <v>358.1</v>
      </c>
      <c r="M27" s="283">
        <v>62</v>
      </c>
      <c r="N27" s="283">
        <v>448.3</v>
      </c>
      <c r="O27" s="63">
        <v>473.1</v>
      </c>
      <c r="P27" s="63">
        <v>456.4</v>
      </c>
      <c r="Q27" s="283">
        <v>513.79999999999995</v>
      </c>
      <c r="R27" s="282">
        <v>122.8</v>
      </c>
      <c r="S27" s="319">
        <v>494.5</v>
      </c>
      <c r="T27" s="355">
        <v>486.7</v>
      </c>
      <c r="U27" s="355">
        <v>482.5</v>
      </c>
      <c r="V27" s="355">
        <v>499.1</v>
      </c>
      <c r="W27" s="355">
        <v>481.4</v>
      </c>
      <c r="X27" s="283">
        <v>440.7</v>
      </c>
      <c r="Y27" s="355">
        <v>500</v>
      </c>
      <c r="Z27" s="388">
        <v>496.4</v>
      </c>
      <c r="AA27" s="320">
        <v>396.7</v>
      </c>
      <c r="AB27" s="597">
        <v>47.9</v>
      </c>
      <c r="AC27" s="604">
        <v>142.1</v>
      </c>
      <c r="AD27" s="283">
        <v>554.9</v>
      </c>
      <c r="AE27" s="283">
        <v>496</v>
      </c>
      <c r="AF27" s="283">
        <v>536</v>
      </c>
      <c r="AG27" s="221">
        <v>531.29999999999995</v>
      </c>
      <c r="AH27" s="278">
        <v>494</v>
      </c>
      <c r="AI27" s="335">
        <f t="shared" si="8"/>
        <v>13211.1</v>
      </c>
      <c r="AJ27" s="118">
        <v>100</v>
      </c>
      <c r="AK27" s="121">
        <f t="shared" si="11"/>
        <v>1.0708333333333334E-2</v>
      </c>
      <c r="AL27" s="67">
        <f t="shared" si="9"/>
        <v>0.19183333333333333</v>
      </c>
      <c r="AM27" s="68">
        <f t="shared" si="9"/>
        <v>0.20016666666666666</v>
      </c>
      <c r="AN27" s="68">
        <f t="shared" si="9"/>
        <v>0.19275</v>
      </c>
      <c r="AO27" s="68">
        <f t="shared" si="9"/>
        <v>0.18666666666666668</v>
      </c>
      <c r="AP27" s="68">
        <f>IF(OR(H26="",H26="Sem monitoramento"),"VAZIO",IFERROR(H26/($AJ27*24),"-"))</f>
        <v>0.202875</v>
      </c>
      <c r="AQ27" s="68">
        <f t="shared" si="9"/>
        <v>0.19833333333333333</v>
      </c>
      <c r="AR27" s="68">
        <f t="shared" si="9"/>
        <v>0.20133333333333334</v>
      </c>
      <c r="AS27" s="68">
        <f t="shared" si="9"/>
        <v>0.16916666666666666</v>
      </c>
      <c r="AT27" s="68">
        <f t="shared" si="9"/>
        <v>0.14920833333333333</v>
      </c>
      <c r="AU27" s="68">
        <f t="shared" si="9"/>
        <v>2.5833333333333333E-2</v>
      </c>
      <c r="AV27" s="68">
        <f>IF(OR(N27="",N27="Sem monitoramento"),"VAZIO",IFERROR(N27/($AJ27*24),"-"))</f>
        <v>0.18679166666666666</v>
      </c>
      <c r="AW27" s="68">
        <f t="shared" si="19"/>
        <v>0.19712500000000002</v>
      </c>
      <c r="AX27" s="68">
        <f t="shared" si="14"/>
        <v>0.19016666666666665</v>
      </c>
      <c r="AY27" s="68">
        <f t="shared" si="14"/>
        <v>0.21408333333333332</v>
      </c>
      <c r="AZ27" s="68">
        <f t="shared" si="14"/>
        <v>5.1166666666666666E-2</v>
      </c>
      <c r="BA27" s="68">
        <f t="shared" si="14"/>
        <v>0.20604166666666668</v>
      </c>
      <c r="BB27" s="68">
        <f t="shared" si="14"/>
        <v>0.20279166666666668</v>
      </c>
      <c r="BC27" s="68">
        <f t="shared" si="14"/>
        <v>0.20104166666666667</v>
      </c>
      <c r="BD27" s="68">
        <f t="shared" si="14"/>
        <v>0.20795833333333336</v>
      </c>
      <c r="BE27" s="68">
        <f>IF(OR(W27="",W27="Sem monitoramento"),"VAZIO",IFERROR(W27/($AJ27*24),"-"))</f>
        <v>0.20058333333333334</v>
      </c>
      <c r="BF27" s="68">
        <f t="shared" si="20"/>
        <v>0.18362499999999998</v>
      </c>
      <c r="BG27" s="68">
        <f t="shared" si="17"/>
        <v>0.20833333333333334</v>
      </c>
      <c r="BH27" s="68">
        <f>IF(OR(Z27="",Z27="Sem monitoramento"),"VAZIO",IFERROR(Z27/($AJ27*24),"-"))</f>
        <v>0.20683333333333331</v>
      </c>
      <c r="BI27" s="68">
        <f t="shared" si="17"/>
        <v>0.16529166666666667</v>
      </c>
      <c r="BJ27" s="68">
        <f t="shared" si="17"/>
        <v>1.9958333333333331E-2</v>
      </c>
      <c r="BK27" s="68">
        <f t="shared" si="10"/>
        <v>5.9208333333333328E-2</v>
      </c>
      <c r="BL27" s="68">
        <f t="shared" si="10"/>
        <v>0.23120833333333332</v>
      </c>
      <c r="BM27" s="68">
        <f t="shared" si="18"/>
        <v>0.20666666666666667</v>
      </c>
      <c r="BN27" s="68">
        <f t="shared" si="18"/>
        <v>0.22333333333333333</v>
      </c>
      <c r="BO27" s="68">
        <f t="shared" si="18"/>
        <v>0.22137499999999999</v>
      </c>
      <c r="BP27" s="70">
        <f t="shared" si="4"/>
        <v>0.1834875</v>
      </c>
      <c r="BQ27" s="198">
        <f t="shared" si="15"/>
        <v>0.168125</v>
      </c>
      <c r="BR27" s="72">
        <f t="shared" si="12"/>
        <v>16.8125</v>
      </c>
      <c r="BS27" s="73">
        <f t="shared" si="13"/>
        <v>2.4625000000000008E-2</v>
      </c>
      <c r="BT27" s="74">
        <f t="shared" si="7"/>
        <v>1.5362500000000001E-2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447.7</v>
      </c>
      <c r="E28" s="319">
        <v>489.6</v>
      </c>
      <c r="F28" s="63">
        <v>456.5</v>
      </c>
      <c r="G28" s="308">
        <v>441.5</v>
      </c>
      <c r="H28" s="319">
        <v>491.9</v>
      </c>
      <c r="I28" s="355">
        <v>489</v>
      </c>
      <c r="J28" s="355">
        <v>491.4</v>
      </c>
      <c r="K28" s="283">
        <v>420</v>
      </c>
      <c r="L28" s="63">
        <v>353.8</v>
      </c>
      <c r="M28" s="63">
        <v>58</v>
      </c>
      <c r="N28" s="63">
        <v>415.3</v>
      </c>
      <c r="O28" s="63">
        <v>470</v>
      </c>
      <c r="P28" s="63">
        <v>468</v>
      </c>
      <c r="Q28" s="283">
        <v>517.9</v>
      </c>
      <c r="R28" s="282">
        <v>152.69999999999999</v>
      </c>
      <c r="S28" s="319">
        <v>497.8</v>
      </c>
      <c r="T28" s="355">
        <v>493</v>
      </c>
      <c r="U28" s="355">
        <v>487.7</v>
      </c>
      <c r="V28" s="355">
        <v>507.3</v>
      </c>
      <c r="W28" s="355">
        <v>481.9</v>
      </c>
      <c r="X28" s="283">
        <v>407.2</v>
      </c>
      <c r="Y28" s="355">
        <v>504.6</v>
      </c>
      <c r="Z28" s="355">
        <v>503</v>
      </c>
      <c r="AA28" s="283">
        <v>386.1</v>
      </c>
      <c r="AB28" s="597">
        <v>45.9</v>
      </c>
      <c r="AC28" s="604">
        <v>136.69999999999999</v>
      </c>
      <c r="AD28" s="15">
        <v>537.9</v>
      </c>
      <c r="AE28" s="221">
        <v>537.9</v>
      </c>
      <c r="AF28" s="45">
        <v>585</v>
      </c>
      <c r="AG28" s="221">
        <v>537.1</v>
      </c>
      <c r="AH28" s="278">
        <v>516.79999999999995</v>
      </c>
      <c r="AI28" s="335">
        <f t="shared" si="8"/>
        <v>13329.2</v>
      </c>
      <c r="AJ28" s="301">
        <v>100</v>
      </c>
      <c r="AK28" s="121">
        <f t="shared" si="11"/>
        <v>1.0567129629629629E-2</v>
      </c>
      <c r="AL28" s="302">
        <f t="shared" si="9"/>
        <v>0.18654166666666666</v>
      </c>
      <c r="AM28" s="303">
        <f t="shared" si="9"/>
        <v>0.20400000000000001</v>
      </c>
      <c r="AN28" s="303">
        <f t="shared" si="9"/>
        <v>0.19020833333333334</v>
      </c>
      <c r="AO28" s="303">
        <f t="shared" si="9"/>
        <v>0.18395833333333333</v>
      </c>
      <c r="AP28" s="303">
        <f>IF(OR(H28="",H28="Sem monitoramento"),"VAZIO",IFERROR(H28/($AJ28*24),"-"))</f>
        <v>0.20495833333333333</v>
      </c>
      <c r="AQ28" s="303">
        <f t="shared" si="9"/>
        <v>0.20374999999999999</v>
      </c>
      <c r="AR28" s="303">
        <f t="shared" si="9"/>
        <v>0.20474999999999999</v>
      </c>
      <c r="AS28" s="303">
        <f t="shared" si="9"/>
        <v>0.17499999999999999</v>
      </c>
      <c r="AT28" s="303">
        <f t="shared" si="9"/>
        <v>0.14741666666666667</v>
      </c>
      <c r="AU28" s="303">
        <f t="shared" si="9"/>
        <v>2.4166666666666666E-2</v>
      </c>
      <c r="AV28" s="303">
        <f>IF(OR(N28="",N28="Sem monitoramento"),"VAZIO",IFERROR(N28/($AJ28*24),"-"))</f>
        <v>0.17304166666666668</v>
      </c>
      <c r="AW28" s="303">
        <f t="shared" si="19"/>
        <v>0.19583333333333333</v>
      </c>
      <c r="AX28" s="303">
        <f t="shared" si="14"/>
        <v>0.19500000000000001</v>
      </c>
      <c r="AY28" s="303">
        <f t="shared" si="14"/>
        <v>0.21579166666666666</v>
      </c>
      <c r="AZ28" s="303">
        <f t="shared" si="14"/>
        <v>6.3625000000000001E-2</v>
      </c>
      <c r="BA28" s="303">
        <f t="shared" si="14"/>
        <v>0.20741666666666667</v>
      </c>
      <c r="BB28" s="303">
        <f t="shared" si="14"/>
        <v>0.20541666666666666</v>
      </c>
      <c r="BC28" s="303">
        <f t="shared" si="14"/>
        <v>0.20320833333333332</v>
      </c>
      <c r="BD28" s="303">
        <f t="shared" si="14"/>
        <v>0.21137500000000001</v>
      </c>
      <c r="BE28" s="303">
        <f>IF(OR(W28="",W28="Sem monitoramento"),"VAZIO",IFERROR(W28/($AJ28*24),"-"))</f>
        <v>0.20079166666666665</v>
      </c>
      <c r="BF28" s="303">
        <f t="shared" si="20"/>
        <v>0.16966666666666666</v>
      </c>
      <c r="BG28" s="303">
        <f t="shared" si="17"/>
        <v>0.21025000000000002</v>
      </c>
      <c r="BH28" s="303">
        <f>IF(OR(Z28="",Z28="Sem monitoramento"),"VAZIO",IFERROR(Z28/($AJ28*24),"-"))</f>
        <v>0.20958333333333334</v>
      </c>
      <c r="BI28" s="303">
        <f t="shared" si="17"/>
        <v>0.16087500000000002</v>
      </c>
      <c r="BJ28" s="303">
        <f t="shared" si="17"/>
        <v>1.9125E-2</v>
      </c>
      <c r="BK28" s="303">
        <f t="shared" si="10"/>
        <v>5.6958333333333326E-2</v>
      </c>
      <c r="BL28" s="303">
        <f t="shared" si="10"/>
        <v>0.22412499999999999</v>
      </c>
      <c r="BM28" s="303">
        <f t="shared" si="18"/>
        <v>0.22412499999999999</v>
      </c>
      <c r="BN28" s="303">
        <f t="shared" si="18"/>
        <v>0.24374999999999999</v>
      </c>
      <c r="BO28" s="303" t="e">
        <f>IF(OR(#REF!="",#REF!="Sem monitoramento"),"VAZIO",IFERROR(#REF!/($AJ28*24),"-"))</f>
        <v>#REF!</v>
      </c>
      <c r="BP28" s="304">
        <f>AI28/(AJ28*(COUNTA(D28:AG28)*24))</f>
        <v>0.18512777777777778</v>
      </c>
      <c r="BQ28" s="198">
        <f t="shared" si="15"/>
        <v>0.168125</v>
      </c>
      <c r="BR28" s="72">
        <f t="shared" si="12"/>
        <v>16.8125</v>
      </c>
      <c r="BS28" s="73">
        <f t="shared" si="13"/>
        <v>2.2083333333333344E-2</v>
      </c>
      <c r="BT28" s="74">
        <f>BP28-BQ28</f>
        <v>1.7002777777777783E-2</v>
      </c>
      <c r="BU28" s="15" t="s">
        <v>440</v>
      </c>
      <c r="BV28" s="3"/>
      <c r="BW28" s="2"/>
      <c r="BX28" s="2"/>
    </row>
    <row r="29" spans="2:76" ht="15" thickBot="1" x14ac:dyDescent="0.35">
      <c r="B29" s="775"/>
      <c r="C29" s="326" t="s">
        <v>289</v>
      </c>
      <c r="D29" s="223">
        <v>402</v>
      </c>
      <c r="E29" s="355">
        <v>434.1</v>
      </c>
      <c r="F29" s="283">
        <v>412.4</v>
      </c>
      <c r="G29" s="308">
        <v>395.6</v>
      </c>
      <c r="H29" s="355">
        <v>437.7</v>
      </c>
      <c r="I29" s="508">
        <v>437</v>
      </c>
      <c r="J29" s="508">
        <v>435.2</v>
      </c>
      <c r="K29" s="283">
        <v>374.4</v>
      </c>
      <c r="L29" s="283">
        <v>324.5</v>
      </c>
      <c r="M29" s="283">
        <v>51.7</v>
      </c>
      <c r="N29" s="283">
        <v>387</v>
      </c>
      <c r="O29" s="283">
        <v>412.1</v>
      </c>
      <c r="P29" s="283">
        <v>403.7</v>
      </c>
      <c r="Q29" s="283">
        <v>467.1</v>
      </c>
      <c r="R29" s="282">
        <v>122</v>
      </c>
      <c r="S29" s="355">
        <v>445.6</v>
      </c>
      <c r="T29" s="355">
        <v>438.5</v>
      </c>
      <c r="U29" s="355">
        <v>436.8</v>
      </c>
      <c r="V29" s="355">
        <v>457.8</v>
      </c>
      <c r="W29" s="355">
        <v>435.1</v>
      </c>
      <c r="X29" s="283">
        <v>382.3</v>
      </c>
      <c r="Y29" s="355">
        <v>459.7</v>
      </c>
      <c r="Z29" s="388">
        <v>453.3</v>
      </c>
      <c r="AA29" s="320">
        <v>353.4</v>
      </c>
      <c r="AB29" s="597">
        <v>47.9</v>
      </c>
      <c r="AC29" s="604">
        <v>125.6</v>
      </c>
      <c r="AD29" s="221">
        <v>494.6</v>
      </c>
      <c r="AE29" s="221">
        <v>441.6</v>
      </c>
      <c r="AF29" s="221">
        <v>480.4</v>
      </c>
      <c r="AG29" s="221">
        <v>484.8</v>
      </c>
      <c r="AH29" s="507">
        <v>474.6</v>
      </c>
      <c r="AI29" s="335">
        <f t="shared" si="8"/>
        <v>11908.5</v>
      </c>
      <c r="AJ29" s="119">
        <v>100</v>
      </c>
      <c r="AK29" s="121">
        <f t="shared" si="11"/>
        <v>9.5462962962962958E-3</v>
      </c>
      <c r="AL29" s="98">
        <f t="shared" si="9"/>
        <v>0.16750000000000001</v>
      </c>
      <c r="AM29" s="99">
        <f t="shared" si="9"/>
        <v>0.18087500000000001</v>
      </c>
      <c r="AN29" s="99">
        <f t="shared" si="9"/>
        <v>0.17183333333333331</v>
      </c>
      <c r="AO29" s="99">
        <f t="shared" si="9"/>
        <v>0.16483333333333333</v>
      </c>
      <c r="AP29" s="99">
        <f>IF(OR(H29="",H29="Sem monitoramento"),"VAZIO",IFERROR(H29/($AJ29*24),"-"))</f>
        <v>0.18237499999999998</v>
      </c>
      <c r="AQ29" s="99">
        <f>IF(OR(I29="",I29="Sem monitoramento"),"VAZIO",IFERROR(I29/($AJ29*24),"-"))</f>
        <v>0.18208333333333335</v>
      </c>
      <c r="AR29" s="99">
        <f>IF(OR(J30="",J30="Sem monitoramento"),"VAZIO",IFERROR(J30/($AJ29*24),"-"))</f>
        <v>0.17166666666666666</v>
      </c>
      <c r="AS29" s="99">
        <f t="shared" si="9"/>
        <v>0.156</v>
      </c>
      <c r="AT29" s="99">
        <f t="shared" si="9"/>
        <v>0.13520833333333335</v>
      </c>
      <c r="AU29" s="99">
        <f t="shared" si="9"/>
        <v>2.1541666666666667E-2</v>
      </c>
      <c r="AV29" s="99">
        <f>IF(OR(N29="",N29="Sem monitoramento"),"VAZIO",IFERROR(N29/($AJ29*24),"-"))</f>
        <v>0.16125</v>
      </c>
      <c r="AW29" s="99">
        <f t="shared" si="19"/>
        <v>0.17170833333333335</v>
      </c>
      <c r="AX29" s="99">
        <f t="shared" si="14"/>
        <v>0.16820833333333332</v>
      </c>
      <c r="AY29" s="99">
        <f t="shared" si="14"/>
        <v>0.19462500000000002</v>
      </c>
      <c r="AZ29" s="99">
        <f t="shared" si="14"/>
        <v>5.0833333333333335E-2</v>
      </c>
      <c r="BA29" s="99">
        <f t="shared" si="14"/>
        <v>0.18566666666666667</v>
      </c>
      <c r="BB29" s="99">
        <f t="shared" si="14"/>
        <v>0.18270833333333333</v>
      </c>
      <c r="BC29" s="99">
        <f t="shared" si="14"/>
        <v>0.182</v>
      </c>
      <c r="BD29" s="99">
        <f t="shared" si="14"/>
        <v>0.19075</v>
      </c>
      <c r="BE29" s="99">
        <f>IF(OR(W29="",W29="Sem monitoramento"),"VAZIO",IFERROR(W29/($AJ29*24),"-"))</f>
        <v>0.18129166666666668</v>
      </c>
      <c r="BF29" s="99">
        <f t="shared" si="20"/>
        <v>0.15929166666666666</v>
      </c>
      <c r="BG29" s="99">
        <f t="shared" si="17"/>
        <v>0.19154166666666667</v>
      </c>
      <c r="BH29" s="99">
        <f>IF(OR(Z29="",Z29="Sem monitoramento"),"VAZIO",IFERROR(Z29/($AJ29*24),"-"))</f>
        <v>0.18887500000000002</v>
      </c>
      <c r="BI29" s="99">
        <f t="shared" si="17"/>
        <v>0.14724999999999999</v>
      </c>
      <c r="BJ29" s="99">
        <f t="shared" si="17"/>
        <v>1.9958333333333331E-2</v>
      </c>
      <c r="BK29" s="99">
        <f t="shared" si="10"/>
        <v>5.2333333333333329E-2</v>
      </c>
      <c r="BL29" s="99">
        <f t="shared" si="10"/>
        <v>0.20608333333333334</v>
      </c>
      <c r="BM29" s="99">
        <f t="shared" si="18"/>
        <v>0.184</v>
      </c>
      <c r="BN29" s="99">
        <f t="shared" si="18"/>
        <v>0.20016666666666666</v>
      </c>
      <c r="BO29" s="99">
        <f>IF(OR(AG28="",AG28="Sem monitoramento"),"VAZIO",IFERROR(AG28/($AJ29*24),"-"))</f>
        <v>0.22379166666666667</v>
      </c>
      <c r="BP29" s="101">
        <f t="shared" si="4"/>
        <v>0.16539583333333333</v>
      </c>
      <c r="BQ29" s="198">
        <f t="shared" si="15"/>
        <v>0.168125</v>
      </c>
      <c r="BR29" s="72">
        <f t="shared" si="12"/>
        <v>16.8125</v>
      </c>
      <c r="BS29" s="73">
        <f t="shared" si="13"/>
        <v>3.7083333333333135E-3</v>
      </c>
      <c r="BT29" s="74">
        <f t="shared" si="7"/>
        <v>-2.7291666666666714E-3</v>
      </c>
      <c r="BU29" s="15" t="s">
        <v>112</v>
      </c>
      <c r="BV29" s="3"/>
      <c r="BW29" s="2"/>
      <c r="BX29" s="2"/>
    </row>
    <row r="30" spans="2:76" ht="15" thickBot="1" x14ac:dyDescent="0.35">
      <c r="B30" s="773" t="s">
        <v>290</v>
      </c>
      <c r="C30" s="326" t="s">
        <v>291</v>
      </c>
      <c r="D30" s="223">
        <v>256.39999999999998</v>
      </c>
      <c r="E30" s="378">
        <v>410.1</v>
      </c>
      <c r="F30" s="63">
        <v>245.1</v>
      </c>
      <c r="G30" s="63">
        <v>218.1</v>
      </c>
      <c r="H30" s="283">
        <v>388.8</v>
      </c>
      <c r="I30" s="470">
        <v>402.5</v>
      </c>
      <c r="J30" s="308">
        <v>412</v>
      </c>
      <c r="K30" s="283">
        <v>391.4</v>
      </c>
      <c r="L30" s="283">
        <v>364.2</v>
      </c>
      <c r="M30" s="283">
        <v>68.7</v>
      </c>
      <c r="N30" s="283">
        <v>415.8</v>
      </c>
      <c r="O30" s="283">
        <v>363.1</v>
      </c>
      <c r="P30" s="283">
        <v>447.2</v>
      </c>
      <c r="Q30" s="283">
        <v>405.4</v>
      </c>
      <c r="R30" s="355">
        <v>431.6</v>
      </c>
      <c r="S30" s="355">
        <v>435.8</v>
      </c>
      <c r="T30" s="355">
        <v>434.2</v>
      </c>
      <c r="U30" s="355">
        <v>404.7</v>
      </c>
      <c r="V30" s="283">
        <v>406.3</v>
      </c>
      <c r="W30" s="355">
        <v>419.3</v>
      </c>
      <c r="X30" s="355">
        <v>417.6</v>
      </c>
      <c r="Y30" s="580">
        <v>449.5</v>
      </c>
      <c r="Z30" s="580">
        <v>438.6</v>
      </c>
      <c r="AA30" s="320">
        <v>272.89999999999998</v>
      </c>
      <c r="AB30" s="323">
        <v>250.1</v>
      </c>
      <c r="AC30" s="603">
        <v>63.2</v>
      </c>
      <c r="AD30" s="221">
        <v>244.6</v>
      </c>
      <c r="AE30" s="221">
        <v>382.1</v>
      </c>
      <c r="AF30" s="15">
        <v>399</v>
      </c>
      <c r="AG30" s="15">
        <v>455.7</v>
      </c>
      <c r="AH30" s="278">
        <v>471</v>
      </c>
      <c r="AI30" s="335">
        <f t="shared" si="8"/>
        <v>11165.000000000002</v>
      </c>
      <c r="AJ30" s="2">
        <v>100</v>
      </c>
      <c r="AK30" s="285">
        <f t="shared" si="11"/>
        <v>5.673611111111111E-3</v>
      </c>
      <c r="AL30" s="98">
        <f t="shared" si="9"/>
        <v>0.10683333333333332</v>
      </c>
      <c r="AM30" s="99">
        <f t="shared" si="9"/>
        <v>0.170875</v>
      </c>
      <c r="AN30" s="99">
        <f t="shared" si="9"/>
        <v>0.10212499999999999</v>
      </c>
      <c r="AO30" s="99">
        <f t="shared" si="9"/>
        <v>9.0874999999999997E-2</v>
      </c>
      <c r="AP30" s="99">
        <f>IF(OR(H30="",H30="Sem monitoramento"),"VAZIO",IFERROR(H30/($AJ30*24),"-"))</f>
        <v>0.16200000000000001</v>
      </c>
      <c r="AQ30" s="99">
        <f>IF(OR(I30="",I30="Sem monitoramento"),"VAZIO",IFERROR(I30/($AJ30*24),"-"))</f>
        <v>0.16770833333333332</v>
      </c>
      <c r="AR30" s="99" t="e">
        <f>IF(OR(#REF!="",#REF!="Sem monitoramento"),"VAZIO",IFERROR(#REF!/($AJ30*24),"-"))</f>
        <v>#REF!</v>
      </c>
      <c r="AS30" s="99">
        <f t="shared" si="9"/>
        <v>0.16308333333333333</v>
      </c>
      <c r="AT30" s="99">
        <f t="shared" si="9"/>
        <v>0.15175</v>
      </c>
      <c r="AU30" s="99">
        <f t="shared" si="9"/>
        <v>2.8625000000000001E-2</v>
      </c>
      <c r="AV30" s="99">
        <f>IF(OR(N30="",N30="Sem monitoramento"),"VAZIO",IFERROR(N30/($AJ30*24),"-"))</f>
        <v>0.17325000000000002</v>
      </c>
      <c r="AW30" s="99">
        <f t="shared" si="19"/>
        <v>0.15129166666666669</v>
      </c>
      <c r="AX30" s="99">
        <f t="shared" si="14"/>
        <v>0.18633333333333332</v>
      </c>
      <c r="AY30" s="99">
        <f t="shared" si="14"/>
        <v>0.16891666666666666</v>
      </c>
      <c r="AZ30" s="99">
        <f t="shared" si="14"/>
        <v>0.17983333333333335</v>
      </c>
      <c r="BA30" s="99">
        <f t="shared" si="14"/>
        <v>0.18158333333333335</v>
      </c>
      <c r="BB30" s="99">
        <f t="shared" si="14"/>
        <v>0.18091666666666667</v>
      </c>
      <c r="BC30" s="99">
        <f t="shared" si="14"/>
        <v>0.168625</v>
      </c>
      <c r="BD30" s="99">
        <f t="shared" si="14"/>
        <v>0.16929166666666667</v>
      </c>
      <c r="BE30" s="99">
        <f>IF(OR(W30="",W30="Sem monitoramento"),"VAZIO",IFERROR(W30/($AJ30*24),"-"))</f>
        <v>0.17470833333333333</v>
      </c>
      <c r="BF30" s="99">
        <f t="shared" si="20"/>
        <v>0.17400000000000002</v>
      </c>
      <c r="BG30" s="99">
        <f t="shared" si="17"/>
        <v>0.18729166666666666</v>
      </c>
      <c r="BH30" s="99">
        <f>IF(OR(Z30="",Z30="Sem monitoramento"),"VAZIO",IFERROR(Z30/($AJ30*24),"-"))</f>
        <v>0.18275</v>
      </c>
      <c r="BI30" s="99">
        <f t="shared" si="17"/>
        <v>0.11370833333333333</v>
      </c>
      <c r="BJ30" s="99">
        <f t="shared" si="17"/>
        <v>0.10420833333333333</v>
      </c>
      <c r="BK30" s="99">
        <f t="shared" si="10"/>
        <v>2.6333333333333334E-2</v>
      </c>
      <c r="BL30" s="99">
        <f t="shared" si="10"/>
        <v>0.10191666666666667</v>
      </c>
      <c r="BM30" s="99">
        <f t="shared" si="18"/>
        <v>0.15920833333333334</v>
      </c>
      <c r="BN30" s="286">
        <f t="shared" si="18"/>
        <v>0.16625000000000001</v>
      </c>
      <c r="BO30" s="286">
        <f t="shared" si="18"/>
        <v>0.18987499999999999</v>
      </c>
      <c r="BP30" s="286">
        <f t="shared" si="4"/>
        <v>0.15506944444444448</v>
      </c>
      <c r="BQ30" s="198">
        <f t="shared" si="15"/>
        <v>0.168125</v>
      </c>
      <c r="BR30" s="72">
        <f t="shared" si="12"/>
        <v>16.8125</v>
      </c>
      <c r="BS30" s="73">
        <f t="shared" si="13"/>
        <v>-6.6000000000000003E-2</v>
      </c>
      <c r="BT30" s="74">
        <f t="shared" si="7"/>
        <v>-1.3055555555555515E-2</v>
      </c>
      <c r="BU30" s="2"/>
      <c r="BV30" s="3"/>
      <c r="BW30" s="2"/>
      <c r="BX30" s="2"/>
    </row>
    <row r="31" spans="2:76" ht="15" thickBot="1" x14ac:dyDescent="0.35">
      <c r="B31" s="777"/>
      <c r="C31" s="329" t="s">
        <v>563</v>
      </c>
      <c r="D31" s="224">
        <v>196.5</v>
      </c>
      <c r="E31" s="558">
        <v>323.10000000000002</v>
      </c>
      <c r="F31" s="93">
        <v>237.6</v>
      </c>
      <c r="G31" s="115">
        <v>200.7</v>
      </c>
      <c r="H31" s="532">
        <v>312.89999999999998</v>
      </c>
      <c r="I31" s="115">
        <v>338.9</v>
      </c>
      <c r="J31" s="115">
        <v>327.60000000000002</v>
      </c>
      <c r="K31" s="93">
        <v>312.89999999999998</v>
      </c>
      <c r="L31" s="93">
        <v>285.7</v>
      </c>
      <c r="M31" s="93">
        <v>43.5</v>
      </c>
      <c r="N31" s="93">
        <v>360.2</v>
      </c>
      <c r="O31" s="93">
        <v>281.2</v>
      </c>
      <c r="P31" s="93">
        <v>352.3</v>
      </c>
      <c r="Q31" s="318">
        <v>325.7</v>
      </c>
      <c r="R31" s="558">
        <v>342.6</v>
      </c>
      <c r="S31" s="558">
        <v>339.2</v>
      </c>
      <c r="T31" s="558">
        <v>340.4</v>
      </c>
      <c r="U31" s="192">
        <v>336</v>
      </c>
      <c r="V31" s="22">
        <v>328.4</v>
      </c>
      <c r="W31" s="560">
        <v>333.5</v>
      </c>
      <c r="X31" s="596">
        <v>315.8</v>
      </c>
      <c r="Y31" s="558">
        <v>348.9</v>
      </c>
      <c r="Z31" s="192">
        <v>343.9</v>
      </c>
      <c r="AA31" s="322">
        <v>207.7</v>
      </c>
      <c r="AB31" s="21">
        <v>191.4</v>
      </c>
      <c r="AC31" s="605">
        <v>27.6</v>
      </c>
      <c r="AD31" s="277">
        <v>192.6</v>
      </c>
      <c r="AE31" s="22">
        <v>286.10000000000002</v>
      </c>
      <c r="AF31" s="22">
        <v>297.60000000000002</v>
      </c>
      <c r="AG31" s="22">
        <v>381.3</v>
      </c>
      <c r="AH31" s="22">
        <v>370.9</v>
      </c>
      <c r="AI31" s="335">
        <f t="shared" si="8"/>
        <v>8882.6999999999989</v>
      </c>
      <c r="AJ31" s="2"/>
      <c r="AK31" s="285"/>
      <c r="AL31" s="286" t="str">
        <f t="shared" si="9"/>
        <v>-</v>
      </c>
      <c r="AM31" s="286" t="str">
        <f t="shared" si="9"/>
        <v>-</v>
      </c>
      <c r="AN31" s="286" t="str">
        <f t="shared" si="9"/>
        <v>-</v>
      </c>
      <c r="AO31" s="286" t="str">
        <f t="shared" si="9"/>
        <v>-</v>
      </c>
      <c r="AP31" s="286" t="str">
        <f>IF(OR(H31="",H31="Sem monitoramento"),"VAZIO",IFERROR(H31/($AJ31*24),"-"))</f>
        <v>-</v>
      </c>
      <c r="AQ31" s="286" t="str">
        <f>IF(OR(I31="",I31="Sem monitoramento"),"VAZIO",IFERROR(I31/($AJ31*24),"-"))</f>
        <v>-</v>
      </c>
      <c r="AR31" s="286" t="str">
        <f>IF(OR(J31="",J31="Sem monitoramento"),"VAZIO",IFERROR(J31/($AJ31*24),"-"))</f>
        <v>-</v>
      </c>
      <c r="AS31" s="286" t="str">
        <f t="shared" si="9"/>
        <v>-</v>
      </c>
      <c r="AT31" s="286" t="str">
        <f t="shared" si="9"/>
        <v>-</v>
      </c>
      <c r="AU31" s="286" t="str">
        <f t="shared" si="9"/>
        <v>-</v>
      </c>
      <c r="AV31" s="286" t="str">
        <f>IF(OR(N31="",N31="Sem monitoramento"),"VAZIO",IFERROR(N31/($AJ31*24),"-"))</f>
        <v>-</v>
      </c>
      <c r="AW31" s="286" t="str">
        <f t="shared" si="19"/>
        <v>-</v>
      </c>
      <c r="AX31" s="286" t="str">
        <f t="shared" si="14"/>
        <v>-</v>
      </c>
      <c r="AY31" s="286" t="str">
        <f t="shared" si="14"/>
        <v>-</v>
      </c>
      <c r="AZ31" s="286" t="str">
        <f t="shared" si="14"/>
        <v>-</v>
      </c>
      <c r="BA31" s="286" t="str">
        <f t="shared" si="14"/>
        <v>-</v>
      </c>
      <c r="BB31" s="286" t="str">
        <f t="shared" si="14"/>
        <v>-</v>
      </c>
      <c r="BC31" s="286" t="str">
        <f t="shared" si="14"/>
        <v>-</v>
      </c>
      <c r="BD31" s="286" t="str">
        <f t="shared" si="14"/>
        <v>-</v>
      </c>
      <c r="BE31" s="286" t="str">
        <f>IF(OR(W31="",W31="Sem monitoramento"),"VAZIO",IFERROR(W31/($AJ31*24),"-"))</f>
        <v>-</v>
      </c>
      <c r="BF31" s="286" t="str">
        <f t="shared" si="20"/>
        <v>-</v>
      </c>
      <c r="BG31" s="286" t="str">
        <f t="shared" si="17"/>
        <v>-</v>
      </c>
      <c r="BH31" s="286" t="str">
        <f>IF(OR(Z31="",Z31="Sem monitoramento"),"VAZIO",IFERROR(Z31/($AJ31*24),"-"))</f>
        <v>-</v>
      </c>
      <c r="BI31" s="286" t="str">
        <f t="shared" si="17"/>
        <v>-</v>
      </c>
      <c r="BJ31" s="286" t="str">
        <f t="shared" si="17"/>
        <v>-</v>
      </c>
      <c r="BK31" s="286" t="str">
        <f t="shared" si="10"/>
        <v>-</v>
      </c>
      <c r="BL31" s="286" t="str">
        <f t="shared" si="10"/>
        <v>-</v>
      </c>
      <c r="BM31" s="286" t="str">
        <f t="shared" si="18"/>
        <v>-</v>
      </c>
      <c r="BN31" s="286" t="str">
        <f t="shared" si="18"/>
        <v>-</v>
      </c>
      <c r="BO31" s="286" t="str">
        <f t="shared" si="18"/>
        <v>-</v>
      </c>
      <c r="BP31" s="286" t="e">
        <f t="shared" si="4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7748.4999999999991</v>
      </c>
      <c r="E32" s="103">
        <f>SUM(E5:E31)</f>
        <v>11692.800000000003</v>
      </c>
      <c r="F32" s="103">
        <f>SUM(F5:F31)</f>
        <v>7068.6</v>
      </c>
      <c r="G32" s="103">
        <f>SUM(G5:G31)</f>
        <v>8248.8000000000011</v>
      </c>
      <c r="H32" s="103">
        <f t="shared" ref="H32:AH32" si="21">SUM(H5:H31)</f>
        <v>8703.7999999999993</v>
      </c>
      <c r="I32" s="103">
        <f t="shared" si="21"/>
        <v>11823.699999999997</v>
      </c>
      <c r="J32" s="103">
        <f t="shared" si="21"/>
        <v>11927.2</v>
      </c>
      <c r="K32" s="103">
        <f t="shared" si="21"/>
        <v>11030.599999999999</v>
      </c>
      <c r="L32" s="103">
        <f t="shared" si="21"/>
        <v>9836.0000000000018</v>
      </c>
      <c r="M32" s="103">
        <f t="shared" si="21"/>
        <v>1419.9</v>
      </c>
      <c r="N32" s="103">
        <f t="shared" si="21"/>
        <v>11444.199999999999</v>
      </c>
      <c r="O32" s="103">
        <f t="shared" si="21"/>
        <v>9169.1</v>
      </c>
      <c r="P32" s="103">
        <f t="shared" si="21"/>
        <v>12499.9</v>
      </c>
      <c r="Q32" s="103">
        <f t="shared" si="21"/>
        <v>11711.4</v>
      </c>
      <c r="R32" s="103">
        <f t="shared" si="21"/>
        <v>10952.6</v>
      </c>
      <c r="S32" s="103">
        <f t="shared" si="21"/>
        <v>12131.7</v>
      </c>
      <c r="T32" s="103">
        <f t="shared" si="21"/>
        <v>12019.500000000002</v>
      </c>
      <c r="U32" s="103">
        <f>SUM(U5:U31)</f>
        <v>12050.3</v>
      </c>
      <c r="V32" s="103">
        <f t="shared" si="21"/>
        <v>12323.199999999997</v>
      </c>
      <c r="W32" s="103">
        <f t="shared" si="21"/>
        <v>11841.8</v>
      </c>
      <c r="X32" s="103">
        <f t="shared" si="21"/>
        <v>10610.1</v>
      </c>
      <c r="Y32" s="103">
        <f t="shared" si="21"/>
        <v>11416.900000000001</v>
      </c>
      <c r="Z32" s="103">
        <f t="shared" si="21"/>
        <v>11741.599999999997</v>
      </c>
      <c r="AA32" s="103">
        <f t="shared" si="21"/>
        <v>7655.7</v>
      </c>
      <c r="AB32" s="103">
        <f t="shared" si="21"/>
        <v>6300.6999999999989</v>
      </c>
      <c r="AC32" s="103">
        <f t="shared" si="21"/>
        <v>1489.1</v>
      </c>
      <c r="AD32" s="103">
        <f t="shared" si="21"/>
        <v>7352</v>
      </c>
      <c r="AE32" s="103">
        <f t="shared" si="21"/>
        <v>10527.7</v>
      </c>
      <c r="AF32" s="103">
        <f t="shared" si="21"/>
        <v>10017.1</v>
      </c>
      <c r="AG32" s="103">
        <f t="shared" si="21"/>
        <v>13149.299999999997</v>
      </c>
      <c r="AH32" s="103">
        <f t="shared" si="21"/>
        <v>12982.1</v>
      </c>
      <c r="AI32" s="189">
        <f>SUM(AI5:AI31)</f>
        <v>308885.89999999997</v>
      </c>
      <c r="AJ32" s="104">
        <f>SUM(AJ5:AJ31)</f>
        <v>2329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308,886 MWh</v>
      </c>
      <c r="AJ33" s="2"/>
      <c r="AW33">
        <v>1000</v>
      </c>
      <c r="AX33">
        <v>1000</v>
      </c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10296,197 kWh</v>
      </c>
      <c r="AJ34" s="2"/>
      <c r="AK34" s="2"/>
      <c r="AL34" s="2"/>
      <c r="AM34" s="2"/>
      <c r="AV34">
        <v>900</v>
      </c>
      <c r="AW34">
        <v>100</v>
      </c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308885,91 kWh</v>
      </c>
      <c r="AJ35" s="2"/>
      <c r="AK35" s="2"/>
      <c r="AL35" s="2"/>
      <c r="AM35" s="2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308,886 MWh</v>
      </c>
    </row>
    <row r="37" spans="2:76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</row>
    <row r="38" spans="2:76" x14ac:dyDescent="0.3">
      <c r="AC38">
        <v>60.6</v>
      </c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</row>
    <row r="40" spans="2:76" x14ac:dyDescent="0.3">
      <c r="N40">
        <v>91151.5</v>
      </c>
      <c r="O40">
        <f>N41-N40</f>
        <v>734</v>
      </c>
      <c r="X40" s="102"/>
      <c r="AF40">
        <f>AF39-20.4</f>
        <v>53905.2</v>
      </c>
    </row>
    <row r="41" spans="2:76" x14ac:dyDescent="0.3">
      <c r="N41">
        <v>91885.5</v>
      </c>
      <c r="X41" s="102"/>
      <c r="AF41">
        <f>AF40-AD39</f>
        <v>263.19999999999709</v>
      </c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</row>
    <row r="44" spans="2:76" x14ac:dyDescent="0.3">
      <c r="B44" s="751" t="s">
        <v>6</v>
      </c>
      <c r="C44" s="18" t="s">
        <v>7</v>
      </c>
      <c r="D44" s="163">
        <f>D5+Agosto23!AF41</f>
        <v>48871.8</v>
      </c>
      <c r="E44" s="164">
        <f t="shared" ref="E44:F59" si="22">D44+E5</f>
        <v>48926.400000000001</v>
      </c>
      <c r="F44" s="164">
        <f t="shared" si="22"/>
        <v>48954.1</v>
      </c>
      <c r="G44" s="165">
        <v>49036.4</v>
      </c>
      <c r="H44" s="166">
        <v>49076</v>
      </c>
      <c r="I44" s="163">
        <f t="shared" ref="I44:V59" si="23">H44+I5</f>
        <v>49132.7</v>
      </c>
      <c r="J44" s="163">
        <f t="shared" si="23"/>
        <v>49189.5</v>
      </c>
      <c r="K44" s="163">
        <f t="shared" si="23"/>
        <v>49238.2</v>
      </c>
      <c r="L44" s="163">
        <f t="shared" si="23"/>
        <v>49282.2</v>
      </c>
      <c r="M44" s="163">
        <f t="shared" si="23"/>
        <v>49289.299999999996</v>
      </c>
      <c r="N44" s="163">
        <f t="shared" si="23"/>
        <v>49342.2</v>
      </c>
      <c r="O44" s="163">
        <f t="shared" si="23"/>
        <v>49398</v>
      </c>
      <c r="P44" s="163">
        <f t="shared" si="23"/>
        <v>49461.8</v>
      </c>
      <c r="Q44" s="163">
        <f t="shared" si="23"/>
        <v>49519.600000000006</v>
      </c>
      <c r="R44" s="163">
        <f t="shared" si="23"/>
        <v>49576.700000000004</v>
      </c>
      <c r="S44" s="163">
        <f t="shared" si="23"/>
        <v>49634.700000000004</v>
      </c>
      <c r="T44" s="163">
        <f t="shared" si="23"/>
        <v>49691.500000000007</v>
      </c>
      <c r="U44" s="163">
        <f t="shared" si="23"/>
        <v>49749.30000000001</v>
      </c>
      <c r="V44" s="163">
        <f t="shared" si="23"/>
        <v>49808.500000000007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</row>
    <row r="45" spans="2:76" x14ac:dyDescent="0.3">
      <c r="B45" s="752"/>
      <c r="C45" s="18" t="s">
        <v>8</v>
      </c>
      <c r="D45" s="163">
        <f>D6+Agosto23!AF42</f>
        <v>98933.200000000012</v>
      </c>
      <c r="E45" s="164">
        <f t="shared" si="22"/>
        <v>99267.800000000017</v>
      </c>
      <c r="F45" s="164">
        <f t="shared" si="22"/>
        <v>99427.700000000012</v>
      </c>
      <c r="G45" s="165">
        <f>21775+78123.8</f>
        <v>99898.8</v>
      </c>
      <c r="H45" s="166">
        <f>21823+78322.8</f>
        <v>100145.8</v>
      </c>
      <c r="I45" s="163">
        <f t="shared" si="23"/>
        <v>100493.7</v>
      </c>
      <c r="J45" s="163">
        <f t="shared" si="23"/>
        <v>100845.8</v>
      </c>
      <c r="K45" s="163">
        <f t="shared" si="23"/>
        <v>101159.90000000001</v>
      </c>
      <c r="L45" s="163">
        <f t="shared" si="23"/>
        <v>101428.3</v>
      </c>
      <c r="M45" s="163">
        <f t="shared" si="23"/>
        <v>101465.1</v>
      </c>
      <c r="N45" s="163">
        <f t="shared" si="23"/>
        <v>101806.5</v>
      </c>
      <c r="O45" s="163">
        <f t="shared" si="23"/>
        <v>102130.3</v>
      </c>
      <c r="P45" s="163">
        <f t="shared" si="23"/>
        <v>102506.8</v>
      </c>
      <c r="Q45" s="163">
        <f t="shared" si="23"/>
        <v>102840.8</v>
      </c>
      <c r="R45" s="163">
        <f t="shared" si="23"/>
        <v>103164.2</v>
      </c>
      <c r="S45" s="163">
        <f t="shared" si="23"/>
        <v>103516.09999999999</v>
      </c>
      <c r="T45" s="163">
        <f t="shared" si="23"/>
        <v>103862.39999999999</v>
      </c>
      <c r="U45" s="163">
        <f t="shared" si="23"/>
        <v>104211.5</v>
      </c>
      <c r="V45" s="163">
        <f t="shared" si="23"/>
        <v>104572.2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</row>
    <row r="46" spans="2:76" x14ac:dyDescent="0.3">
      <c r="B46" s="752"/>
      <c r="C46" s="18" t="s">
        <v>9</v>
      </c>
      <c r="D46" s="163">
        <f>D7+Agosto23!AF43</f>
        <v>69794.100000000006</v>
      </c>
      <c r="E46" s="164">
        <f t="shared" si="22"/>
        <v>70033.600000000006</v>
      </c>
      <c r="F46" s="164">
        <f t="shared" si="22"/>
        <v>70153.100000000006</v>
      </c>
      <c r="G46" s="165">
        <v>70458.2</v>
      </c>
      <c r="H46" s="166">
        <v>70615.5</v>
      </c>
      <c r="I46" s="163">
        <f t="shared" si="23"/>
        <v>70865.2</v>
      </c>
      <c r="J46" s="163">
        <f t="shared" si="23"/>
        <v>71116.599999999991</v>
      </c>
      <c r="K46" s="163">
        <f t="shared" si="23"/>
        <v>71329.899999999994</v>
      </c>
      <c r="L46" s="163">
        <f t="shared" si="23"/>
        <v>71521.099999999991</v>
      </c>
      <c r="M46" s="163">
        <f t="shared" si="23"/>
        <v>71548.7</v>
      </c>
      <c r="N46" s="163">
        <f t="shared" si="23"/>
        <v>71793</v>
      </c>
      <c r="O46" s="163">
        <f t="shared" si="23"/>
        <v>72032.3</v>
      </c>
      <c r="P46" s="163">
        <f t="shared" si="23"/>
        <v>72301</v>
      </c>
      <c r="Q46" s="163">
        <f t="shared" si="23"/>
        <v>72546.899999999994</v>
      </c>
      <c r="R46" s="163">
        <f t="shared" si="23"/>
        <v>72792.2</v>
      </c>
      <c r="S46" s="163">
        <f t="shared" si="23"/>
        <v>73045.5</v>
      </c>
      <c r="T46" s="163">
        <f t="shared" si="23"/>
        <v>73292.5</v>
      </c>
      <c r="U46" s="163" t="e">
        <f>T46+#REF!</f>
        <v>#REF!</v>
      </c>
      <c r="V46" s="163" t="e">
        <f t="shared" si="23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</row>
    <row r="47" spans="2:76" x14ac:dyDescent="0.3">
      <c r="B47" s="752"/>
      <c r="C47" s="18" t="s">
        <v>10</v>
      </c>
      <c r="D47" s="163">
        <f>D8+Agosto23!AF44</f>
        <v>95692.9</v>
      </c>
      <c r="E47" s="164">
        <f t="shared" si="22"/>
        <v>95829.099999999991</v>
      </c>
      <c r="F47" s="164">
        <f t="shared" si="22"/>
        <v>95894.799999999988</v>
      </c>
      <c r="G47" s="165">
        <v>96154</v>
      </c>
      <c r="H47" s="166">
        <v>96261.9</v>
      </c>
      <c r="I47" s="163">
        <f t="shared" si="23"/>
        <v>96403.9</v>
      </c>
      <c r="J47" s="163">
        <f t="shared" si="23"/>
        <v>96547.599999999991</v>
      </c>
      <c r="K47" s="163">
        <f t="shared" si="23"/>
        <v>96667.999999999985</v>
      </c>
      <c r="L47" s="163">
        <f t="shared" si="23"/>
        <v>96775.299999999988</v>
      </c>
      <c r="M47" s="163">
        <f t="shared" si="23"/>
        <v>96792.099999999991</v>
      </c>
      <c r="N47" s="163">
        <f t="shared" si="23"/>
        <v>96927.7</v>
      </c>
      <c r="O47" s="163">
        <f t="shared" si="23"/>
        <v>97064</v>
      </c>
      <c r="P47" s="163">
        <f t="shared" si="23"/>
        <v>97217.600000000006</v>
      </c>
      <c r="Q47" s="163">
        <f t="shared" si="23"/>
        <v>97357.900000000009</v>
      </c>
      <c r="R47" s="163">
        <f t="shared" si="23"/>
        <v>97498.6</v>
      </c>
      <c r="S47" s="163">
        <f t="shared" si="23"/>
        <v>97642.900000000009</v>
      </c>
      <c r="T47" s="163">
        <f t="shared" si="23"/>
        <v>97783.700000000012</v>
      </c>
      <c r="U47" s="163" t="e">
        <f>T47+#REF!</f>
        <v>#REF!</v>
      </c>
      <c r="V47" s="163" t="e">
        <f t="shared" si="23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</row>
    <row r="48" spans="2:76" x14ac:dyDescent="0.3">
      <c r="B48" s="752"/>
      <c r="C48" s="18" t="s">
        <v>11</v>
      </c>
      <c r="D48" s="163">
        <f>D10+Agosto23!AF45</f>
        <v>18812.900000000001</v>
      </c>
      <c r="E48" s="164">
        <f t="shared" si="22"/>
        <v>18874.7</v>
      </c>
      <c r="F48" s="164">
        <f t="shared" si="22"/>
        <v>18902.5</v>
      </c>
      <c r="G48" s="165">
        <v>18957</v>
      </c>
      <c r="H48" s="166">
        <v>18998</v>
      </c>
      <c r="I48" s="163">
        <f t="shared" si="23"/>
        <v>19059</v>
      </c>
      <c r="J48" s="163">
        <f t="shared" si="23"/>
        <v>19121.5</v>
      </c>
      <c r="K48" s="163">
        <f t="shared" si="23"/>
        <v>19179.5</v>
      </c>
      <c r="L48" s="163">
        <f t="shared" si="23"/>
        <v>19228.7</v>
      </c>
      <c r="M48" s="163">
        <f t="shared" si="23"/>
        <v>19234.8</v>
      </c>
      <c r="N48" s="163">
        <f t="shared" si="23"/>
        <v>19296.8</v>
      </c>
      <c r="O48" s="163">
        <f t="shared" si="23"/>
        <v>19355.099999999999</v>
      </c>
      <c r="P48" s="163">
        <f>O48+P10</f>
        <v>19463.8</v>
      </c>
      <c r="Q48" s="163">
        <f t="shared" si="23"/>
        <v>19524.599999999999</v>
      </c>
      <c r="R48" s="163">
        <f t="shared" si="23"/>
        <v>19585.099999999999</v>
      </c>
      <c r="S48" s="163">
        <f t="shared" si="23"/>
        <v>19647.699999999997</v>
      </c>
      <c r="T48" s="163">
        <f t="shared" si="23"/>
        <v>19709.499999999996</v>
      </c>
      <c r="U48" s="163">
        <f>T48+U7</f>
        <v>19960.199999999997</v>
      </c>
      <c r="V48" s="163">
        <f t="shared" si="23"/>
        <v>20024.599999999999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</row>
    <row r="49" spans="2:39" x14ac:dyDescent="0.3">
      <c r="B49" s="752"/>
      <c r="C49" s="18" t="s">
        <v>12</v>
      </c>
      <c r="D49" s="163" t="e">
        <f>#REF!+Agosto23!AF46</f>
        <v>#REF!</v>
      </c>
      <c r="E49" s="164" t="e">
        <f t="shared" si="22"/>
        <v>#REF!</v>
      </c>
      <c r="F49" s="164" t="e">
        <f t="shared" si="22"/>
        <v>#REF!</v>
      </c>
      <c r="G49" s="165">
        <v>58550</v>
      </c>
      <c r="H49" s="166">
        <v>58640</v>
      </c>
      <c r="I49" s="163">
        <f t="shared" si="23"/>
        <v>58736.7</v>
      </c>
      <c r="J49" s="163">
        <f t="shared" si="23"/>
        <v>58835.5</v>
      </c>
      <c r="K49" s="163">
        <f t="shared" si="23"/>
        <v>58928.5</v>
      </c>
      <c r="L49" s="163">
        <f t="shared" si="23"/>
        <v>59008.6</v>
      </c>
      <c r="M49" s="163">
        <f t="shared" si="23"/>
        <v>59020.4</v>
      </c>
      <c r="N49" s="163">
        <f t="shared" si="23"/>
        <v>59121.599999999999</v>
      </c>
      <c r="O49" s="163">
        <f t="shared" si="23"/>
        <v>59217.2</v>
      </c>
      <c r="P49" s="163" t="e">
        <f>O49+#REF!</f>
        <v>#REF!</v>
      </c>
      <c r="Q49" s="163" t="e">
        <f t="shared" si="23"/>
        <v>#REF!</v>
      </c>
      <c r="R49" s="163" t="e">
        <f t="shared" si="23"/>
        <v>#REF!</v>
      </c>
      <c r="S49" s="163" t="e">
        <f t="shared" si="23"/>
        <v>#REF!</v>
      </c>
      <c r="T49" s="163" t="e">
        <f t="shared" si="23"/>
        <v>#REF!</v>
      </c>
      <c r="U49" s="163" t="e">
        <f>T49+U8</f>
        <v>#REF!</v>
      </c>
      <c r="V49" s="163" t="e">
        <f t="shared" si="23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</row>
    <row r="50" spans="2:39" x14ac:dyDescent="0.3">
      <c r="B50" s="752"/>
      <c r="C50" s="18" t="s">
        <v>13</v>
      </c>
      <c r="D50" s="163">
        <f>D11+Agosto23!AF47</f>
        <v>230161.5</v>
      </c>
      <c r="E50" s="164">
        <f t="shared" si="22"/>
        <v>230509.5</v>
      </c>
      <c r="F50" s="164">
        <f t="shared" si="22"/>
        <v>230693.6</v>
      </c>
      <c r="G50" s="165">
        <v>231148.9</v>
      </c>
      <c r="H50" s="166">
        <v>231319.5</v>
      </c>
      <c r="I50" s="163">
        <f t="shared" si="23"/>
        <v>231677.8</v>
      </c>
      <c r="J50" s="163">
        <f t="shared" si="23"/>
        <v>232038.19999999998</v>
      </c>
      <c r="K50" s="163">
        <f t="shared" si="23"/>
        <v>232356.09999999998</v>
      </c>
      <c r="L50" s="163">
        <f t="shared" si="23"/>
        <v>232680.89999999997</v>
      </c>
      <c r="M50" s="163">
        <f t="shared" si="23"/>
        <v>232725.29999999996</v>
      </c>
      <c r="N50" s="163">
        <f t="shared" si="23"/>
        <v>233122.89999999997</v>
      </c>
      <c r="O50" s="163">
        <f t="shared" si="23"/>
        <v>233465.49999999997</v>
      </c>
      <c r="P50" s="163">
        <f t="shared" si="23"/>
        <v>233872.69999999998</v>
      </c>
      <c r="Q50" s="163">
        <f t="shared" si="23"/>
        <v>234196.49999999997</v>
      </c>
      <c r="R50" s="163">
        <f t="shared" si="23"/>
        <v>234575.09999999998</v>
      </c>
      <c r="S50" s="163">
        <f t="shared" si="23"/>
        <v>234956.19999999998</v>
      </c>
      <c r="T50" s="163">
        <f t="shared" si="23"/>
        <v>235332.4</v>
      </c>
      <c r="U50" s="163">
        <f t="shared" si="23"/>
        <v>235712.69999999998</v>
      </c>
      <c r="V50" s="163">
        <f t="shared" si="23"/>
        <v>236102.09999999998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</row>
    <row r="51" spans="2:39" x14ac:dyDescent="0.3">
      <c r="B51" s="753"/>
      <c r="C51" s="18" t="s">
        <v>14</v>
      </c>
      <c r="D51" s="163">
        <f>D12+Agosto23!AF48</f>
        <v>754</v>
      </c>
      <c r="E51" s="164">
        <f t="shared" si="22"/>
        <v>1034</v>
      </c>
      <c r="F51" s="164">
        <f t="shared" si="22"/>
        <v>1154</v>
      </c>
      <c r="G51" s="165">
        <v>1440</v>
      </c>
      <c r="H51" s="166">
        <v>1620</v>
      </c>
      <c r="I51" s="163">
        <f t="shared" si="23"/>
        <v>1930</v>
      </c>
      <c r="J51" s="163">
        <f t="shared" si="23"/>
        <v>2245</v>
      </c>
      <c r="K51" s="163">
        <f t="shared" si="23"/>
        <v>2545</v>
      </c>
      <c r="L51" s="163">
        <f t="shared" si="23"/>
        <v>2765</v>
      </c>
      <c r="M51" s="163">
        <f t="shared" si="23"/>
        <v>2800</v>
      </c>
      <c r="N51" s="163">
        <f t="shared" si="23"/>
        <v>3120</v>
      </c>
      <c r="O51" s="163">
        <f t="shared" si="23"/>
        <v>3420</v>
      </c>
      <c r="P51" s="163">
        <f t="shared" si="23"/>
        <v>3770</v>
      </c>
      <c r="Q51" s="163">
        <f t="shared" si="23"/>
        <v>4070</v>
      </c>
      <c r="R51" s="163">
        <f t="shared" si="23"/>
        <v>4370</v>
      </c>
      <c r="S51" s="163">
        <f t="shared" si="23"/>
        <v>4700</v>
      </c>
      <c r="T51" s="163">
        <f t="shared" si="23"/>
        <v>5040</v>
      </c>
      <c r="U51" s="163">
        <f t="shared" si="23"/>
        <v>5390</v>
      </c>
      <c r="V51" s="163">
        <f t="shared" si="23"/>
        <v>5760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</row>
    <row r="52" spans="2:39" x14ac:dyDescent="0.3">
      <c r="B52" s="751" t="s">
        <v>16</v>
      </c>
      <c r="C52" s="18" t="s">
        <v>17</v>
      </c>
      <c r="D52" s="163">
        <f>D13+Agosto23!AF49</f>
        <v>137196.6</v>
      </c>
      <c r="E52" s="164">
        <f t="shared" si="22"/>
        <v>137696.20000000001</v>
      </c>
      <c r="F52" s="164">
        <f t="shared" si="22"/>
        <v>137937.70000000001</v>
      </c>
      <c r="G52" s="165">
        <v>138545</v>
      </c>
      <c r="H52" s="166">
        <v>138937</v>
      </c>
      <c r="I52" s="163">
        <f t="shared" si="23"/>
        <v>139454.39999999999</v>
      </c>
      <c r="J52" s="163">
        <f t="shared" si="23"/>
        <v>139976.6</v>
      </c>
      <c r="K52" s="163">
        <f t="shared" si="23"/>
        <v>140469.70000000001</v>
      </c>
      <c r="L52" s="163">
        <f t="shared" si="23"/>
        <v>140890.6</v>
      </c>
      <c r="M52" s="163">
        <f t="shared" si="23"/>
        <v>140952.1</v>
      </c>
      <c r="N52" s="163">
        <f t="shared" si="23"/>
        <v>141469.4</v>
      </c>
      <c r="O52" s="163">
        <f t="shared" si="23"/>
        <v>141940.29999999999</v>
      </c>
      <c r="P52" s="163">
        <f t="shared" si="23"/>
        <v>142486.09999999998</v>
      </c>
      <c r="Q52" s="163">
        <f t="shared" si="23"/>
        <v>142950.49999999997</v>
      </c>
      <c r="R52" s="163">
        <f t="shared" si="23"/>
        <v>143415.89999999997</v>
      </c>
      <c r="S52" s="163">
        <f t="shared" si="23"/>
        <v>143934.09999999998</v>
      </c>
      <c r="T52" s="163">
        <f t="shared" si="23"/>
        <v>144448.39999999997</v>
      </c>
      <c r="U52" s="163">
        <f t="shared" si="23"/>
        <v>144964.89999999997</v>
      </c>
      <c r="V52" s="163">
        <f t="shared" si="23"/>
        <v>145498.69999999995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</row>
    <row r="53" spans="2:39" x14ac:dyDescent="0.3">
      <c r="B53" s="752"/>
      <c r="C53" s="18" t="s">
        <v>18</v>
      </c>
      <c r="D53" s="163">
        <f>D14+Agosto23!AF50</f>
        <v>127550.5</v>
      </c>
      <c r="E53" s="164">
        <f t="shared" si="22"/>
        <v>128044.5</v>
      </c>
      <c r="F53" s="164">
        <f t="shared" si="22"/>
        <v>128302.8</v>
      </c>
      <c r="G53" s="165">
        <v>128878</v>
      </c>
      <c r="H53" s="166">
        <v>129112</v>
      </c>
      <c r="I53" s="163">
        <f t="shared" si="23"/>
        <v>129617.60000000001</v>
      </c>
      <c r="J53" s="163">
        <f t="shared" si="23"/>
        <v>130126.20000000001</v>
      </c>
      <c r="K53" s="163">
        <f t="shared" si="23"/>
        <v>130586.30000000002</v>
      </c>
      <c r="L53" s="163">
        <f t="shared" si="23"/>
        <v>131041.20000000001</v>
      </c>
      <c r="M53" s="163">
        <f t="shared" si="23"/>
        <v>131094.40000000002</v>
      </c>
      <c r="N53" s="163">
        <f t="shared" si="23"/>
        <v>131628.60000000003</v>
      </c>
      <c r="O53" s="163">
        <f>N53+O14</f>
        <v>132098.90000000002</v>
      </c>
      <c r="P53" s="163">
        <f t="shared" si="23"/>
        <v>132635.30000000002</v>
      </c>
      <c r="Q53" s="163">
        <f t="shared" si="23"/>
        <v>133116.90000000002</v>
      </c>
      <c r="R53" s="163">
        <f t="shared" si="23"/>
        <v>133636.90000000002</v>
      </c>
      <c r="S53" s="163">
        <f t="shared" si="23"/>
        <v>134161.30000000002</v>
      </c>
      <c r="T53" s="163" t="e">
        <f>S53+#REF!</f>
        <v>#REF!</v>
      </c>
      <c r="U53" s="163" t="e">
        <f>T53+U14</f>
        <v>#REF!</v>
      </c>
      <c r="V53" s="163" t="e">
        <f t="shared" si="23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</row>
    <row r="54" spans="2:39" x14ac:dyDescent="0.3">
      <c r="B54" s="752"/>
      <c r="C54" s="18" t="s">
        <v>19</v>
      </c>
      <c r="D54" s="163">
        <f>D15+Agosto23!AF51</f>
        <v>37778</v>
      </c>
      <c r="E54" s="164">
        <f t="shared" si="22"/>
        <v>37912.199999999997</v>
      </c>
      <c r="F54" s="164">
        <f t="shared" si="22"/>
        <v>37982.899999999994</v>
      </c>
      <c r="G54" s="165">
        <v>38160</v>
      </c>
      <c r="H54" s="166">
        <v>38222</v>
      </c>
      <c r="I54" s="163">
        <f t="shared" si="23"/>
        <v>38358.199999999997</v>
      </c>
      <c r="J54" s="163">
        <f t="shared" si="23"/>
        <v>38494.399999999994</v>
      </c>
      <c r="K54" s="163">
        <f t="shared" si="23"/>
        <v>38616.099999999991</v>
      </c>
      <c r="L54" s="163">
        <f t="shared" si="23"/>
        <v>38737.299999999988</v>
      </c>
      <c r="M54" s="163">
        <f t="shared" si="23"/>
        <v>38750.69999999999</v>
      </c>
      <c r="N54" s="163">
        <f t="shared" si="23"/>
        <v>38899.899999999987</v>
      </c>
      <c r="O54" s="163">
        <f>N54+O15</f>
        <v>39028.799999999988</v>
      </c>
      <c r="P54" s="163">
        <f t="shared" si="23"/>
        <v>39181.69999999999</v>
      </c>
      <c r="Q54" s="163">
        <f t="shared" si="23"/>
        <v>39318.299999999988</v>
      </c>
      <c r="R54" s="163">
        <f t="shared" si="23"/>
        <v>39460.099999999991</v>
      </c>
      <c r="S54" s="163">
        <f t="shared" si="23"/>
        <v>39603.19999999999</v>
      </c>
      <c r="T54" s="163">
        <f>S54+T15</f>
        <v>39743.899999999987</v>
      </c>
      <c r="U54" s="163">
        <f>T54+U15</f>
        <v>39885.899999999987</v>
      </c>
      <c r="V54" s="163">
        <f t="shared" si="23"/>
        <v>40031.899999999987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</row>
    <row r="55" spans="2:39" x14ac:dyDescent="0.3">
      <c r="B55" s="753"/>
      <c r="C55" s="18" t="s">
        <v>20</v>
      </c>
      <c r="D55" s="163">
        <f>D16+Agosto23!AF52</f>
        <v>97260.299999999988</v>
      </c>
      <c r="E55" s="164">
        <f t="shared" si="22"/>
        <v>97800.199999999983</v>
      </c>
      <c r="F55" s="164">
        <f t="shared" si="22"/>
        <v>98060.799999999988</v>
      </c>
      <c r="G55" s="165">
        <v>98510</v>
      </c>
      <c r="H55" s="166">
        <v>98809</v>
      </c>
      <c r="I55" s="163">
        <f t="shared" si="23"/>
        <v>99343.3</v>
      </c>
      <c r="J55" s="163">
        <f t="shared" si="23"/>
        <v>99880.1</v>
      </c>
      <c r="K55" s="163">
        <f t="shared" si="23"/>
        <v>100390.6</v>
      </c>
      <c r="L55" s="163">
        <f t="shared" si="23"/>
        <v>100848.40000000001</v>
      </c>
      <c r="M55" s="163">
        <f t="shared" si="23"/>
        <v>100888.70000000001</v>
      </c>
      <c r="N55" s="163">
        <f t="shared" si="23"/>
        <v>101419.6</v>
      </c>
      <c r="O55" s="163">
        <f t="shared" si="23"/>
        <v>101911.1</v>
      </c>
      <c r="P55" s="163">
        <f t="shared" si="23"/>
        <v>102481.60000000001</v>
      </c>
      <c r="Q55" s="163">
        <f t="shared" si="23"/>
        <v>102941.1</v>
      </c>
      <c r="R55" s="163">
        <f t="shared" si="23"/>
        <v>103483.20000000001</v>
      </c>
      <c r="S55" s="163">
        <f t="shared" si="23"/>
        <v>104029.80000000002</v>
      </c>
      <c r="T55" s="163">
        <f>S55+T14</f>
        <v>104548.20000000001</v>
      </c>
      <c r="U55" s="163">
        <f t="shared" si="23"/>
        <v>105090.90000000001</v>
      </c>
      <c r="V55" s="163">
        <f t="shared" si="23"/>
        <v>105642.6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</row>
    <row r="56" spans="2:39" x14ac:dyDescent="0.3">
      <c r="B56" s="754" t="s">
        <v>21</v>
      </c>
      <c r="C56" s="18" t="s">
        <v>22</v>
      </c>
      <c r="D56" s="163">
        <f>D17+Agosto23!AF53</f>
        <v>65999.200000000012</v>
      </c>
      <c r="E56" s="164">
        <f t="shared" si="22"/>
        <v>66485.000000000015</v>
      </c>
      <c r="F56" s="164">
        <f t="shared" si="22"/>
        <v>66711.900000000009</v>
      </c>
      <c r="G56" s="165">
        <v>67299</v>
      </c>
      <c r="H56" s="166">
        <v>67726</v>
      </c>
      <c r="I56" s="163">
        <f t="shared" si="23"/>
        <v>68217.7</v>
      </c>
      <c r="J56" s="163">
        <f t="shared" si="23"/>
        <v>68720.3</v>
      </c>
      <c r="K56" s="163" t="e">
        <f>J56+#REF!</f>
        <v>#REF!</v>
      </c>
      <c r="L56" s="163" t="e">
        <f t="shared" si="23"/>
        <v>#REF!</v>
      </c>
      <c r="M56" s="163" t="e">
        <f t="shared" si="23"/>
        <v>#REF!</v>
      </c>
      <c r="N56" s="163" t="e">
        <f>M56+N18</f>
        <v>#REF!</v>
      </c>
      <c r="O56" s="163" t="e">
        <f t="shared" si="23"/>
        <v>#REF!</v>
      </c>
      <c r="P56" s="163" t="e">
        <f t="shared" si="23"/>
        <v>#REF!</v>
      </c>
      <c r="Q56" s="163" t="e">
        <f t="shared" si="23"/>
        <v>#REF!</v>
      </c>
      <c r="R56" s="163" t="e">
        <f t="shared" si="23"/>
        <v>#REF!</v>
      </c>
      <c r="S56" s="163" t="e">
        <f t="shared" si="23"/>
        <v>#REF!</v>
      </c>
      <c r="T56" s="163" t="e">
        <f t="shared" si="23"/>
        <v>#REF!</v>
      </c>
      <c r="U56" s="163" t="e">
        <f t="shared" si="23"/>
        <v>#REF!</v>
      </c>
      <c r="V56" s="163" t="e">
        <f t="shared" si="23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</row>
    <row r="57" spans="2:39" x14ac:dyDescent="0.3">
      <c r="B57" s="754"/>
      <c r="C57" s="18" t="s">
        <v>23</v>
      </c>
      <c r="D57" s="163">
        <f>D18+Agosto23!AF54</f>
        <v>74585</v>
      </c>
      <c r="E57" s="164">
        <f t="shared" si="22"/>
        <v>75084.600000000006</v>
      </c>
      <c r="F57" s="164">
        <f t="shared" si="22"/>
        <v>75326</v>
      </c>
      <c r="G57" s="165">
        <v>75901</v>
      </c>
      <c r="H57" s="166">
        <v>76333</v>
      </c>
      <c r="I57" s="163">
        <f t="shared" si="23"/>
        <v>76849.399999999994</v>
      </c>
      <c r="J57" s="163">
        <f t="shared" si="23"/>
        <v>77375.099999999991</v>
      </c>
      <c r="K57" s="163">
        <f t="shared" si="23"/>
        <v>77884.399999999994</v>
      </c>
      <c r="L57" s="163">
        <f t="shared" si="23"/>
        <v>78351.799999999988</v>
      </c>
      <c r="M57" s="163">
        <f>L57+M19</f>
        <v>78403.799999999988</v>
      </c>
      <c r="N57" s="163" t="e">
        <f>M57+#REF!</f>
        <v>#REF!</v>
      </c>
      <c r="O57" s="163" t="e">
        <f t="shared" si="23"/>
        <v>#REF!</v>
      </c>
      <c r="P57" s="163" t="e">
        <f t="shared" si="23"/>
        <v>#REF!</v>
      </c>
      <c r="Q57" s="163" t="e">
        <f>P57+Q19</f>
        <v>#REF!</v>
      </c>
      <c r="R57" s="163" t="e">
        <f>Q57+#REF!</f>
        <v>#REF!</v>
      </c>
      <c r="S57" s="163" t="e">
        <f t="shared" si="23"/>
        <v>#REF!</v>
      </c>
      <c r="T57" s="163" t="e">
        <f t="shared" si="23"/>
        <v>#REF!</v>
      </c>
      <c r="U57" s="163" t="e">
        <f t="shared" si="23"/>
        <v>#REF!</v>
      </c>
      <c r="V57" s="163" t="e">
        <f t="shared" si="23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</row>
    <row r="58" spans="2:39" x14ac:dyDescent="0.3">
      <c r="B58" s="754"/>
      <c r="C58" s="18" t="s">
        <v>24</v>
      </c>
      <c r="D58" s="163">
        <f>D19+Agosto23!AF55</f>
        <v>136228.40000000002</v>
      </c>
      <c r="E58" s="164">
        <f t="shared" si="22"/>
        <v>136635.60000000003</v>
      </c>
      <c r="F58" s="164">
        <f t="shared" si="22"/>
        <v>136836.60000000003</v>
      </c>
      <c r="G58" s="165">
        <v>137294</v>
      </c>
      <c r="H58" s="166">
        <v>137664</v>
      </c>
      <c r="I58" s="163">
        <f>H58+I19</f>
        <v>138082.1</v>
      </c>
      <c r="J58" s="163">
        <f t="shared" si="23"/>
        <v>138503</v>
      </c>
      <c r="K58" s="163">
        <f t="shared" si="23"/>
        <v>138915.29999999999</v>
      </c>
      <c r="L58" s="163">
        <f>K58+L21</f>
        <v>139272.9</v>
      </c>
      <c r="M58" s="163" t="e">
        <f>L58+#REF!</f>
        <v>#REF!</v>
      </c>
      <c r="N58" s="163" t="e">
        <f t="shared" si="23"/>
        <v>#REF!</v>
      </c>
      <c r="O58" s="163" t="e">
        <f t="shared" si="23"/>
        <v>#REF!</v>
      </c>
      <c r="P58" s="163" t="e">
        <f t="shared" si="23"/>
        <v>#REF!</v>
      </c>
      <c r="Q58" s="163" t="e">
        <f>P58+#REF!</f>
        <v>#REF!</v>
      </c>
      <c r="R58" s="163" t="e">
        <f t="shared" si="23"/>
        <v>#REF!</v>
      </c>
      <c r="S58" s="163" t="e">
        <f t="shared" si="23"/>
        <v>#REF!</v>
      </c>
      <c r="T58" s="163" t="e">
        <f t="shared" si="23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</row>
    <row r="59" spans="2:39" x14ac:dyDescent="0.3">
      <c r="B59" s="754"/>
      <c r="C59" s="18" t="s">
        <v>25</v>
      </c>
      <c r="D59" s="163">
        <f>D20+Agosto23!AF56</f>
        <v>174635.7</v>
      </c>
      <c r="E59" s="164">
        <f t="shared" si="22"/>
        <v>175160.80000000002</v>
      </c>
      <c r="F59" s="164">
        <f t="shared" si="22"/>
        <v>175432.90000000002</v>
      </c>
      <c r="G59" s="165">
        <v>176032</v>
      </c>
      <c r="H59" s="166">
        <v>176536</v>
      </c>
      <c r="I59" s="163">
        <f>H59+I20</f>
        <v>177076.4</v>
      </c>
      <c r="J59" s="163">
        <f t="shared" si="23"/>
        <v>177625.69999999998</v>
      </c>
      <c r="K59" s="163">
        <f>J59+K17</f>
        <v>178113.49999999997</v>
      </c>
      <c r="L59" s="163">
        <f t="shared" si="23"/>
        <v>178608.69999999998</v>
      </c>
      <c r="M59" s="163">
        <f t="shared" si="23"/>
        <v>178674.9</v>
      </c>
      <c r="N59" s="163">
        <f>M59+N21</f>
        <v>179061.69999999998</v>
      </c>
      <c r="O59" s="163" t="e">
        <f>N59+#REF!</f>
        <v>#REF!</v>
      </c>
      <c r="P59" s="163" t="e">
        <f t="shared" si="23"/>
        <v>#REF!</v>
      </c>
      <c r="Q59" s="163" t="e">
        <f t="shared" si="23"/>
        <v>#REF!</v>
      </c>
      <c r="R59" s="163" t="e">
        <f>Q59+R18</f>
        <v>#REF!</v>
      </c>
      <c r="S59" s="163" t="e">
        <f>R59+S21</f>
        <v>#REF!</v>
      </c>
      <c r="T59" s="163" t="e">
        <f t="shared" si="23"/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</row>
    <row r="60" spans="2:39" x14ac:dyDescent="0.3">
      <c r="B60" s="754"/>
      <c r="C60" s="18" t="s">
        <v>26</v>
      </c>
      <c r="D60" s="163">
        <f>D21+Agosto23!AF57</f>
        <v>82371.3</v>
      </c>
      <c r="E60" s="164">
        <f t="shared" ref="E60:F66" si="24">D60+E21</f>
        <v>82762.100000000006</v>
      </c>
      <c r="F60" s="164">
        <f t="shared" si="24"/>
        <v>82964.200000000012</v>
      </c>
      <c r="G60" s="165">
        <v>83628</v>
      </c>
      <c r="H60" s="166">
        <v>84081</v>
      </c>
      <c r="I60" s="163">
        <f t="shared" ref="I60:L66" si="25">H60+I21</f>
        <v>84478.8</v>
      </c>
      <c r="J60" s="163">
        <f t="shared" si="25"/>
        <v>84882.6</v>
      </c>
      <c r="K60" s="163">
        <f t="shared" si="25"/>
        <v>85282.700000000012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26">N60+O21</f>
        <v>#REF!</v>
      </c>
      <c r="P60" s="163" t="e">
        <f t="shared" si="26"/>
        <v>#REF!</v>
      </c>
      <c r="Q60" s="163" t="e">
        <f t="shared" si="26"/>
        <v>#REF!</v>
      </c>
      <c r="R60" s="163" t="e">
        <f t="shared" si="26"/>
        <v>#REF!</v>
      </c>
      <c r="S60" s="163" t="e">
        <f>R60+#REF!</f>
        <v>#REF!</v>
      </c>
      <c r="T60" s="163" t="e">
        <f t="shared" ref="T60:V66" si="27">S60+T21</f>
        <v>#REF!</v>
      </c>
      <c r="U60" s="163" t="e">
        <f t="shared" si="27"/>
        <v>#REF!</v>
      </c>
      <c r="V60" s="163" t="e">
        <f t="shared" si="27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</row>
    <row r="61" spans="2:39" x14ac:dyDescent="0.3">
      <c r="B61" s="754"/>
      <c r="C61" s="18" t="s">
        <v>27</v>
      </c>
      <c r="D61" s="163">
        <f>D22+Agosto23!AF58</f>
        <v>61441.799999999996</v>
      </c>
      <c r="E61" s="164">
        <f t="shared" si="24"/>
        <v>61982.399999999994</v>
      </c>
      <c r="F61" s="164">
        <f t="shared" si="24"/>
        <v>62269.299999999996</v>
      </c>
      <c r="G61" s="165">
        <v>63058</v>
      </c>
      <c r="H61" s="166">
        <v>63281</v>
      </c>
      <c r="I61" s="163">
        <f t="shared" si="25"/>
        <v>63821</v>
      </c>
      <c r="J61" s="163">
        <f t="shared" si="25"/>
        <v>64361.7</v>
      </c>
      <c r="K61" s="163">
        <f t="shared" si="25"/>
        <v>64868.1</v>
      </c>
      <c r="L61" s="163">
        <f t="shared" si="25"/>
        <v>65320.299999999996</v>
      </c>
      <c r="M61" s="163" t="e">
        <f>L61+#REF!</f>
        <v>#REF!</v>
      </c>
      <c r="N61" s="163" t="e">
        <f t="shared" si="26"/>
        <v>#REF!</v>
      </c>
      <c r="O61" s="163" t="e">
        <f t="shared" si="26"/>
        <v>#REF!</v>
      </c>
      <c r="P61" s="163" t="e">
        <f t="shared" si="26"/>
        <v>#REF!</v>
      </c>
      <c r="Q61" s="163" t="e">
        <f t="shared" si="26"/>
        <v>#REF!</v>
      </c>
      <c r="R61" s="163" t="e">
        <f t="shared" si="26"/>
        <v>#REF!</v>
      </c>
      <c r="S61" s="163" t="e">
        <f t="shared" si="26"/>
        <v>#REF!</v>
      </c>
      <c r="T61" s="163" t="e">
        <f t="shared" si="27"/>
        <v>#REF!</v>
      </c>
      <c r="U61" s="163" t="e">
        <f t="shared" si="27"/>
        <v>#REF!</v>
      </c>
      <c r="V61" s="163" t="e">
        <f t="shared" si="27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</row>
    <row r="62" spans="2:39" x14ac:dyDescent="0.3">
      <c r="B62" s="754"/>
      <c r="C62" s="18" t="s">
        <v>28</v>
      </c>
      <c r="D62" s="163">
        <f>D23+Agosto23!AF59</f>
        <v>87569.27</v>
      </c>
      <c r="E62" s="164">
        <f t="shared" si="24"/>
        <v>88060.37000000001</v>
      </c>
      <c r="F62" s="164">
        <f t="shared" si="24"/>
        <v>88315.57</v>
      </c>
      <c r="G62" s="165">
        <v>87693.64</v>
      </c>
      <c r="H62" s="166">
        <v>87903.16</v>
      </c>
      <c r="I62" s="163">
        <f t="shared" si="25"/>
        <v>88391.16</v>
      </c>
      <c r="J62" s="163">
        <f t="shared" si="25"/>
        <v>88878.760000000009</v>
      </c>
      <c r="K62" s="163">
        <f>J62+K23</f>
        <v>89332.360000000015</v>
      </c>
      <c r="L62" s="163">
        <f t="shared" si="25"/>
        <v>89738.460000000021</v>
      </c>
      <c r="M62" s="163">
        <f>L62+M22</f>
        <v>89793.960000000021</v>
      </c>
      <c r="N62" s="163">
        <f t="shared" si="26"/>
        <v>90246.960000000021</v>
      </c>
      <c r="O62" s="163">
        <f>N62+O20</f>
        <v>90763.460000000021</v>
      </c>
      <c r="P62" s="163">
        <f t="shared" si="26"/>
        <v>91283.660000000018</v>
      </c>
      <c r="Q62" s="163">
        <f t="shared" si="26"/>
        <v>91770.160000000018</v>
      </c>
      <c r="R62" s="163">
        <f t="shared" si="26"/>
        <v>92273.060000000012</v>
      </c>
      <c r="S62" s="163">
        <f t="shared" si="26"/>
        <v>92775.160000000018</v>
      </c>
      <c r="T62" s="163">
        <f t="shared" si="27"/>
        <v>93265.160000000018</v>
      </c>
      <c r="U62" s="163">
        <f t="shared" si="27"/>
        <v>93761.560000000012</v>
      </c>
      <c r="V62" s="163">
        <f>U62+V23</f>
        <v>94277.060000000012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</row>
    <row r="63" spans="2:39" x14ac:dyDescent="0.3">
      <c r="B63" s="754"/>
      <c r="C63" s="18" t="s">
        <v>29</v>
      </c>
      <c r="D63" s="163">
        <f>D24+Agosto23!AF60</f>
        <v>129700.79999999999</v>
      </c>
      <c r="E63" s="164">
        <f t="shared" si="24"/>
        <v>131638</v>
      </c>
      <c r="F63" s="164">
        <f t="shared" si="24"/>
        <v>132651.29999999999</v>
      </c>
      <c r="G63" s="165">
        <v>130195</v>
      </c>
      <c r="H63" s="166">
        <v>130451</v>
      </c>
      <c r="I63" s="163">
        <f t="shared" si="25"/>
        <v>132388.4</v>
      </c>
      <c r="J63" s="163">
        <f t="shared" si="25"/>
        <v>134305.4</v>
      </c>
      <c r="K63" s="163">
        <f>J63+K24</f>
        <v>136097.4</v>
      </c>
      <c r="L63" s="163">
        <f t="shared" si="25"/>
        <v>137705.29999999999</v>
      </c>
      <c r="M63" s="163">
        <f t="shared" si="26"/>
        <v>137897.69999999998</v>
      </c>
      <c r="N63" s="163">
        <f t="shared" si="26"/>
        <v>139640.69999999998</v>
      </c>
      <c r="O63" s="163">
        <f t="shared" si="26"/>
        <v>140183.9</v>
      </c>
      <c r="P63" s="163">
        <f t="shared" si="26"/>
        <v>142202</v>
      </c>
      <c r="Q63" s="163">
        <f t="shared" si="26"/>
        <v>144086.6</v>
      </c>
      <c r="R63" s="163">
        <f t="shared" si="26"/>
        <v>146046.20000000001</v>
      </c>
      <c r="S63" s="163">
        <f t="shared" si="26"/>
        <v>147985.40000000002</v>
      </c>
      <c r="T63" s="163">
        <f t="shared" si="27"/>
        <v>149879.40000000002</v>
      </c>
      <c r="U63" s="163">
        <f t="shared" si="27"/>
        <v>151798.30000000002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</row>
    <row r="64" spans="2:39" x14ac:dyDescent="0.3">
      <c r="B64" s="754"/>
      <c r="C64" s="18" t="s">
        <v>30</v>
      </c>
      <c r="D64" s="163">
        <f>D25+Agosto23!AF61</f>
        <v>14611.8</v>
      </c>
      <c r="E64" s="164">
        <f t="shared" si="24"/>
        <v>15183.199999999999</v>
      </c>
      <c r="F64" s="164">
        <f t="shared" si="24"/>
        <v>15768.4</v>
      </c>
      <c r="G64" s="165">
        <v>18667</v>
      </c>
      <c r="H64" s="166">
        <v>19364</v>
      </c>
      <c r="I64" s="163">
        <f t="shared" si="25"/>
        <v>19894.900000000001</v>
      </c>
      <c r="J64" s="163">
        <f t="shared" si="25"/>
        <v>20482.5</v>
      </c>
      <c r="K64" s="163">
        <f t="shared" si="25"/>
        <v>21004.400000000001</v>
      </c>
      <c r="L64" s="163">
        <f t="shared" si="25"/>
        <v>21407.7</v>
      </c>
      <c r="M64" s="163">
        <f t="shared" si="26"/>
        <v>21500.2</v>
      </c>
      <c r="N64" s="163" t="e">
        <f>M64+#REF!</f>
        <v>#REF!</v>
      </c>
      <c r="O64" s="163" t="e">
        <f t="shared" si="26"/>
        <v>#REF!</v>
      </c>
      <c r="P64" s="163" t="e">
        <f t="shared" si="26"/>
        <v>#REF!</v>
      </c>
      <c r="Q64" s="163" t="e">
        <f t="shared" si="26"/>
        <v>#REF!</v>
      </c>
      <c r="R64" s="163" t="e">
        <f t="shared" si="26"/>
        <v>#REF!</v>
      </c>
      <c r="S64" s="163" t="e">
        <f t="shared" si="26"/>
        <v>#REF!</v>
      </c>
      <c r="T64" s="163" t="e">
        <f t="shared" si="27"/>
        <v>#REF!</v>
      </c>
      <c r="U64" s="163" t="e">
        <f t="shared" si="27"/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</row>
    <row r="65" spans="2:39" x14ac:dyDescent="0.3">
      <c r="B65" s="754"/>
      <c r="C65" s="18" t="s">
        <v>111</v>
      </c>
      <c r="D65" s="163">
        <f>D26+Agosto23!AF62</f>
        <v>45257.599999999999</v>
      </c>
      <c r="E65" s="164">
        <f t="shared" si="24"/>
        <v>45759.199999999997</v>
      </c>
      <c r="F65" s="164">
        <f t="shared" si="24"/>
        <v>46130.899999999994</v>
      </c>
      <c r="G65" s="165">
        <v>46772</v>
      </c>
      <c r="H65" s="166">
        <v>47086</v>
      </c>
      <c r="I65" s="163">
        <f t="shared" si="25"/>
        <v>47589.8</v>
      </c>
      <c r="J65" s="163">
        <f t="shared" si="25"/>
        <v>48087.9</v>
      </c>
      <c r="K65" s="163">
        <f t="shared" si="25"/>
        <v>48537.200000000004</v>
      </c>
      <c r="L65" s="163">
        <f t="shared" si="25"/>
        <v>48962.3</v>
      </c>
      <c r="M65" s="163">
        <f t="shared" si="26"/>
        <v>49015.700000000004</v>
      </c>
      <c r="N65" s="163">
        <f>M65+N25</f>
        <v>49614.3</v>
      </c>
      <c r="O65" s="163">
        <f t="shared" si="26"/>
        <v>50022.700000000004</v>
      </c>
      <c r="P65" s="163">
        <f t="shared" si="26"/>
        <v>50549.8</v>
      </c>
      <c r="Q65" s="163">
        <f t="shared" si="26"/>
        <v>51034.100000000006</v>
      </c>
      <c r="R65" s="163">
        <f t="shared" si="26"/>
        <v>51541.600000000006</v>
      </c>
      <c r="S65" s="163">
        <f t="shared" si="26"/>
        <v>52054.100000000006</v>
      </c>
      <c r="T65" s="163">
        <f t="shared" si="27"/>
        <v>52563.200000000004</v>
      </c>
      <c r="U65" s="163">
        <f t="shared" si="27"/>
        <v>53072.3</v>
      </c>
      <c r="V65" s="163">
        <f t="shared" si="27"/>
        <v>53579.4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</row>
    <row r="66" spans="2:39" ht="15" thickBot="1" x14ac:dyDescent="0.35">
      <c r="B66" s="754"/>
      <c r="C66" s="18" t="s">
        <v>32</v>
      </c>
      <c r="D66" s="163">
        <f>D27+Agosto23!AF63</f>
        <v>9612.1</v>
      </c>
      <c r="E66" s="164">
        <f t="shared" si="24"/>
        <v>10092.5</v>
      </c>
      <c r="F66" s="164">
        <f t="shared" si="24"/>
        <v>10555.1</v>
      </c>
      <c r="G66" s="165">
        <v>10779</v>
      </c>
      <c r="H66" s="166">
        <v>10940</v>
      </c>
      <c r="I66" s="163">
        <f t="shared" si="25"/>
        <v>11416</v>
      </c>
      <c r="J66" s="163">
        <f t="shared" si="25"/>
        <v>11899.2</v>
      </c>
      <c r="K66" s="163">
        <f t="shared" si="25"/>
        <v>12305.2</v>
      </c>
      <c r="L66" s="163">
        <f t="shared" si="25"/>
        <v>12663.300000000001</v>
      </c>
      <c r="M66" s="163">
        <f t="shared" si="26"/>
        <v>12725.300000000001</v>
      </c>
      <c r="N66" s="163">
        <f t="shared" si="26"/>
        <v>13173.6</v>
      </c>
      <c r="O66" s="163">
        <f t="shared" si="26"/>
        <v>13646.7</v>
      </c>
      <c r="P66" s="163">
        <f t="shared" si="26"/>
        <v>14103.1</v>
      </c>
      <c r="Q66" s="163">
        <f t="shared" si="26"/>
        <v>14616.9</v>
      </c>
      <c r="R66" s="163">
        <f t="shared" si="26"/>
        <v>14739.699999999999</v>
      </c>
      <c r="S66" s="163">
        <f t="shared" si="26"/>
        <v>15234.199999999999</v>
      </c>
      <c r="T66" s="163">
        <f t="shared" si="27"/>
        <v>15720.9</v>
      </c>
      <c r="U66" s="163">
        <f t="shared" si="27"/>
        <v>16203.4</v>
      </c>
      <c r="V66" s="163">
        <f t="shared" si="27"/>
        <v>16702.5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</row>
    <row r="67" spans="2:39" x14ac:dyDescent="0.3">
      <c r="B67" s="754"/>
      <c r="C67" s="18" t="s">
        <v>112</v>
      </c>
      <c r="D67" s="163">
        <f>D29+Agosto23!AF64</f>
        <v>19007.8</v>
      </c>
      <c r="E67" s="164">
        <f>D67+E29</f>
        <v>19441.899999999998</v>
      </c>
      <c r="F67" s="164">
        <f>E67+F29</f>
        <v>19854.3</v>
      </c>
      <c r="G67" s="165">
        <v>20520.400000000001</v>
      </c>
      <c r="H67" s="166">
        <v>20739</v>
      </c>
      <c r="I67" s="163">
        <f t="shared" ref="I67:V67" si="28">H67+I29</f>
        <v>21176</v>
      </c>
      <c r="J67" s="163">
        <f>I67+J30</f>
        <v>21588</v>
      </c>
      <c r="K67" s="163">
        <f t="shared" si="28"/>
        <v>21962.400000000001</v>
      </c>
      <c r="L67" s="163">
        <f t="shared" si="28"/>
        <v>22286.9</v>
      </c>
      <c r="M67" s="163">
        <f t="shared" si="28"/>
        <v>22338.600000000002</v>
      </c>
      <c r="N67" s="163">
        <f t="shared" si="28"/>
        <v>22725.600000000002</v>
      </c>
      <c r="O67" s="163">
        <f t="shared" si="28"/>
        <v>23137.7</v>
      </c>
      <c r="P67" s="163">
        <f t="shared" si="28"/>
        <v>23541.4</v>
      </c>
      <c r="Q67" s="163">
        <f t="shared" si="28"/>
        <v>24008.5</v>
      </c>
      <c r="R67" s="163">
        <f t="shared" si="28"/>
        <v>24130.5</v>
      </c>
      <c r="S67" s="163">
        <f t="shared" si="28"/>
        <v>24576.1</v>
      </c>
      <c r="T67" s="163">
        <f t="shared" si="28"/>
        <v>25014.6</v>
      </c>
      <c r="U67" s="163">
        <f t="shared" si="28"/>
        <v>25451.399999999998</v>
      </c>
      <c r="V67" s="163">
        <f t="shared" si="28"/>
        <v>25909.199999999997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</row>
    <row r="68" spans="2:39" x14ac:dyDescent="0.3">
      <c r="B68" s="756" t="s">
        <v>196</v>
      </c>
      <c r="C68" s="756"/>
      <c r="D68" s="756"/>
      <c r="E68" s="756"/>
    </row>
    <row r="69" spans="2:39" x14ac:dyDescent="0.3">
      <c r="B69" s="757" t="s">
        <v>132</v>
      </c>
      <c r="C69" s="757"/>
      <c r="D69" s="757"/>
      <c r="E69" s="757"/>
    </row>
  </sheetData>
  <mergeCells count="14">
    <mergeCell ref="B68:E68"/>
    <mergeCell ref="B69:E69"/>
    <mergeCell ref="AE34:AG34"/>
    <mergeCell ref="AE35:AG35"/>
    <mergeCell ref="AE36:AG36"/>
    <mergeCell ref="B44:B51"/>
    <mergeCell ref="B52:B55"/>
    <mergeCell ref="B56:B67"/>
    <mergeCell ref="B32:C32"/>
    <mergeCell ref="B4:C4"/>
    <mergeCell ref="B5:B12"/>
    <mergeCell ref="B13:B16"/>
    <mergeCell ref="B17:B29"/>
    <mergeCell ref="B30:B31"/>
  </mergeCells>
  <conditionalFormatting sqref="AL5:BO31">
    <cfRule type="cellIs" dxfId="94" priority="2" operator="equal">
      <formula>"VAZIO"</formula>
    </cfRule>
  </conditionalFormatting>
  <conditionalFormatting sqref="AL5:BP31">
    <cfRule type="expression" dxfId="93" priority="6">
      <formula>AL5&gt;$BQ5</formula>
    </cfRule>
    <cfRule type="expression" dxfId="92" priority="7">
      <formula>AL5&lt;($BQ5-0.01)</formula>
    </cfRule>
  </conditionalFormatting>
  <conditionalFormatting sqref="AM8:BO8 BJ9 AM16:BO16 BG17 AM24:BO25">
    <cfRule type="cellIs" dxfId="91" priority="3" operator="equal">
      <formula>"""VAZIO"""</formula>
    </cfRule>
  </conditionalFormatting>
  <conditionalFormatting sqref="AP5:BO31">
    <cfRule type="expression" dxfId="90" priority="1">
      <formula>AP5=0</formula>
    </cfRule>
  </conditionalFormatting>
  <conditionalFormatting sqref="BT5:BT31">
    <cfRule type="cellIs" dxfId="89" priority="4" operator="greaterThan">
      <formula>0</formula>
    </cfRule>
    <cfRule type="cellIs" dxfId="88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5410-51A1-4459-89BC-CF2FF6FFE97E}">
  <sheetPr>
    <tabColor rgb="FFFF9900"/>
  </sheetPr>
  <dimension ref="B3:BW113"/>
  <sheetViews>
    <sheetView zoomScale="85" zoomScaleNormal="8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10" sqref="C10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32" width="16.44140625" customWidth="1"/>
    <col min="33" max="33" width="18.6640625" customWidth="1"/>
    <col min="34" max="34" width="20.109375" customWidth="1"/>
    <col min="35" max="35" width="15.6640625" customWidth="1"/>
    <col min="36" max="36" width="15.88671875" hidden="1" customWidth="1"/>
    <col min="37" max="66" width="11.88671875" customWidth="1"/>
    <col min="67" max="67" width="17.6640625" customWidth="1"/>
    <col min="68" max="68" width="14.33203125" customWidth="1"/>
    <col min="69" max="69" width="20.5546875" customWidth="1"/>
    <col min="70" max="70" width="17.5546875" customWidth="1"/>
    <col min="71" max="71" width="19" customWidth="1"/>
    <col min="72" max="72" width="18.88671875" customWidth="1"/>
    <col min="73" max="73" width="15.109375" customWidth="1"/>
  </cols>
  <sheetData>
    <row r="3" spans="2:75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</row>
    <row r="4" spans="2:75" ht="44.25" customHeight="1" thickBot="1" x14ac:dyDescent="0.35">
      <c r="B4" s="768" t="s">
        <v>133</v>
      </c>
      <c r="C4" s="769"/>
      <c r="D4" s="343" t="s">
        <v>726</v>
      </c>
      <c r="E4" s="344" t="s">
        <v>727</v>
      </c>
      <c r="F4" s="344" t="s">
        <v>728</v>
      </c>
      <c r="G4" s="344" t="s">
        <v>729</v>
      </c>
      <c r="H4" s="344" t="s">
        <v>730</v>
      </c>
      <c r="I4" s="344" t="s">
        <v>731</v>
      </c>
      <c r="J4" s="344" t="s">
        <v>732</v>
      </c>
      <c r="K4" s="344" t="s">
        <v>755</v>
      </c>
      <c r="L4" s="344" t="s">
        <v>733</v>
      </c>
      <c r="M4" s="344" t="s">
        <v>734</v>
      </c>
      <c r="N4" s="344" t="s">
        <v>735</v>
      </c>
      <c r="O4" s="344" t="s">
        <v>736</v>
      </c>
      <c r="P4" s="344" t="s">
        <v>737</v>
      </c>
      <c r="Q4" s="344" t="s">
        <v>738</v>
      </c>
      <c r="R4" s="344" t="s">
        <v>739</v>
      </c>
      <c r="S4" s="344" t="s">
        <v>740</v>
      </c>
      <c r="T4" s="344" t="s">
        <v>741</v>
      </c>
      <c r="U4" s="344" t="s">
        <v>742</v>
      </c>
      <c r="V4" s="344" t="s">
        <v>743</v>
      </c>
      <c r="W4" s="344" t="s">
        <v>744</v>
      </c>
      <c r="X4" s="344" t="s">
        <v>745</v>
      </c>
      <c r="Y4" s="344" t="s">
        <v>746</v>
      </c>
      <c r="Z4" s="344" t="s">
        <v>747</v>
      </c>
      <c r="AA4" s="344" t="s">
        <v>748</v>
      </c>
      <c r="AB4" s="344" t="s">
        <v>749</v>
      </c>
      <c r="AC4" s="344" t="s">
        <v>750</v>
      </c>
      <c r="AD4" s="344" t="s">
        <v>751</v>
      </c>
      <c r="AE4" s="344" t="s">
        <v>752</v>
      </c>
      <c r="AF4" s="344" t="s">
        <v>753</v>
      </c>
      <c r="AG4" s="345" t="s">
        <v>754</v>
      </c>
      <c r="AH4" s="346" t="s">
        <v>69</v>
      </c>
      <c r="AI4" s="346" t="s">
        <v>2</v>
      </c>
      <c r="AJ4" s="347" t="s">
        <v>70</v>
      </c>
      <c r="AK4" s="348" t="s">
        <v>228</v>
      </c>
      <c r="AL4" s="349" t="s">
        <v>229</v>
      </c>
      <c r="AM4" s="349" t="s">
        <v>230</v>
      </c>
      <c r="AN4" s="349" t="s">
        <v>231</v>
      </c>
      <c r="AO4" s="349" t="s">
        <v>232</v>
      </c>
      <c r="AP4" s="349" t="s">
        <v>233</v>
      </c>
      <c r="AQ4" s="349" t="s">
        <v>234</v>
      </c>
      <c r="AR4" s="349" t="s">
        <v>235</v>
      </c>
      <c r="AS4" s="349" t="s">
        <v>236</v>
      </c>
      <c r="AT4" s="349" t="s">
        <v>236</v>
      </c>
      <c r="AU4" s="349" t="s">
        <v>237</v>
      </c>
      <c r="AV4" s="349" t="s">
        <v>238</v>
      </c>
      <c r="AW4" s="349" t="s">
        <v>239</v>
      </c>
      <c r="AX4" s="349" t="s">
        <v>240</v>
      </c>
      <c r="AY4" s="349" t="s">
        <v>241</v>
      </c>
      <c r="AZ4" s="349" t="s">
        <v>242</v>
      </c>
      <c r="BA4" s="349" t="s">
        <v>243</v>
      </c>
      <c r="BB4" s="349" t="s">
        <v>244</v>
      </c>
      <c r="BC4" s="349" t="s">
        <v>245</v>
      </c>
      <c r="BD4" s="349" t="s">
        <v>246</v>
      </c>
      <c r="BE4" s="349" t="s">
        <v>247</v>
      </c>
      <c r="BF4" s="349" t="s">
        <v>248</v>
      </c>
      <c r="BG4" s="349" t="s">
        <v>249</v>
      </c>
      <c r="BH4" s="349" t="s">
        <v>250</v>
      </c>
      <c r="BI4" s="349" t="s">
        <v>251</v>
      </c>
      <c r="BJ4" s="349" t="s">
        <v>252</v>
      </c>
      <c r="BK4" s="349" t="s">
        <v>253</v>
      </c>
      <c r="BL4" s="349" t="s">
        <v>254</v>
      </c>
      <c r="BM4" s="349" t="s">
        <v>255</v>
      </c>
      <c r="BN4" s="349" t="s">
        <v>256</v>
      </c>
      <c r="BO4" s="350" t="s">
        <v>102</v>
      </c>
      <c r="BP4" s="343" t="s">
        <v>103</v>
      </c>
      <c r="BQ4" s="351" t="s">
        <v>104</v>
      </c>
      <c r="BR4" s="352" t="s">
        <v>105</v>
      </c>
      <c r="BS4" s="353" t="s">
        <v>106</v>
      </c>
      <c r="BU4" s="3"/>
      <c r="BV4" s="2"/>
      <c r="BW4" s="2"/>
    </row>
    <row r="5" spans="2:75" x14ac:dyDescent="0.3">
      <c r="B5" s="770" t="s">
        <v>6</v>
      </c>
      <c r="C5" s="328" t="s">
        <v>7</v>
      </c>
      <c r="D5" s="330">
        <v>61.9</v>
      </c>
      <c r="E5" s="103">
        <v>50.1</v>
      </c>
      <c r="F5" s="103">
        <v>42.5</v>
      </c>
      <c r="G5" s="103">
        <v>53.9</v>
      </c>
      <c r="H5" s="103">
        <v>50.5</v>
      </c>
      <c r="I5" s="331">
        <v>37.799999999999997</v>
      </c>
      <c r="J5" s="103">
        <v>48.2</v>
      </c>
      <c r="K5" s="103">
        <v>51.1</v>
      </c>
      <c r="L5" s="103">
        <v>58.7</v>
      </c>
      <c r="M5" s="509">
        <v>63.4</v>
      </c>
      <c r="N5" s="283">
        <v>62</v>
      </c>
      <c r="O5" s="509">
        <v>62.8</v>
      </c>
      <c r="P5" s="509">
        <v>62.1</v>
      </c>
      <c r="Q5" s="331">
        <v>58.8</v>
      </c>
      <c r="R5" s="103">
        <v>54.1</v>
      </c>
      <c r="S5" s="103">
        <v>37.9</v>
      </c>
      <c r="T5" s="103">
        <v>20.3</v>
      </c>
      <c r="U5" s="103">
        <v>19.100000000000001</v>
      </c>
      <c r="V5" s="103">
        <v>43.1</v>
      </c>
      <c r="W5" s="331">
        <v>44.5</v>
      </c>
      <c r="X5" s="103">
        <v>52.4</v>
      </c>
      <c r="Y5" s="103">
        <v>35.1</v>
      </c>
      <c r="Z5" s="104">
        <v>63.7</v>
      </c>
      <c r="AA5" s="332">
        <v>64.400000000000006</v>
      </c>
      <c r="AB5" s="333">
        <v>64.3</v>
      </c>
      <c r="AC5" s="616">
        <v>23.2</v>
      </c>
      <c r="AD5" s="104">
        <v>54.5</v>
      </c>
      <c r="AE5" s="104">
        <v>33.4</v>
      </c>
      <c r="AF5" s="104">
        <v>44.4</v>
      </c>
      <c r="AG5" s="104">
        <v>40.6</v>
      </c>
      <c r="AH5" s="335">
        <f t="shared" ref="AH5:AH31" si="0">SUM(D5:AG5)</f>
        <v>1458.8000000000002</v>
      </c>
      <c r="AI5" s="160">
        <v>12</v>
      </c>
      <c r="AJ5" s="336">
        <f t="shared" ref="AJ5:AJ11" si="1">F5/(AI5*432)</f>
        <v>8.1983024691358024E-3</v>
      </c>
      <c r="AK5" s="337">
        <f t="shared" ref="AK5:AT8" si="2">IF(OR(D5="",D5="Sem monitoramento"),"VAZIO",IFERROR(D5/($AI5*24),"-"))</f>
        <v>0.21493055555555554</v>
      </c>
      <c r="AL5" s="338">
        <f t="shared" si="2"/>
        <v>0.17395833333333333</v>
      </c>
      <c r="AM5" s="338">
        <f t="shared" si="2"/>
        <v>0.14756944444444445</v>
      </c>
      <c r="AN5" s="338">
        <f t="shared" si="2"/>
        <v>0.18715277777777778</v>
      </c>
      <c r="AO5" s="338">
        <f t="shared" si="2"/>
        <v>0.17534722222222221</v>
      </c>
      <c r="AP5" s="338">
        <f t="shared" si="2"/>
        <v>0.13124999999999998</v>
      </c>
      <c r="AQ5" s="338">
        <f t="shared" si="2"/>
        <v>0.16736111111111113</v>
      </c>
      <c r="AR5" s="338">
        <f t="shared" si="2"/>
        <v>0.17743055555555556</v>
      </c>
      <c r="AS5" s="338">
        <f t="shared" si="2"/>
        <v>0.20381944444444444</v>
      </c>
      <c r="AT5" s="338">
        <f t="shared" si="2"/>
        <v>0.22013888888888888</v>
      </c>
      <c r="AU5" s="338">
        <f t="shared" ref="AU5:BD8" si="3">IF(OR(N5="",N5="Sem monitoramento"),"VAZIO",IFERROR(N5/($AI5*24),"-"))</f>
        <v>0.21527777777777779</v>
      </c>
      <c r="AV5" s="338">
        <f t="shared" si="3"/>
        <v>0.21805555555555556</v>
      </c>
      <c r="AW5" s="338">
        <f t="shared" si="3"/>
        <v>0.21562500000000001</v>
      </c>
      <c r="AX5" s="338">
        <f t="shared" si="3"/>
        <v>0.20416666666666666</v>
      </c>
      <c r="AY5" s="338">
        <f t="shared" si="3"/>
        <v>0.18784722222222222</v>
      </c>
      <c r="AZ5" s="338">
        <f t="shared" si="3"/>
        <v>0.13159722222222223</v>
      </c>
      <c r="BA5" s="338">
        <f t="shared" si="3"/>
        <v>7.048611111111111E-2</v>
      </c>
      <c r="BB5" s="338">
        <f t="shared" si="3"/>
        <v>6.6319444444444445E-2</v>
      </c>
      <c r="BC5" s="338">
        <f t="shared" si="3"/>
        <v>0.14965277777777777</v>
      </c>
      <c r="BD5" s="338">
        <f t="shared" si="3"/>
        <v>0.1545138888888889</v>
      </c>
      <c r="BE5" s="338">
        <f t="shared" ref="BE5:BI8" si="4">IF(OR(X5="",X5="Sem monitoramento"),"VAZIO",IFERROR(X5/($AI5*24),"-"))</f>
        <v>0.18194444444444444</v>
      </c>
      <c r="BF5" s="338">
        <f t="shared" si="4"/>
        <v>0.12187500000000001</v>
      </c>
      <c r="BG5" s="338">
        <f t="shared" si="4"/>
        <v>0.22118055555555557</v>
      </c>
      <c r="BH5" s="338">
        <f t="shared" si="4"/>
        <v>0.22361111111111112</v>
      </c>
      <c r="BI5" s="338">
        <f>IF(OR(AB5="",AB5="Sem monitoramento"),"VAZIO",IFERROR(AB5/($AI5*24),"-"))</f>
        <v>0.22326388888888887</v>
      </c>
      <c r="BJ5" s="338" t="e">
        <f>IF(OR(#REF!="",#REF!="Sem monitoramento"),"VAZIO",IFERROR(#REF!/($AI5*24),"-"))</f>
        <v>#REF!</v>
      </c>
      <c r="BK5" s="338">
        <f t="shared" ref="BK5:BN6" si="5">IF(OR(AD5="",AD5="Sem monitoramento"),"VAZIO",IFERROR(AD5/($AI5*24),"-"))</f>
        <v>0.1892361111111111</v>
      </c>
      <c r="BL5" s="338">
        <f t="shared" si="5"/>
        <v>0.11597222222222221</v>
      </c>
      <c r="BM5" s="338">
        <f t="shared" si="5"/>
        <v>0.15416666666666667</v>
      </c>
      <c r="BN5" s="338">
        <f t="shared" si="5"/>
        <v>0.14097222222222222</v>
      </c>
      <c r="BO5" s="339">
        <f t="shared" ref="BO5:BO31" si="6">AH5/(AI5*(COUNTA(D5:AG5)*24))</f>
        <v>0.16884259259259263</v>
      </c>
      <c r="BP5" s="180">
        <f>'FCs estimados em PVsyst'!Y3</f>
        <v>0.1804398148148148</v>
      </c>
      <c r="BQ5" s="340">
        <f t="shared" ref="BQ5:BQ11" si="7">AI5*BP5</f>
        <v>2.1652777777777779</v>
      </c>
      <c r="BR5" s="341">
        <f t="shared" ref="BR5:BR11" si="8">AM5-BP5</f>
        <v>-3.2870370370370355E-2</v>
      </c>
      <c r="BS5" s="342">
        <f t="shared" ref="BS5:BS30" si="9">BO5-BP5</f>
        <v>-1.1597222222222175E-2</v>
      </c>
      <c r="BT5" s="15" t="s">
        <v>7</v>
      </c>
      <c r="BU5" s="75" t="s">
        <v>107</v>
      </c>
      <c r="BV5" s="7">
        <f>COUNTIF(BS5:BS29,"&gt;0")</f>
        <v>16</v>
      </c>
      <c r="BW5" s="2"/>
    </row>
    <row r="6" spans="2:75" x14ac:dyDescent="0.3">
      <c r="B6" s="771"/>
      <c r="C6" s="325" t="s">
        <v>8</v>
      </c>
      <c r="D6" s="62">
        <v>349.3</v>
      </c>
      <c r="E6" s="63">
        <v>303.8</v>
      </c>
      <c r="F6" s="63">
        <v>232</v>
      </c>
      <c r="G6" s="63">
        <v>311.8</v>
      </c>
      <c r="H6" s="63">
        <v>295.60000000000002</v>
      </c>
      <c r="I6" s="283">
        <v>140</v>
      </c>
      <c r="J6" s="63">
        <v>272.5</v>
      </c>
      <c r="K6" s="63">
        <v>293.89999999999998</v>
      </c>
      <c r="L6" s="63">
        <v>325.60000000000002</v>
      </c>
      <c r="M6" s="319">
        <v>374</v>
      </c>
      <c r="N6" s="283">
        <v>365.8</v>
      </c>
      <c r="O6" s="355">
        <v>373.5</v>
      </c>
      <c r="P6" s="355">
        <v>369.8</v>
      </c>
      <c r="Q6" s="283">
        <v>350</v>
      </c>
      <c r="R6" s="63">
        <v>315.10000000000002</v>
      </c>
      <c r="S6" s="63">
        <v>217.8</v>
      </c>
      <c r="T6" s="63">
        <v>113.4</v>
      </c>
      <c r="U6" s="63">
        <v>109.1</v>
      </c>
      <c r="V6" s="63">
        <v>231.2</v>
      </c>
      <c r="W6" s="283">
        <v>244</v>
      </c>
      <c r="X6" s="63">
        <v>316.5</v>
      </c>
      <c r="Y6" s="63">
        <v>184.8</v>
      </c>
      <c r="Z6" s="221">
        <v>360</v>
      </c>
      <c r="AA6" s="18">
        <v>245</v>
      </c>
      <c r="AB6" s="20">
        <v>364.5</v>
      </c>
      <c r="AC6" s="487">
        <v>380</v>
      </c>
      <c r="AD6" s="15">
        <v>329.5</v>
      </c>
      <c r="AE6" s="15">
        <v>179</v>
      </c>
      <c r="AF6" s="15">
        <v>256.3</v>
      </c>
      <c r="AG6" s="15">
        <v>210.4</v>
      </c>
      <c r="AH6" s="335">
        <f t="shared" si="0"/>
        <v>8414.2000000000007</v>
      </c>
      <c r="AI6" s="118">
        <v>67</v>
      </c>
      <c r="AJ6" s="121">
        <f t="shared" si="1"/>
        <v>8.015478164731896E-3</v>
      </c>
      <c r="AK6" s="67">
        <f t="shared" si="2"/>
        <v>0.21722636815920399</v>
      </c>
      <c r="AL6" s="68">
        <f t="shared" si="2"/>
        <v>0.18893034825870647</v>
      </c>
      <c r="AM6" s="68">
        <f t="shared" si="2"/>
        <v>0.14427860696517414</v>
      </c>
      <c r="AN6" s="68">
        <f t="shared" si="2"/>
        <v>0.19390547263681593</v>
      </c>
      <c r="AO6" s="68">
        <f t="shared" si="2"/>
        <v>0.18383084577114428</v>
      </c>
      <c r="AP6" s="68">
        <f t="shared" si="2"/>
        <v>8.7064676616915429E-2</v>
      </c>
      <c r="AQ6" s="68">
        <f t="shared" si="2"/>
        <v>0.16946517412935325</v>
      </c>
      <c r="AR6" s="68">
        <f t="shared" si="2"/>
        <v>0.18277363184079601</v>
      </c>
      <c r="AS6" s="68">
        <f t="shared" si="2"/>
        <v>0.20248756218905475</v>
      </c>
      <c r="AT6" s="68">
        <f t="shared" si="2"/>
        <v>0.23258706467661691</v>
      </c>
      <c r="AU6" s="68">
        <f t="shared" si="3"/>
        <v>0.22748756218905472</v>
      </c>
      <c r="AV6" s="68">
        <f t="shared" si="3"/>
        <v>0.23227611940298507</v>
      </c>
      <c r="AW6" s="68">
        <f t="shared" si="3"/>
        <v>0.22997512437810946</v>
      </c>
      <c r="AX6" s="68">
        <f t="shared" si="3"/>
        <v>0.21766169154228857</v>
      </c>
      <c r="AY6" s="68">
        <f t="shared" si="3"/>
        <v>0.19595771144278609</v>
      </c>
      <c r="AZ6" s="68">
        <f t="shared" si="3"/>
        <v>0.13544776119402985</v>
      </c>
      <c r="BA6" s="68">
        <f t="shared" si="3"/>
        <v>7.0522388059701499E-2</v>
      </c>
      <c r="BB6" s="68">
        <f t="shared" si="3"/>
        <v>6.7848258706467657E-2</v>
      </c>
      <c r="BC6" s="68">
        <f t="shared" si="3"/>
        <v>0.14378109452736318</v>
      </c>
      <c r="BD6" s="68">
        <f t="shared" si="3"/>
        <v>0.15174129353233831</v>
      </c>
      <c r="BE6" s="68">
        <f t="shared" si="4"/>
        <v>0.19682835820895522</v>
      </c>
      <c r="BF6" s="68">
        <f t="shared" si="4"/>
        <v>0.11492537313432837</v>
      </c>
      <c r="BG6" s="68">
        <f t="shared" si="4"/>
        <v>0.22388059701492538</v>
      </c>
      <c r="BH6" s="68">
        <f t="shared" si="4"/>
        <v>0.15236318407960198</v>
      </c>
      <c r="BI6" s="68">
        <f t="shared" si="4"/>
        <v>0.22667910447761194</v>
      </c>
      <c r="BJ6" s="68">
        <f>IF(OR(AC5="",AC5="Sem monitoramento"),"VAZIO",IFERROR(AC5/($AI6*24),"-"))</f>
        <v>1.4427860696517412E-2</v>
      </c>
      <c r="BK6" s="68">
        <f t="shared" si="5"/>
        <v>0.20491293532338309</v>
      </c>
      <c r="BL6" s="68">
        <f t="shared" si="5"/>
        <v>0.11131840796019901</v>
      </c>
      <c r="BM6" s="68">
        <f t="shared" si="5"/>
        <v>0.1593905472636816</v>
      </c>
      <c r="BN6" s="68">
        <f t="shared" si="5"/>
        <v>0.13084577114427862</v>
      </c>
      <c r="BO6" s="70">
        <f t="shared" si="6"/>
        <v>0.17442371475953566</v>
      </c>
      <c r="BP6" s="180">
        <f>'FCs estimados em PVsyst'!Y4</f>
        <v>0.1868988391376451</v>
      </c>
      <c r="BQ6" s="72">
        <f t="shared" si="7"/>
        <v>12.522222222222222</v>
      </c>
      <c r="BR6" s="73">
        <f t="shared" si="8"/>
        <v>-4.2620232172470962E-2</v>
      </c>
      <c r="BS6" s="74">
        <f t="shared" si="9"/>
        <v>-1.2475124378109437E-2</v>
      </c>
      <c r="BT6" s="15" t="s">
        <v>8</v>
      </c>
      <c r="BU6" s="77" t="s">
        <v>108</v>
      </c>
      <c r="BV6" s="78">
        <f>(COUNTA(BT5:BT29)-BV5-BV7)</f>
        <v>2</v>
      </c>
      <c r="BW6" s="2"/>
    </row>
    <row r="7" spans="2:75" x14ac:dyDescent="0.3">
      <c r="B7" s="771"/>
      <c r="C7" s="326" t="s">
        <v>9</v>
      </c>
      <c r="D7" s="62">
        <v>262.7</v>
      </c>
      <c r="E7" s="63">
        <v>220.2</v>
      </c>
      <c r="F7" s="63">
        <v>183.1</v>
      </c>
      <c r="G7" s="63">
        <v>233.3</v>
      </c>
      <c r="H7" s="63">
        <v>218.7</v>
      </c>
      <c r="I7" s="283">
        <v>116.9</v>
      </c>
      <c r="J7" s="63">
        <v>208.9</v>
      </c>
      <c r="K7" s="63">
        <v>219.5</v>
      </c>
      <c r="L7" s="283">
        <v>250.2</v>
      </c>
      <c r="M7" s="355">
        <v>268.5</v>
      </c>
      <c r="N7" s="283">
        <v>265</v>
      </c>
      <c r="O7" s="557">
        <v>267.10000000000002</v>
      </c>
      <c r="P7" s="355">
        <v>264.8</v>
      </c>
      <c r="Q7" s="283">
        <v>248.9</v>
      </c>
      <c r="R7" s="283">
        <v>229.9</v>
      </c>
      <c r="S7" s="283">
        <v>156.9</v>
      </c>
      <c r="T7" s="283">
        <v>86.8</v>
      </c>
      <c r="U7" s="63">
        <v>76.7</v>
      </c>
      <c r="V7" s="283">
        <v>186.3</v>
      </c>
      <c r="W7" s="283">
        <v>198.8</v>
      </c>
      <c r="X7" s="283">
        <v>217.1</v>
      </c>
      <c r="Y7" s="283">
        <v>159.19999999999999</v>
      </c>
      <c r="Z7" s="15">
        <v>269.60000000000002</v>
      </c>
      <c r="AA7" s="519">
        <v>271.39999999999998</v>
      </c>
      <c r="AB7" s="323">
        <v>272.60000000000002</v>
      </c>
      <c r="AC7" s="388">
        <v>270.8</v>
      </c>
      <c r="AD7" s="221">
        <v>230.8</v>
      </c>
      <c r="AE7" s="221">
        <v>143.9</v>
      </c>
      <c r="AF7" s="221">
        <v>196.2</v>
      </c>
      <c r="AG7" s="15">
        <v>178.3</v>
      </c>
      <c r="AH7" s="335">
        <f t="shared" si="0"/>
        <v>6373.1000000000013</v>
      </c>
      <c r="AI7" s="118">
        <v>49</v>
      </c>
      <c r="AJ7" s="121">
        <f t="shared" si="1"/>
        <v>8.6498488284202559E-3</v>
      </c>
      <c r="AK7" s="67">
        <f t="shared" si="2"/>
        <v>0.22338435374149659</v>
      </c>
      <c r="AL7" s="68">
        <f t="shared" si="2"/>
        <v>0.18724489795918367</v>
      </c>
      <c r="AM7" s="68">
        <f t="shared" si="2"/>
        <v>0.15569727891156462</v>
      </c>
      <c r="AN7" s="68">
        <f t="shared" si="2"/>
        <v>0.1983843537414966</v>
      </c>
      <c r="AO7" s="68">
        <f t="shared" si="2"/>
        <v>0.18596938775510202</v>
      </c>
      <c r="AP7" s="68">
        <f t="shared" si="2"/>
        <v>9.9404761904761912E-2</v>
      </c>
      <c r="AQ7" s="68">
        <f t="shared" si="2"/>
        <v>0.17763605442176872</v>
      </c>
      <c r="AR7" s="68">
        <f t="shared" si="2"/>
        <v>0.18664965986394558</v>
      </c>
      <c r="AS7" s="68">
        <f t="shared" si="2"/>
        <v>0.21275510204081632</v>
      </c>
      <c r="AT7" s="68">
        <f t="shared" si="2"/>
        <v>0.22831632653061223</v>
      </c>
      <c r="AU7" s="68">
        <f t="shared" si="3"/>
        <v>0.22534013605442177</v>
      </c>
      <c r="AV7" s="68">
        <f t="shared" si="3"/>
        <v>0.22712585034013608</v>
      </c>
      <c r="AW7" s="68">
        <f t="shared" si="3"/>
        <v>0.2251700680272109</v>
      </c>
      <c r="AX7" s="68">
        <f t="shared" si="3"/>
        <v>0.21164965986394557</v>
      </c>
      <c r="AY7" s="68">
        <f t="shared" si="3"/>
        <v>0.19549319727891157</v>
      </c>
      <c r="AZ7" s="68">
        <f t="shared" si="3"/>
        <v>0.13341836734693879</v>
      </c>
      <c r="BA7" s="68">
        <f t="shared" si="3"/>
        <v>7.3809523809523811E-2</v>
      </c>
      <c r="BB7" s="68">
        <f t="shared" si="3"/>
        <v>6.522108843537415E-2</v>
      </c>
      <c r="BC7" s="68">
        <f t="shared" si="3"/>
        <v>0.15841836734693879</v>
      </c>
      <c r="BD7" s="68">
        <f t="shared" si="3"/>
        <v>0.16904761904761906</v>
      </c>
      <c r="BE7" s="68">
        <f t="shared" si="4"/>
        <v>0.18460884353741497</v>
      </c>
      <c r="BF7" s="68">
        <f t="shared" si="4"/>
        <v>0.13537414965986394</v>
      </c>
      <c r="BG7" s="68">
        <f t="shared" si="4"/>
        <v>0.22925170068027212</v>
      </c>
      <c r="BH7" s="68">
        <f>IF(OR(AA11="",AA11="Sem monitoramento"),"VAZIO",IFERROR(AA11/($AI7*24),"-"))</f>
        <v>0.36709183673469387</v>
      </c>
      <c r="BI7" s="68">
        <f t="shared" si="4"/>
        <v>0.23180272108843539</v>
      </c>
      <c r="BJ7" s="68" t="e">
        <f>IF(OR(#REF!="",#REF!="Sem monitoramento"),"VAZIO",IFERROR(#REF!/($AI7*24),"-"))</f>
        <v>#REF!</v>
      </c>
      <c r="BK7" s="68">
        <f t="shared" ref="BK7:BK19" si="10">IF(OR(AD7="",AD7="Sem monitoramento"),"VAZIO",IFERROR(AD7/($AI7*24),"-"))</f>
        <v>0.19625850340136056</v>
      </c>
      <c r="BL7" s="68">
        <f t="shared" ref="BL7:BL19" si="11">IF(OR(AE7="",AE7="Sem monitoramento"),"VAZIO",IFERROR(AE7/($AI7*24),"-"))</f>
        <v>0.1223639455782313</v>
      </c>
      <c r="BM7" s="68">
        <f t="shared" ref="BM7:BM19" si="12">IF(OR(AF7="",AF7="Sem monitoramento"),"VAZIO",IFERROR(AF7/($AI7*24),"-"))</f>
        <v>0.16683673469387755</v>
      </c>
      <c r="BN7" s="68" t="e">
        <f>IF(OR(#REF!="",#REF!="Sem monitoramento"),"VAZIO",IFERROR(#REF!/($AI7*24),"-"))</f>
        <v>#REF!</v>
      </c>
      <c r="BO7" s="70">
        <f t="shared" si="6"/>
        <v>0.18064342403628122</v>
      </c>
      <c r="BP7" s="180">
        <f>'FCs estimados em PVsyst'!Y5</f>
        <v>0.17987528344671203</v>
      </c>
      <c r="BQ7" s="72">
        <f t="shared" si="7"/>
        <v>8.81388888888889</v>
      </c>
      <c r="BR7" s="73">
        <f t="shared" si="8"/>
        <v>-2.4178004535147402E-2</v>
      </c>
      <c r="BS7" s="74">
        <f t="shared" si="9"/>
        <v>7.6814058956919951E-4</v>
      </c>
      <c r="BT7" s="15" t="s">
        <v>9</v>
      </c>
      <c r="BU7" s="79" t="s">
        <v>109</v>
      </c>
      <c r="BV7" s="80">
        <f>COUNTIF(BS5:BS29,"&lt;-0,01")</f>
        <v>7</v>
      </c>
      <c r="BW7" s="2"/>
    </row>
    <row r="8" spans="2:75" x14ac:dyDescent="0.3">
      <c r="B8" s="771"/>
      <c r="C8" s="326" t="s">
        <v>10</v>
      </c>
      <c r="D8" s="62">
        <v>150.6</v>
      </c>
      <c r="E8" s="63">
        <v>124.7</v>
      </c>
      <c r="F8" s="63">
        <v>103.9</v>
      </c>
      <c r="G8" s="63">
        <v>132.4</v>
      </c>
      <c r="H8" s="63">
        <v>124.3</v>
      </c>
      <c r="I8" s="63">
        <v>66.3</v>
      </c>
      <c r="J8" s="63">
        <v>118.9</v>
      </c>
      <c r="K8" s="63">
        <v>124.6</v>
      </c>
      <c r="L8" s="283">
        <v>143.80000000000001</v>
      </c>
      <c r="M8" s="355">
        <v>154.30000000000001</v>
      </c>
      <c r="N8" s="283">
        <v>151.9</v>
      </c>
      <c r="O8" s="319">
        <v>153.4</v>
      </c>
      <c r="P8" s="319">
        <v>151.9</v>
      </c>
      <c r="Q8" s="283">
        <v>142.5</v>
      </c>
      <c r="R8" s="63">
        <v>129.80000000000001</v>
      </c>
      <c r="S8" s="63">
        <v>87.9</v>
      </c>
      <c r="T8" s="63">
        <v>49.5</v>
      </c>
      <c r="U8" s="63">
        <v>43.7</v>
      </c>
      <c r="V8" s="63">
        <v>106.2</v>
      </c>
      <c r="W8" s="283">
        <v>113.3</v>
      </c>
      <c r="X8" s="283">
        <v>124.3</v>
      </c>
      <c r="Y8" s="283">
        <v>91</v>
      </c>
      <c r="Z8" s="15">
        <v>154.30000000000001</v>
      </c>
      <c r="AA8" s="18">
        <v>155.5</v>
      </c>
      <c r="AB8" s="323">
        <v>156</v>
      </c>
      <c r="AC8" s="388">
        <v>155.19999999999999</v>
      </c>
      <c r="AD8" s="221">
        <v>131.69999999999999</v>
      </c>
      <c r="AE8" s="221">
        <v>80.400000000000006</v>
      </c>
      <c r="AF8" s="221">
        <v>111.1</v>
      </c>
      <c r="AG8" s="15">
        <v>100.1</v>
      </c>
      <c r="AH8" s="335">
        <f t="shared" si="0"/>
        <v>3633.5</v>
      </c>
      <c r="AI8" s="118">
        <v>33</v>
      </c>
      <c r="AJ8" s="121">
        <f t="shared" si="1"/>
        <v>7.2881593714927053E-3</v>
      </c>
      <c r="AK8" s="67">
        <f t="shared" si="2"/>
        <v>0.19015151515151515</v>
      </c>
      <c r="AL8" s="68">
        <f t="shared" si="2"/>
        <v>0.15744949494949495</v>
      </c>
      <c r="AM8" s="68">
        <f t="shared" si="2"/>
        <v>0.13118686868686869</v>
      </c>
      <c r="AN8" s="68">
        <f t="shared" si="2"/>
        <v>0.16717171717171717</v>
      </c>
      <c r="AO8" s="68">
        <f t="shared" si="2"/>
        <v>0.15694444444444444</v>
      </c>
      <c r="AP8" s="68" t="e">
        <f>IF(OR(#REF!="",#REF!="Sem monitoramento"),"VAZIO",IFERROR(#REF!/($AI8*24),"-"))</f>
        <v>#REF!</v>
      </c>
      <c r="AQ8" s="68">
        <f t="shared" si="2"/>
        <v>0.15012626262626264</v>
      </c>
      <c r="AR8" s="68">
        <f t="shared" si="2"/>
        <v>0.15732323232323231</v>
      </c>
      <c r="AS8" s="68">
        <f t="shared" si="2"/>
        <v>0.18156565656565657</v>
      </c>
      <c r="AT8" s="68">
        <f t="shared" si="2"/>
        <v>0.19482323232323234</v>
      </c>
      <c r="AU8" s="68">
        <f t="shared" si="3"/>
        <v>0.19179292929292929</v>
      </c>
      <c r="AV8" s="68">
        <f t="shared" si="3"/>
        <v>0.19368686868686869</v>
      </c>
      <c r="AW8" s="68">
        <f t="shared" si="3"/>
        <v>0.19179292929292929</v>
      </c>
      <c r="AX8" s="68">
        <f t="shared" si="3"/>
        <v>0.17992424242424243</v>
      </c>
      <c r="AY8" s="68">
        <f t="shared" si="3"/>
        <v>0.16388888888888889</v>
      </c>
      <c r="AZ8" s="68">
        <f t="shared" si="3"/>
        <v>0.11098484848484849</v>
      </c>
      <c r="BA8" s="68">
        <f t="shared" si="3"/>
        <v>6.25E-2</v>
      </c>
      <c r="BB8" s="68">
        <f t="shared" si="3"/>
        <v>5.5176767676767678E-2</v>
      </c>
      <c r="BC8" s="68">
        <f t="shared" si="3"/>
        <v>0.13409090909090909</v>
      </c>
      <c r="BD8" s="68">
        <f t="shared" si="3"/>
        <v>0.14305555555555555</v>
      </c>
      <c r="BE8" s="68">
        <f t="shared" si="4"/>
        <v>0.15694444444444444</v>
      </c>
      <c r="BF8" s="68">
        <f t="shared" si="4"/>
        <v>0.1148989898989899</v>
      </c>
      <c r="BG8" s="68">
        <f t="shared" si="4"/>
        <v>0.19482323232323234</v>
      </c>
      <c r="BH8" s="68">
        <f t="shared" si="4"/>
        <v>0.19633838383838384</v>
      </c>
      <c r="BI8" s="68">
        <f t="shared" si="4"/>
        <v>0.19696969696969696</v>
      </c>
      <c r="BJ8" s="68" t="e">
        <f>IF(OR(#REF!="",#REF!="Sem monitoramento"),"VAZIO",IFERROR(#REF!/($AI8*24),"-"))</f>
        <v>#REF!</v>
      </c>
      <c r="BK8" s="68">
        <f t="shared" si="10"/>
        <v>0.16628787878787876</v>
      </c>
      <c r="BL8" s="68">
        <f t="shared" si="11"/>
        <v>0.10151515151515152</v>
      </c>
      <c r="BM8" s="68">
        <f t="shared" si="12"/>
        <v>0.14027777777777778</v>
      </c>
      <c r="BN8" s="68" t="e">
        <f>IF(OR(#REF!="",#REF!="Sem monitoramento"),"VAZIO",IFERROR(#REF!/($AI8*24),"-"))</f>
        <v>#REF!</v>
      </c>
      <c r="BO8" s="70">
        <f t="shared" si="6"/>
        <v>0.15292508417508419</v>
      </c>
      <c r="BP8" s="180">
        <f>'FCs estimados em PVsyst'!Y6</f>
        <v>0.18501683501683502</v>
      </c>
      <c r="BQ8" s="72">
        <f t="shared" si="7"/>
        <v>6.1055555555555561</v>
      </c>
      <c r="BR8" s="73">
        <f t="shared" si="8"/>
        <v>-5.3829966329966339E-2</v>
      </c>
      <c r="BS8" s="74">
        <f t="shared" si="9"/>
        <v>-3.2091750841750838E-2</v>
      </c>
      <c r="BT8" s="15" t="s">
        <v>10</v>
      </c>
      <c r="BU8" s="3"/>
      <c r="BV8" s="2"/>
      <c r="BW8" s="2"/>
    </row>
    <row r="9" spans="2:75" x14ac:dyDescent="0.3">
      <c r="B9" s="771"/>
      <c r="C9" s="326" t="s">
        <v>11</v>
      </c>
      <c r="D9" s="572">
        <v>64.099999999999994</v>
      </c>
      <c r="E9" s="63">
        <v>53.4</v>
      </c>
      <c r="F9" s="63">
        <v>43</v>
      </c>
      <c r="G9" s="82">
        <v>52.6</v>
      </c>
      <c r="H9" s="82">
        <v>52.2</v>
      </c>
      <c r="I9" s="308">
        <v>26</v>
      </c>
      <c r="J9" s="316">
        <v>48</v>
      </c>
      <c r="K9" s="283">
        <v>52.2</v>
      </c>
      <c r="L9" s="63">
        <v>60.4</v>
      </c>
      <c r="M9" s="319">
        <v>66.599999999999994</v>
      </c>
      <c r="N9" s="63">
        <v>64.599999999999994</v>
      </c>
      <c r="O9" s="319">
        <v>65.7</v>
      </c>
      <c r="P9" s="511">
        <v>64.8</v>
      </c>
      <c r="Q9" s="283">
        <v>60.8</v>
      </c>
      <c r="R9" s="308">
        <v>54.2</v>
      </c>
      <c r="S9" s="63">
        <v>38.799999999999997</v>
      </c>
      <c r="T9" s="63">
        <v>19.2</v>
      </c>
      <c r="U9" s="316">
        <v>17.3</v>
      </c>
      <c r="V9" s="63">
        <v>41.3</v>
      </c>
      <c r="W9" s="283">
        <v>42.2</v>
      </c>
      <c r="X9" s="63">
        <v>54.8</v>
      </c>
      <c r="Y9" s="63">
        <v>33.200000000000003</v>
      </c>
      <c r="Z9" s="148">
        <v>62.3</v>
      </c>
      <c r="AA9" s="18">
        <v>63.4</v>
      </c>
      <c r="AB9" s="323">
        <v>63.1</v>
      </c>
      <c r="AC9" s="617">
        <v>63.8</v>
      </c>
      <c r="AD9" s="15">
        <v>55.4</v>
      </c>
      <c r="AE9" s="15">
        <v>32.799999999999997</v>
      </c>
      <c r="AF9" s="15">
        <v>41.7</v>
      </c>
      <c r="AG9" s="15">
        <v>34</v>
      </c>
      <c r="AH9" s="335">
        <f t="shared" si="0"/>
        <v>1491.9</v>
      </c>
      <c r="AI9" s="118">
        <v>12</v>
      </c>
      <c r="AJ9" s="121">
        <f t="shared" si="1"/>
        <v>8.2947530864197535E-3</v>
      </c>
      <c r="AK9" s="67">
        <f>IF(OR(D10="",D10="Sem monitoramento"),"VAZIO",IFERROR(D10/($AI9*24),"-"))</f>
        <v>0.38749999999999996</v>
      </c>
      <c r="AL9" s="68">
        <f t="shared" ref="AL9:AV16" si="13">IF(OR(E9="",E9="Sem monitoramento"),"VAZIO",IFERROR(E9/($AI9*24),"-"))</f>
        <v>0.18541666666666667</v>
      </c>
      <c r="AM9" s="68">
        <f t="shared" si="13"/>
        <v>0.14930555555555555</v>
      </c>
      <c r="AN9" s="68">
        <f t="shared" si="13"/>
        <v>0.18263888888888891</v>
      </c>
      <c r="AO9" s="68">
        <f t="shared" si="13"/>
        <v>0.18125000000000002</v>
      </c>
      <c r="AP9" s="68">
        <f t="shared" si="13"/>
        <v>9.0277777777777776E-2</v>
      </c>
      <c r="AQ9" s="68">
        <f>IF(OR(J10="",J10="Sem monitoramento"),"VAZIO",IFERROR(J10/($AI9*24),"-"))</f>
        <v>0.32569444444444445</v>
      </c>
      <c r="AR9" s="68">
        <f t="shared" si="13"/>
        <v>0.18125000000000002</v>
      </c>
      <c r="AS9" s="68">
        <f t="shared" si="13"/>
        <v>0.20972222222222223</v>
      </c>
      <c r="AT9" s="68">
        <f t="shared" si="13"/>
        <v>0.23124999999999998</v>
      </c>
      <c r="AU9" s="68">
        <f t="shared" si="13"/>
        <v>0.22430555555555554</v>
      </c>
      <c r="AV9" s="68">
        <f t="shared" si="13"/>
        <v>0.22812500000000002</v>
      </c>
      <c r="AW9" s="68">
        <f>IF(OR(P10="",P10="Sem monitoramento"),"VAZIO",IFERROR(P10/($AI9*24),"-"))</f>
        <v>0.44583333333333336</v>
      </c>
      <c r="AX9" s="68">
        <f t="shared" ref="AX9:BA15" si="14">IF(OR(Q9="",Q9="Sem monitoramento"),"VAZIO",IFERROR(Q9/($AI9*24),"-"))</f>
        <v>0.21111111111111111</v>
      </c>
      <c r="AY9" s="68">
        <f t="shared" si="14"/>
        <v>0.18819444444444444</v>
      </c>
      <c r="AZ9" s="68">
        <f t="shared" si="14"/>
        <v>0.13472222222222222</v>
      </c>
      <c r="BA9" s="68">
        <f t="shared" si="14"/>
        <v>6.6666666666666666E-2</v>
      </c>
      <c r="BB9" s="68">
        <f>IF(OR(U7="",U7="Sem monitoramento"),"VAZIO",IFERROR(U7/($AI9*24),"-"))</f>
        <v>0.26631944444444444</v>
      </c>
      <c r="BC9" s="68">
        <f t="shared" ref="BC9:BF10" si="15">IF(OR(V9="",V9="Sem monitoramento"),"VAZIO",IFERROR(V9/($AI9*24),"-"))</f>
        <v>0.14340277777777777</v>
      </c>
      <c r="BD9" s="68">
        <f t="shared" si="15"/>
        <v>0.14652777777777778</v>
      </c>
      <c r="BE9" s="68">
        <f t="shared" si="15"/>
        <v>0.19027777777777777</v>
      </c>
      <c r="BF9" s="68">
        <f t="shared" si="15"/>
        <v>0.11527777777777778</v>
      </c>
      <c r="BG9" s="68">
        <f>IF(OR(Z10="",Z10="Sem monitoramento"),"VAZIO",IFERROR(Z10/($AI9*24),"-"))</f>
        <v>0.44027777777777777</v>
      </c>
      <c r="BH9" s="68">
        <f>IF(OR(AA9="",AA9="Sem monitoramento"),"VAZIO",IFERROR(AA9/($AI9*24),"-"))</f>
        <v>0.22013888888888888</v>
      </c>
      <c r="BI9" s="68">
        <f>IF(OR(AB9="",AB9="Sem monitoramento"),"VAZIO",IFERROR(AB9/($AI9*24),"-"))</f>
        <v>0.21909722222222222</v>
      </c>
      <c r="BJ9" s="68">
        <f>IF(OR(AC7="",AC7="Sem monitoramento"),"VAZIO",IFERROR(AC7/($AI9*24),"-"))</f>
        <v>0.94027777777777777</v>
      </c>
      <c r="BK9" s="68">
        <f t="shared" si="10"/>
        <v>0.19236111111111109</v>
      </c>
      <c r="BL9" s="68">
        <f t="shared" si="11"/>
        <v>0.11388888888888887</v>
      </c>
      <c r="BM9" s="68">
        <f t="shared" si="12"/>
        <v>0.14479166666666668</v>
      </c>
      <c r="BN9" s="68">
        <f>IF(OR(AG7="",AG7="Sem monitoramento"),"VAZIO",IFERROR(AG7/($AI9*24),"-"))</f>
        <v>0.6190972222222223</v>
      </c>
      <c r="BO9" s="70">
        <f t="shared" si="6"/>
        <v>0.17267361111111112</v>
      </c>
      <c r="BP9" s="180">
        <f>'FCs estimados em PVsyst'!Y7</f>
        <v>0.18333333333333332</v>
      </c>
      <c r="BQ9" s="72">
        <f t="shared" si="7"/>
        <v>2.1999999999999997</v>
      </c>
      <c r="BR9" s="73">
        <f t="shared" si="8"/>
        <v>-3.4027777777777768E-2</v>
      </c>
      <c r="BS9" s="74">
        <f t="shared" si="9"/>
        <v>-1.0659722222222195E-2</v>
      </c>
      <c r="BT9" s="15" t="s">
        <v>11</v>
      </c>
      <c r="BU9" s="3"/>
      <c r="BV9" s="2"/>
      <c r="BW9" s="2"/>
    </row>
    <row r="10" spans="2:75" x14ac:dyDescent="0.3">
      <c r="B10" s="771"/>
      <c r="C10" s="326" t="s">
        <v>12</v>
      </c>
      <c r="D10" s="223">
        <v>111.6</v>
      </c>
      <c r="E10" s="63">
        <v>96</v>
      </c>
      <c r="F10" s="63">
        <v>77.900000000000006</v>
      </c>
      <c r="G10" s="82">
        <v>100</v>
      </c>
      <c r="H10" s="82">
        <v>101.4</v>
      </c>
      <c r="I10" s="519">
        <v>52.1</v>
      </c>
      <c r="J10" s="63">
        <v>93.8</v>
      </c>
      <c r="K10" s="283">
        <v>101.3</v>
      </c>
      <c r="L10" s="63">
        <v>117.8</v>
      </c>
      <c r="M10" s="319">
        <v>131.19999999999999</v>
      </c>
      <c r="N10" s="63">
        <v>127.1</v>
      </c>
      <c r="O10" s="319">
        <v>130</v>
      </c>
      <c r="P10" s="319">
        <v>128.4</v>
      </c>
      <c r="Q10" s="283">
        <v>122.2</v>
      </c>
      <c r="R10" s="308">
        <v>109.9</v>
      </c>
      <c r="S10" s="63">
        <v>78.2</v>
      </c>
      <c r="T10" s="63">
        <v>39.700000000000003</v>
      </c>
      <c r="U10" s="63">
        <v>35.700000000000003</v>
      </c>
      <c r="V10" s="63">
        <v>82.3</v>
      </c>
      <c r="W10" s="283">
        <v>83.1</v>
      </c>
      <c r="X10" s="63">
        <v>111.9</v>
      </c>
      <c r="Y10" s="63">
        <v>67.2</v>
      </c>
      <c r="Z10" s="15">
        <v>126.8</v>
      </c>
      <c r="AA10" s="18">
        <v>130.19999999999999</v>
      </c>
      <c r="AB10" s="323">
        <v>129.9</v>
      </c>
      <c r="AC10" s="617">
        <v>131.4</v>
      </c>
      <c r="AD10" s="15">
        <v>105.8</v>
      </c>
      <c r="AE10" s="15">
        <v>74.599999999999994</v>
      </c>
      <c r="AF10" s="15">
        <v>86</v>
      </c>
      <c r="AG10" s="15">
        <v>69.2</v>
      </c>
      <c r="AH10" s="335">
        <f t="shared" si="0"/>
        <v>2952.7000000000003</v>
      </c>
      <c r="AI10" s="118">
        <v>25</v>
      </c>
      <c r="AJ10" s="121">
        <f t="shared" si="1"/>
        <v>7.2129629629629636E-3</v>
      </c>
      <c r="AK10" s="67" t="e">
        <f>IF(OR(#REF!="",#REF!="Sem monitoramento"),"VAZIO",IFERROR(#REF!/($AI10*24),"-"))</f>
        <v>#REF!</v>
      </c>
      <c r="AL10" s="68">
        <f t="shared" si="13"/>
        <v>0.16</v>
      </c>
      <c r="AM10" s="68">
        <f t="shared" si="13"/>
        <v>0.12983333333333336</v>
      </c>
      <c r="AN10" s="68">
        <f t="shared" si="13"/>
        <v>0.16666666666666666</v>
      </c>
      <c r="AO10" s="68">
        <f t="shared" si="13"/>
        <v>0.16900000000000001</v>
      </c>
      <c r="AP10" s="68">
        <f>IF(OR(I8="",I8="Sem monitoramento"),"VAZIO",IFERROR(I8/($AI10*24),"-"))</f>
        <v>0.1105</v>
      </c>
      <c r="AQ10" s="68" t="e">
        <f>IF(OR(#REF!="",#REF!="Sem monitoramento"),"VAZIO",IFERROR(#REF!/($AI10*24),"-"))</f>
        <v>#REF!</v>
      </c>
      <c r="AR10" s="68">
        <f t="shared" si="13"/>
        <v>0.16883333333333334</v>
      </c>
      <c r="AS10" s="68">
        <f t="shared" si="13"/>
        <v>0.19633333333333333</v>
      </c>
      <c r="AT10" s="68">
        <f t="shared" si="13"/>
        <v>0.21866666666666665</v>
      </c>
      <c r="AU10" s="68">
        <f t="shared" si="13"/>
        <v>0.21183333333333332</v>
      </c>
      <c r="AV10" s="68">
        <f t="shared" si="13"/>
        <v>0.21666666666666667</v>
      </c>
      <c r="AW10" s="68" t="e">
        <f>IF(OR(#REF!="",#REF!="Sem monitoramento"),"VAZIO",IFERROR(#REF!/($AI10*24),"-"))</f>
        <v>#REF!</v>
      </c>
      <c r="AX10" s="68">
        <f t="shared" si="14"/>
        <v>0.20366666666666666</v>
      </c>
      <c r="AY10" s="68">
        <f t="shared" si="14"/>
        <v>0.18316666666666667</v>
      </c>
      <c r="AZ10" s="68">
        <f t="shared" si="14"/>
        <v>0.13033333333333333</v>
      </c>
      <c r="BA10" s="68">
        <f t="shared" si="14"/>
        <v>6.6166666666666665E-2</v>
      </c>
      <c r="BB10" s="68">
        <f>IF(OR(U8="",U8="Sem monitoramento"),"VAZIO",IFERROR(U8/($AI10*24),"-"))</f>
        <v>7.2833333333333333E-2</v>
      </c>
      <c r="BC10" s="68">
        <f t="shared" si="15"/>
        <v>0.13716666666666666</v>
      </c>
      <c r="BD10" s="68">
        <f t="shared" si="15"/>
        <v>0.13849999999999998</v>
      </c>
      <c r="BE10" s="68">
        <f t="shared" si="15"/>
        <v>0.1865</v>
      </c>
      <c r="BF10" s="68">
        <f t="shared" si="15"/>
        <v>0.112</v>
      </c>
      <c r="BG10" s="68" t="e">
        <f>IF(OR(#REF!="",#REF!="Sem monitoramento"),"VAZIO",IFERROR(#REF!/($AI10*24),"-"))</f>
        <v>#REF!</v>
      </c>
      <c r="BH10" s="68">
        <f>IF(OR(AA10="",AA10="Sem monitoramento"),"VAZIO",IFERROR(AA10/($AI10*24),"-"))</f>
        <v>0.21699999999999997</v>
      </c>
      <c r="BI10" s="68">
        <f>IF(OR(AB10="",AB10="Sem monitoramento"),"VAZIO",IFERROR(AB10/($AI10*24),"-"))</f>
        <v>0.2165</v>
      </c>
      <c r="BJ10" s="68">
        <f>IF(OR(AC8="",AC8="Sem monitoramento"),"VAZIO",IFERROR(AC8/($AI10*24),"-"))</f>
        <v>0.25866666666666666</v>
      </c>
      <c r="BK10" s="68">
        <f t="shared" si="10"/>
        <v>0.17633333333333334</v>
      </c>
      <c r="BL10" s="68">
        <f t="shared" si="11"/>
        <v>0.12433333333333332</v>
      </c>
      <c r="BM10" s="68">
        <f t="shared" si="12"/>
        <v>0.14333333333333334</v>
      </c>
      <c r="BN10" s="68">
        <f>IF(OR(AG8="",AG8="Sem monitoramento"),"VAZIO",IFERROR(AG8/($AI10*24),"-"))</f>
        <v>0.16683333333333333</v>
      </c>
      <c r="BO10" s="70">
        <f t="shared" si="6"/>
        <v>0.1640388888888889</v>
      </c>
      <c r="BP10" s="180">
        <f>'FCs estimados em PVsyst'!Y8</f>
        <v>0.185</v>
      </c>
      <c r="BQ10" s="72">
        <f t="shared" si="7"/>
        <v>4.625</v>
      </c>
      <c r="BR10" s="73">
        <f t="shared" si="8"/>
        <v>-5.5166666666666642E-2</v>
      </c>
      <c r="BS10" s="74">
        <f t="shared" si="9"/>
        <v>-2.0961111111111097E-2</v>
      </c>
      <c r="BT10" s="15" t="s">
        <v>12</v>
      </c>
      <c r="BU10" s="3"/>
      <c r="BV10" s="2"/>
      <c r="BW10" s="2"/>
    </row>
    <row r="11" spans="2:75" x14ac:dyDescent="0.3">
      <c r="B11" s="771"/>
      <c r="C11" s="327" t="s">
        <v>13</v>
      </c>
      <c r="D11" s="62">
        <v>389.8</v>
      </c>
      <c r="E11" s="63">
        <v>337.4</v>
      </c>
      <c r="F11" s="63">
        <v>268.7</v>
      </c>
      <c r="G11" s="63">
        <v>352.2</v>
      </c>
      <c r="H11" s="63">
        <v>331.4</v>
      </c>
      <c r="I11" s="283">
        <v>190.6</v>
      </c>
      <c r="J11" s="283">
        <v>289.60000000000002</v>
      </c>
      <c r="K11" s="283">
        <v>326.60000000000002</v>
      </c>
      <c r="L11" s="63">
        <v>385.3</v>
      </c>
      <c r="M11" s="355">
        <v>415.8</v>
      </c>
      <c r="N11" s="63">
        <v>408.7</v>
      </c>
      <c r="O11" s="319">
        <v>415.2</v>
      </c>
      <c r="P11" s="319">
        <v>410.5</v>
      </c>
      <c r="Q11" s="283">
        <v>394.4</v>
      </c>
      <c r="R11" s="63">
        <v>358.5</v>
      </c>
      <c r="S11" s="63">
        <v>260.39999999999998</v>
      </c>
      <c r="T11" s="63">
        <v>136.30000000000001</v>
      </c>
      <c r="U11" s="63">
        <v>134.9</v>
      </c>
      <c r="V11" s="283">
        <v>266.89999999999998</v>
      </c>
      <c r="W11" s="519">
        <v>279</v>
      </c>
      <c r="X11" s="63">
        <v>340</v>
      </c>
      <c r="Y11" s="63">
        <v>234.9</v>
      </c>
      <c r="Z11" s="15">
        <v>420.8</v>
      </c>
      <c r="AA11" s="18">
        <v>431.7</v>
      </c>
      <c r="AB11" s="323">
        <v>403.5</v>
      </c>
      <c r="AC11" s="388">
        <v>424.3</v>
      </c>
      <c r="AD11" s="15">
        <v>363.6</v>
      </c>
      <c r="AE11" s="15">
        <v>238.8</v>
      </c>
      <c r="AF11" s="15">
        <v>320.7</v>
      </c>
      <c r="AG11" s="15">
        <v>264.39999999999998</v>
      </c>
      <c r="AH11" s="335">
        <f t="shared" si="0"/>
        <v>9794.8999999999978</v>
      </c>
      <c r="AI11" s="118">
        <v>78</v>
      </c>
      <c r="AJ11" s="121">
        <f t="shared" si="1"/>
        <v>7.9742402659069324E-3</v>
      </c>
      <c r="AK11" s="67">
        <f t="shared" ref="AK11:AK31" si="16">IF(OR(D11="",D11="Sem monitoramento"),"VAZIO",IFERROR(D11/($AI11*24),"-"))</f>
        <v>0.20822649572649574</v>
      </c>
      <c r="AL11" s="68">
        <f t="shared" si="13"/>
        <v>0.18023504273504273</v>
      </c>
      <c r="AM11" s="68">
        <f t="shared" si="13"/>
        <v>0.14353632478632478</v>
      </c>
      <c r="AN11" s="68">
        <f t="shared" si="13"/>
        <v>0.18814102564102564</v>
      </c>
      <c r="AO11" s="68">
        <f t="shared" si="13"/>
        <v>0.17702991452991451</v>
      </c>
      <c r="AP11" s="68">
        <f t="shared" si="13"/>
        <v>0.10181623931623932</v>
      </c>
      <c r="AQ11" s="68">
        <f t="shared" si="13"/>
        <v>0.15470085470085471</v>
      </c>
      <c r="AR11" s="68">
        <f t="shared" si="13"/>
        <v>0.17446581196581198</v>
      </c>
      <c r="AS11" s="68">
        <f t="shared" si="13"/>
        <v>0.20582264957264959</v>
      </c>
      <c r="AT11" s="68">
        <f t="shared" si="13"/>
        <v>0.22211538461538463</v>
      </c>
      <c r="AU11" s="68">
        <f t="shared" si="13"/>
        <v>0.21832264957264957</v>
      </c>
      <c r="AV11" s="68">
        <f t="shared" si="13"/>
        <v>0.22179487179487178</v>
      </c>
      <c r="AW11" s="68">
        <f t="shared" ref="AW11:AW31" si="17">IF(OR(P11="",P11="Sem monitoramento"),"VAZIO",IFERROR(P11/($AI11*24),"-"))</f>
        <v>0.21928418803418803</v>
      </c>
      <c r="AX11" s="68">
        <f t="shared" si="14"/>
        <v>0.21068376068376068</v>
      </c>
      <c r="AY11" s="68">
        <f t="shared" si="14"/>
        <v>0.19150641025641027</v>
      </c>
      <c r="AZ11" s="68">
        <f t="shared" si="14"/>
        <v>0.13910256410256408</v>
      </c>
      <c r="BA11" s="68">
        <f t="shared" si="14"/>
        <v>7.2809829059829065E-2</v>
      </c>
      <c r="BB11" s="68">
        <f t="shared" ref="BB11:BC18" si="18">IF(OR(U11="",U11="Sem monitoramento"),"VAZIO",IFERROR(U11/($AI11*24),"-"))</f>
        <v>7.206196581196582E-2</v>
      </c>
      <c r="BC11" s="68">
        <f t="shared" si="18"/>
        <v>0.14257478632478632</v>
      </c>
      <c r="BD11" s="68">
        <f>IF(OR(W12="",W12="Sem monitoramento"),"VAZIO",IFERROR(W12/($AI11*24),"-"))</f>
        <v>0.12820512820512819</v>
      </c>
      <c r="BE11" s="68">
        <f t="shared" ref="BE11:BH14" si="19">IF(OR(X11="",X11="Sem monitoramento"),"VAZIO",IFERROR(X11/($AI11*24),"-"))</f>
        <v>0.18162393162393162</v>
      </c>
      <c r="BF11" s="68">
        <f t="shared" si="19"/>
        <v>0.12548076923076923</v>
      </c>
      <c r="BG11" s="68">
        <f t="shared" si="19"/>
        <v>0.22478632478632479</v>
      </c>
      <c r="BH11" s="68" t="e">
        <f>IF(OR(#REF!="",#REF!="Sem monitoramento"),"VAZIO",IFERROR(#REF!/($AI11*24),"-"))</f>
        <v>#REF!</v>
      </c>
      <c r="BI11" s="68">
        <f>IF(OR(AB9="",AB9="Sem monitoramento"),"VAZIO",IFERROR(AB9/($AI11*24),"-"))</f>
        <v>3.3707264957264955E-2</v>
      </c>
      <c r="BJ11" s="68">
        <f t="shared" ref="BJ11:BJ31" si="20">IF(OR(AC11="",AC11="Sem monitoramento"),"VAZIO",IFERROR(AC11/($AI11*24),"-"))</f>
        <v>0.22665598290598291</v>
      </c>
      <c r="BK11" s="68">
        <f t="shared" si="10"/>
        <v>0.19423076923076923</v>
      </c>
      <c r="BL11" s="68">
        <f t="shared" si="11"/>
        <v>0.12756410256410258</v>
      </c>
      <c r="BM11" s="68">
        <f t="shared" si="12"/>
        <v>0.17131410256410257</v>
      </c>
      <c r="BN11" s="68">
        <f t="shared" ref="BN11:BN21" si="21">IF(OR(AG11="",AG11="Sem monitoramento"),"VAZIO",IFERROR(AG11/($AI11*24),"-"))</f>
        <v>0.14123931623931624</v>
      </c>
      <c r="BO11" s="70">
        <f t="shared" si="6"/>
        <v>0.17441061253561249</v>
      </c>
      <c r="BP11" s="198">
        <f>BP19</f>
        <v>0.168125</v>
      </c>
      <c r="BQ11" s="72">
        <f t="shared" si="7"/>
        <v>13.11375</v>
      </c>
      <c r="BR11" s="73">
        <f t="shared" si="8"/>
        <v>-2.4588675213675221E-2</v>
      </c>
      <c r="BS11" s="74">
        <f t="shared" si="9"/>
        <v>6.2856125356124948E-3</v>
      </c>
      <c r="BT11" s="15" t="s">
        <v>13</v>
      </c>
      <c r="BU11" s="3"/>
      <c r="BV11" s="2"/>
      <c r="BW11" s="2"/>
    </row>
    <row r="12" spans="2:75" x14ac:dyDescent="0.3">
      <c r="B12" s="772"/>
      <c r="C12" s="326" t="s">
        <v>14</v>
      </c>
      <c r="D12" s="493">
        <v>350</v>
      </c>
      <c r="E12" s="308">
        <v>310</v>
      </c>
      <c r="F12" s="82">
        <v>250</v>
      </c>
      <c r="G12" s="82">
        <v>300</v>
      </c>
      <c r="H12" s="82">
        <v>305</v>
      </c>
      <c r="I12" s="308">
        <v>150</v>
      </c>
      <c r="J12" s="82">
        <v>270</v>
      </c>
      <c r="K12" s="308">
        <v>300</v>
      </c>
      <c r="L12" s="82">
        <v>320</v>
      </c>
      <c r="M12" s="356">
        <v>380</v>
      </c>
      <c r="N12" s="82">
        <v>370</v>
      </c>
      <c r="O12" s="356">
        <v>380</v>
      </c>
      <c r="P12" s="356">
        <v>375</v>
      </c>
      <c r="Q12" s="308">
        <v>370</v>
      </c>
      <c r="R12" s="308">
        <v>320</v>
      </c>
      <c r="S12" s="82">
        <v>250</v>
      </c>
      <c r="T12" s="82">
        <v>100</v>
      </c>
      <c r="U12" s="82">
        <v>95</v>
      </c>
      <c r="V12" s="82">
        <v>245</v>
      </c>
      <c r="W12" s="283">
        <v>240</v>
      </c>
      <c r="X12" s="82">
        <v>350</v>
      </c>
      <c r="Y12" s="82">
        <v>180</v>
      </c>
      <c r="Z12" s="16">
        <v>370</v>
      </c>
      <c r="AA12" s="17">
        <v>370</v>
      </c>
      <c r="AB12" s="324">
        <v>375</v>
      </c>
      <c r="AC12" s="617">
        <v>400</v>
      </c>
      <c r="AD12" s="16">
        <v>370</v>
      </c>
      <c r="AE12" s="16">
        <v>195</v>
      </c>
      <c r="AF12" s="16">
        <v>260</v>
      </c>
      <c r="AG12" s="16">
        <v>190</v>
      </c>
      <c r="AH12" s="335">
        <f t="shared" si="0"/>
        <v>8740</v>
      </c>
      <c r="AI12" s="123">
        <v>61</v>
      </c>
      <c r="AJ12" s="121" t="s">
        <v>31</v>
      </c>
      <c r="AK12" s="67">
        <f t="shared" si="16"/>
        <v>0.23907103825136611</v>
      </c>
      <c r="AL12" s="68">
        <f t="shared" si="13"/>
        <v>0.21174863387978143</v>
      </c>
      <c r="AM12" s="68">
        <f t="shared" si="13"/>
        <v>0.17076502732240437</v>
      </c>
      <c r="AN12" s="68">
        <f t="shared" si="13"/>
        <v>0.20491803278688525</v>
      </c>
      <c r="AO12" s="68">
        <f t="shared" si="13"/>
        <v>0.20833333333333334</v>
      </c>
      <c r="AP12" s="68">
        <f t="shared" si="13"/>
        <v>0.10245901639344263</v>
      </c>
      <c r="AQ12" s="68">
        <f t="shared" si="13"/>
        <v>0.18442622950819673</v>
      </c>
      <c r="AR12" s="68">
        <f t="shared" si="13"/>
        <v>0.20491803278688525</v>
      </c>
      <c r="AS12" s="68">
        <f t="shared" si="13"/>
        <v>0.21857923497267759</v>
      </c>
      <c r="AT12" s="68">
        <f t="shared" si="13"/>
        <v>0.25956284153005466</v>
      </c>
      <c r="AU12" s="68">
        <f t="shared" si="13"/>
        <v>0.25273224043715847</v>
      </c>
      <c r="AV12" s="68">
        <f t="shared" si="13"/>
        <v>0.25956284153005466</v>
      </c>
      <c r="AW12" s="68">
        <f t="shared" si="17"/>
        <v>0.25614754098360654</v>
      </c>
      <c r="AX12" s="68">
        <f t="shared" si="14"/>
        <v>0.25273224043715847</v>
      </c>
      <c r="AY12" s="68">
        <f t="shared" si="14"/>
        <v>0.21857923497267759</v>
      </c>
      <c r="AZ12" s="68">
        <f t="shared" si="14"/>
        <v>0.17076502732240437</v>
      </c>
      <c r="BA12" s="68">
        <f t="shared" si="14"/>
        <v>6.8306010928961755E-2</v>
      </c>
      <c r="BB12" s="68">
        <f t="shared" si="18"/>
        <v>6.4890710382513664E-2</v>
      </c>
      <c r="BC12" s="68">
        <f t="shared" si="18"/>
        <v>0.16734972677595628</v>
      </c>
      <c r="BD12" s="68" t="e">
        <f>IF(OR(#REF!="",#REF!="Sem monitoramento"),"VAZIO",IFERROR(#REF!/($AI12*24),"-"))</f>
        <v>#REF!</v>
      </c>
      <c r="BE12" s="68">
        <f t="shared" si="19"/>
        <v>0.23907103825136611</v>
      </c>
      <c r="BF12" s="68">
        <f t="shared" si="19"/>
        <v>0.12295081967213115</v>
      </c>
      <c r="BG12" s="68">
        <f t="shared" si="19"/>
        <v>0.25273224043715847</v>
      </c>
      <c r="BH12" s="68">
        <f t="shared" si="19"/>
        <v>0.25273224043715847</v>
      </c>
      <c r="BI12" s="68">
        <f t="shared" ref="BI12:BI20" si="22">IF(OR(AB12="",AB12="Sem monitoramento"),"VAZIO",IFERROR(AB12/($AI12*24),"-"))</f>
        <v>0.25614754098360654</v>
      </c>
      <c r="BJ12" s="68">
        <f t="shared" si="20"/>
        <v>0.27322404371584702</v>
      </c>
      <c r="BK12" s="68">
        <f t="shared" si="10"/>
        <v>0.25273224043715847</v>
      </c>
      <c r="BL12" s="68">
        <f t="shared" si="11"/>
        <v>0.13319672131147542</v>
      </c>
      <c r="BM12" s="68">
        <f t="shared" si="12"/>
        <v>0.17759562841530055</v>
      </c>
      <c r="BN12" s="68">
        <f t="shared" si="21"/>
        <v>0.12978142076502733</v>
      </c>
      <c r="BO12" s="70">
        <f t="shared" si="6"/>
        <v>0.19899817850637522</v>
      </c>
      <c r="BP12" s="180">
        <f>'FCs estimados em PVsyst'!Y10</f>
        <v>0.18465391621129326</v>
      </c>
      <c r="BQ12" s="72" t="s">
        <v>31</v>
      </c>
      <c r="BR12" s="73" t="s">
        <v>31</v>
      </c>
      <c r="BS12" s="74">
        <f t="shared" si="9"/>
        <v>1.4344262295081955E-2</v>
      </c>
      <c r="BT12" s="15" t="s">
        <v>14</v>
      </c>
      <c r="BU12" s="3"/>
      <c r="BV12" s="2"/>
      <c r="BW12" s="2"/>
    </row>
    <row r="13" spans="2:75" x14ac:dyDescent="0.3">
      <c r="B13" s="773" t="s">
        <v>16</v>
      </c>
      <c r="C13" s="328" t="s">
        <v>17</v>
      </c>
      <c r="D13" s="223">
        <v>500.1</v>
      </c>
      <c r="E13" s="283">
        <v>467.6</v>
      </c>
      <c r="F13" s="283">
        <v>339.7</v>
      </c>
      <c r="G13" s="283">
        <v>435.1</v>
      </c>
      <c r="H13" s="283">
        <v>443.6</v>
      </c>
      <c r="I13" s="283">
        <v>240</v>
      </c>
      <c r="J13" s="63">
        <v>389.4</v>
      </c>
      <c r="K13" s="283">
        <v>435.4</v>
      </c>
      <c r="L13" s="63">
        <v>464.3</v>
      </c>
      <c r="M13" s="319">
        <v>548.70000000000005</v>
      </c>
      <c r="N13" s="355">
        <v>537.70000000000005</v>
      </c>
      <c r="O13" s="319">
        <v>549.29999999999995</v>
      </c>
      <c r="P13" s="319">
        <v>540.1</v>
      </c>
      <c r="Q13" s="283">
        <v>523.70000000000005</v>
      </c>
      <c r="R13" s="308">
        <v>467.6</v>
      </c>
      <c r="S13" s="63">
        <v>338.6</v>
      </c>
      <c r="T13" s="63">
        <v>175.7</v>
      </c>
      <c r="U13" s="63">
        <v>160.1</v>
      </c>
      <c r="V13" s="63">
        <v>335.4</v>
      </c>
      <c r="W13" s="283">
        <v>321.10000000000002</v>
      </c>
      <c r="X13" s="63">
        <v>486.3</v>
      </c>
      <c r="Y13" s="63">
        <v>245.8</v>
      </c>
      <c r="Z13" s="15">
        <v>523.5</v>
      </c>
      <c r="AA13" s="18">
        <v>520.4</v>
      </c>
      <c r="AB13" s="323">
        <v>520.70000000000005</v>
      </c>
      <c r="AC13" s="617">
        <v>553.29999999999995</v>
      </c>
      <c r="AD13" s="15">
        <v>502.7</v>
      </c>
      <c r="AE13" s="15">
        <v>276.3</v>
      </c>
      <c r="AF13" s="15">
        <v>369.2</v>
      </c>
      <c r="AG13" s="15">
        <v>257.7</v>
      </c>
      <c r="AH13" s="335">
        <f t="shared" si="0"/>
        <v>12469.1</v>
      </c>
      <c r="AI13" s="118">
        <v>100</v>
      </c>
      <c r="AJ13" s="121">
        <f t="shared" ref="AJ13:AJ30" si="23">F13/(AI13*432)</f>
        <v>7.8634259259259265E-3</v>
      </c>
      <c r="AK13" s="67">
        <f t="shared" si="16"/>
        <v>0.208375</v>
      </c>
      <c r="AL13" s="68">
        <f t="shared" si="13"/>
        <v>0.19483333333333333</v>
      </c>
      <c r="AM13" s="68">
        <f t="shared" si="13"/>
        <v>0.14154166666666665</v>
      </c>
      <c r="AN13" s="68">
        <f t="shared" si="13"/>
        <v>0.18129166666666668</v>
      </c>
      <c r="AO13" s="68">
        <f t="shared" si="13"/>
        <v>0.18483333333333335</v>
      </c>
      <c r="AP13" s="68">
        <f t="shared" si="13"/>
        <v>0.1</v>
      </c>
      <c r="AQ13" s="68">
        <f t="shared" si="13"/>
        <v>0.16224999999999998</v>
      </c>
      <c r="AR13" s="68">
        <f t="shared" si="13"/>
        <v>0.18141666666666667</v>
      </c>
      <c r="AS13" s="68">
        <f t="shared" si="13"/>
        <v>0.19345833333333334</v>
      </c>
      <c r="AT13" s="68">
        <f t="shared" si="13"/>
        <v>0.22862500000000002</v>
      </c>
      <c r="AU13" s="68">
        <f t="shared" si="13"/>
        <v>0.22404166666666669</v>
      </c>
      <c r="AV13" s="68">
        <f t="shared" si="13"/>
        <v>0.22887499999999997</v>
      </c>
      <c r="AW13" s="68">
        <f t="shared" si="17"/>
        <v>0.22504166666666667</v>
      </c>
      <c r="AX13" s="68">
        <f t="shared" si="14"/>
        <v>0.21820833333333337</v>
      </c>
      <c r="AY13" s="68">
        <f t="shared" si="14"/>
        <v>0.19483333333333333</v>
      </c>
      <c r="AZ13" s="68">
        <f t="shared" si="14"/>
        <v>0.14108333333333334</v>
      </c>
      <c r="BA13" s="68">
        <f t="shared" si="14"/>
        <v>7.3208333333333334E-2</v>
      </c>
      <c r="BB13" s="68">
        <f t="shared" si="18"/>
        <v>6.6708333333333328E-2</v>
      </c>
      <c r="BC13" s="68">
        <f t="shared" si="18"/>
        <v>0.13974999999999999</v>
      </c>
      <c r="BD13" s="68">
        <f t="shared" ref="BD13:BD22" si="24">IF(OR(W13="",W13="Sem monitoramento"),"VAZIO",IFERROR(W13/($AI13*24),"-"))</f>
        <v>0.13379166666666667</v>
      </c>
      <c r="BE13" s="68">
        <f t="shared" si="19"/>
        <v>0.202625</v>
      </c>
      <c r="BF13" s="68">
        <f t="shared" si="19"/>
        <v>0.10241666666666667</v>
      </c>
      <c r="BG13" s="68">
        <f t="shared" si="19"/>
        <v>0.21812500000000001</v>
      </c>
      <c r="BH13" s="68">
        <f t="shared" si="19"/>
        <v>0.21683333333333332</v>
      </c>
      <c r="BI13" s="68">
        <f t="shared" si="22"/>
        <v>0.21695833333333336</v>
      </c>
      <c r="BJ13" s="68">
        <f t="shared" si="20"/>
        <v>0.23054166666666664</v>
      </c>
      <c r="BK13" s="68">
        <f t="shared" si="10"/>
        <v>0.20945833333333333</v>
      </c>
      <c r="BL13" s="68">
        <f t="shared" si="11"/>
        <v>0.11512500000000001</v>
      </c>
      <c r="BM13" s="68">
        <f t="shared" si="12"/>
        <v>0.15383333333333332</v>
      </c>
      <c r="BN13" s="68">
        <f t="shared" si="21"/>
        <v>0.107375</v>
      </c>
      <c r="BO13" s="70">
        <f t="shared" si="6"/>
        <v>0.17318194444444446</v>
      </c>
      <c r="BP13" s="198">
        <f>BP19</f>
        <v>0.168125</v>
      </c>
      <c r="BQ13" s="72">
        <f t="shared" ref="BQ13:BQ30" si="25">AI13*BP13</f>
        <v>16.8125</v>
      </c>
      <c r="BR13" s="73">
        <f t="shared" ref="BR13:BR30" si="26">AM13-BP13</f>
        <v>-2.6583333333333348E-2</v>
      </c>
      <c r="BS13" s="74">
        <f t="shared" si="9"/>
        <v>5.0569444444444611E-3</v>
      </c>
      <c r="BT13" s="15" t="s">
        <v>17</v>
      </c>
      <c r="BU13" s="3"/>
      <c r="BV13" s="2"/>
      <c r="BW13" s="2"/>
    </row>
    <row r="14" spans="2:75" x14ac:dyDescent="0.3">
      <c r="B14" s="771"/>
      <c r="C14" s="326" t="s">
        <v>18</v>
      </c>
      <c r="D14" s="62">
        <v>517.70000000000005</v>
      </c>
      <c r="E14" s="63">
        <v>475.4</v>
      </c>
      <c r="F14" s="63">
        <v>369.4</v>
      </c>
      <c r="G14" s="63">
        <v>488.5</v>
      </c>
      <c r="H14" s="63">
        <v>462.9</v>
      </c>
      <c r="I14" s="283">
        <v>264.8</v>
      </c>
      <c r="J14" s="283">
        <v>402.2</v>
      </c>
      <c r="K14" s="283">
        <v>456.4</v>
      </c>
      <c r="L14" s="63">
        <v>525.29999999999995</v>
      </c>
      <c r="M14" s="355">
        <v>550.79999999999995</v>
      </c>
      <c r="N14" s="319">
        <v>547.79999999999995</v>
      </c>
      <c r="O14" s="319">
        <v>553.20000000000005</v>
      </c>
      <c r="P14" s="319">
        <v>541</v>
      </c>
      <c r="Q14" s="283">
        <v>529.70000000000005</v>
      </c>
      <c r="R14" s="63">
        <v>490.9</v>
      </c>
      <c r="S14" s="63">
        <v>357.8</v>
      </c>
      <c r="T14" s="63">
        <v>185.7</v>
      </c>
      <c r="U14" s="63">
        <v>182.6</v>
      </c>
      <c r="V14" s="283">
        <v>363.3</v>
      </c>
      <c r="W14" s="283">
        <v>372.1</v>
      </c>
      <c r="X14" s="63">
        <v>462.9</v>
      </c>
      <c r="Y14" s="63">
        <v>308</v>
      </c>
      <c r="Z14" s="15">
        <v>556.6</v>
      </c>
      <c r="AA14" s="568">
        <v>563.9</v>
      </c>
      <c r="AB14" s="323">
        <v>522.79999999999995</v>
      </c>
      <c r="AC14" s="388">
        <v>552</v>
      </c>
      <c r="AD14" s="15">
        <v>501.6</v>
      </c>
      <c r="AE14" s="15">
        <v>324.5</v>
      </c>
      <c r="AF14" s="15">
        <v>434.1</v>
      </c>
      <c r="AG14" s="15">
        <v>362.2</v>
      </c>
      <c r="AH14" s="335">
        <f t="shared" si="0"/>
        <v>13226.1</v>
      </c>
      <c r="AI14" s="118">
        <v>100</v>
      </c>
      <c r="AJ14" s="121">
        <f t="shared" si="23"/>
        <v>8.5509259259259254E-3</v>
      </c>
      <c r="AK14" s="67">
        <f t="shared" si="16"/>
        <v>0.21570833333333336</v>
      </c>
      <c r="AL14" s="68">
        <f t="shared" si="13"/>
        <v>0.19808333333333333</v>
      </c>
      <c r="AM14" s="68">
        <f t="shared" si="13"/>
        <v>0.15391666666666665</v>
      </c>
      <c r="AN14" s="68">
        <f t="shared" si="13"/>
        <v>0.20354166666666668</v>
      </c>
      <c r="AO14" s="68">
        <f t="shared" si="13"/>
        <v>0.19287499999999999</v>
      </c>
      <c r="AP14" s="68">
        <f t="shared" si="13"/>
        <v>0.11033333333333334</v>
      </c>
      <c r="AQ14" s="68">
        <f t="shared" si="13"/>
        <v>0.16758333333333333</v>
      </c>
      <c r="AR14" s="68">
        <f t="shared" si="13"/>
        <v>0.19016666666666665</v>
      </c>
      <c r="AS14" s="68">
        <f t="shared" si="13"/>
        <v>0.21887499999999999</v>
      </c>
      <c r="AT14" s="68">
        <f t="shared" si="13"/>
        <v>0.22949999999999998</v>
      </c>
      <c r="AU14" s="68">
        <f t="shared" si="13"/>
        <v>0.22824999999999998</v>
      </c>
      <c r="AV14" s="68">
        <f t="shared" si="13"/>
        <v>0.23050000000000001</v>
      </c>
      <c r="AW14" s="68">
        <f t="shared" si="17"/>
        <v>0.22541666666666665</v>
      </c>
      <c r="AX14" s="68">
        <f t="shared" si="14"/>
        <v>0.22070833333333334</v>
      </c>
      <c r="AY14" s="68">
        <f t="shared" si="14"/>
        <v>0.20454166666666665</v>
      </c>
      <c r="AZ14" s="68">
        <f t="shared" si="14"/>
        <v>0.14908333333333335</v>
      </c>
      <c r="BA14" s="68">
        <f t="shared" si="14"/>
        <v>7.7374999999999999E-2</v>
      </c>
      <c r="BB14" s="68">
        <f t="shared" si="18"/>
        <v>7.6083333333333336E-2</v>
      </c>
      <c r="BC14" s="68">
        <f t="shared" si="18"/>
        <v>0.15137500000000001</v>
      </c>
      <c r="BD14" s="68">
        <f t="shared" si="24"/>
        <v>0.15504166666666669</v>
      </c>
      <c r="BE14" s="68">
        <f t="shared" si="19"/>
        <v>0.19287499999999999</v>
      </c>
      <c r="BF14" s="68">
        <f t="shared" si="19"/>
        <v>0.12833333333333333</v>
      </c>
      <c r="BG14" s="68">
        <f t="shared" si="19"/>
        <v>0.23191666666666669</v>
      </c>
      <c r="BH14" s="68">
        <f t="shared" si="19"/>
        <v>0.23495833333333332</v>
      </c>
      <c r="BI14" s="68">
        <f t="shared" si="22"/>
        <v>0.21783333333333332</v>
      </c>
      <c r="BJ14" s="68">
        <f t="shared" si="20"/>
        <v>0.23</v>
      </c>
      <c r="BK14" s="68">
        <f t="shared" si="10"/>
        <v>0.20900000000000002</v>
      </c>
      <c r="BL14" s="68">
        <f t="shared" si="11"/>
        <v>0.13520833333333335</v>
      </c>
      <c r="BM14" s="68">
        <f t="shared" si="12"/>
        <v>0.18087500000000001</v>
      </c>
      <c r="BN14" s="68">
        <f t="shared" si="21"/>
        <v>0.15091666666666667</v>
      </c>
      <c r="BO14" s="70">
        <f t="shared" si="6"/>
        <v>0.18369583333333334</v>
      </c>
      <c r="BP14" s="198">
        <f>$BP$19</f>
        <v>0.168125</v>
      </c>
      <c r="BQ14" s="72">
        <f t="shared" si="25"/>
        <v>16.8125</v>
      </c>
      <c r="BR14" s="73">
        <f t="shared" si="26"/>
        <v>-1.4208333333333351E-2</v>
      </c>
      <c r="BS14" s="74">
        <f t="shared" si="9"/>
        <v>1.5570833333333339E-2</v>
      </c>
      <c r="BT14" s="15" t="s">
        <v>18</v>
      </c>
      <c r="BU14" s="3"/>
      <c r="BV14" s="2"/>
      <c r="BW14" s="2"/>
    </row>
    <row r="15" spans="2:75" x14ac:dyDescent="0.3">
      <c r="B15" s="771"/>
      <c r="C15" s="326" t="s">
        <v>110</v>
      </c>
      <c r="D15" s="62">
        <v>146.69999999999999</v>
      </c>
      <c r="E15" s="63">
        <v>126</v>
      </c>
      <c r="F15" s="63">
        <v>100.2</v>
      </c>
      <c r="G15" s="63">
        <v>131.4</v>
      </c>
      <c r="H15" s="63">
        <v>123.6</v>
      </c>
      <c r="I15" s="283">
        <v>70.8</v>
      </c>
      <c r="J15" s="283">
        <v>108.8</v>
      </c>
      <c r="K15" s="283">
        <v>122</v>
      </c>
      <c r="L15" s="63">
        <v>144.30000000000001</v>
      </c>
      <c r="M15" s="355">
        <v>152.9</v>
      </c>
      <c r="N15" s="319">
        <v>150.5</v>
      </c>
      <c r="O15" s="319">
        <v>152.1</v>
      </c>
      <c r="P15" s="319">
        <v>150.69999999999999</v>
      </c>
      <c r="Q15" s="283">
        <v>144.6</v>
      </c>
      <c r="R15" s="63">
        <v>130.80000000000001</v>
      </c>
      <c r="S15" s="63">
        <v>96.8</v>
      </c>
      <c r="T15" s="63">
        <v>48.7</v>
      </c>
      <c r="U15" s="63">
        <v>48.2</v>
      </c>
      <c r="V15" s="283">
        <v>100.1</v>
      </c>
      <c r="W15" s="283">
        <v>104.1</v>
      </c>
      <c r="X15" s="63">
        <v>123.7</v>
      </c>
      <c r="Y15" s="63">
        <v>86.2</v>
      </c>
      <c r="Z15" s="31">
        <v>156.1</v>
      </c>
      <c r="AA15" s="568">
        <v>158.19999999999999</v>
      </c>
      <c r="AB15" s="323">
        <v>150.19999999999999</v>
      </c>
      <c r="AC15" s="388">
        <v>155.9</v>
      </c>
      <c r="AD15" s="221">
        <v>133.1</v>
      </c>
      <c r="AE15" s="15">
        <v>88.1</v>
      </c>
      <c r="AF15" s="15">
        <v>121.1</v>
      </c>
      <c r="AG15" s="15">
        <v>104.1</v>
      </c>
      <c r="AH15" s="335">
        <f t="shared" si="0"/>
        <v>3629.9999999999982</v>
      </c>
      <c r="AI15" s="118">
        <v>29</v>
      </c>
      <c r="AJ15" s="121">
        <f t="shared" si="23"/>
        <v>7.9980842911877396E-3</v>
      </c>
      <c r="AK15" s="67">
        <f t="shared" si="16"/>
        <v>0.21077586206896551</v>
      </c>
      <c r="AL15" s="68">
        <f t="shared" si="13"/>
        <v>0.18103448275862069</v>
      </c>
      <c r="AM15" s="68">
        <f t="shared" si="13"/>
        <v>0.14396551724137932</v>
      </c>
      <c r="AN15" s="68">
        <f t="shared" si="13"/>
        <v>0.18879310344827588</v>
      </c>
      <c r="AO15" s="68">
        <f t="shared" si="13"/>
        <v>0.17758620689655172</v>
      </c>
      <c r="AP15" s="68">
        <f t="shared" si="13"/>
        <v>0.10172413793103448</v>
      </c>
      <c r="AQ15" s="68">
        <f t="shared" si="13"/>
        <v>0.15632183908045977</v>
      </c>
      <c r="AR15" s="68">
        <f t="shared" si="13"/>
        <v>0.17528735632183909</v>
      </c>
      <c r="AS15" s="68">
        <f t="shared" si="13"/>
        <v>0.20732758620689656</v>
      </c>
      <c r="AT15" s="68">
        <f t="shared" si="13"/>
        <v>0.21968390804597701</v>
      </c>
      <c r="AU15" s="68">
        <f t="shared" si="13"/>
        <v>0.21623563218390804</v>
      </c>
      <c r="AV15" s="68">
        <f t="shared" si="13"/>
        <v>0.21853448275862067</v>
      </c>
      <c r="AW15" s="68">
        <f t="shared" si="17"/>
        <v>0.21652298850574711</v>
      </c>
      <c r="AX15" s="68">
        <f t="shared" si="14"/>
        <v>0.20775862068965517</v>
      </c>
      <c r="AY15" s="68">
        <f t="shared" si="14"/>
        <v>0.18793103448275864</v>
      </c>
      <c r="AZ15" s="68">
        <f t="shared" si="14"/>
        <v>0.13908045977011493</v>
      </c>
      <c r="BA15" s="68">
        <f t="shared" si="14"/>
        <v>6.9971264367816102E-2</v>
      </c>
      <c r="BB15" s="68">
        <f t="shared" si="18"/>
        <v>6.9252873563218395E-2</v>
      </c>
      <c r="BC15" s="68">
        <f t="shared" si="18"/>
        <v>0.14382183908045976</v>
      </c>
      <c r="BD15" s="68">
        <f t="shared" si="24"/>
        <v>0.14956896551724136</v>
      </c>
      <c r="BE15" s="68">
        <f>IF(OR(X15="",X15="Sem monitoramento"),"VAZIO",IFERROR(X15/($AI15*24),"-"))</f>
        <v>0.17772988505747128</v>
      </c>
      <c r="BF15" s="68">
        <f>IF(OR(Y16="",Y16="Sem monitoramento"),"VAZIO",IFERROR(Y16/($AI15*24),"-"))</f>
        <v>0.63304597701149423</v>
      </c>
      <c r="BG15" s="68">
        <f>IF(OR(Z16="",Z16="Sem monitoramento"),"VAZIO",IFERROR(Z16/($AI15*24),"-"))</f>
        <v>0.80330459770114948</v>
      </c>
      <c r="BH15" s="68">
        <f t="shared" ref="BH15:BH31" si="27">IF(OR(AA15="",AA15="Sem monitoramento"),"VAZIO",IFERROR(AA15/($AI15*24),"-"))</f>
        <v>0.22729885057471264</v>
      </c>
      <c r="BI15" s="68">
        <f t="shared" si="22"/>
        <v>0.2158045977011494</v>
      </c>
      <c r="BJ15" s="68">
        <f t="shared" si="20"/>
        <v>0.22399425287356323</v>
      </c>
      <c r="BK15" s="68">
        <f t="shared" si="10"/>
        <v>0.19123563218390804</v>
      </c>
      <c r="BL15" s="68">
        <f t="shared" si="11"/>
        <v>0.12658045977011492</v>
      </c>
      <c r="BM15" s="68">
        <f t="shared" si="12"/>
        <v>0.17399425287356321</v>
      </c>
      <c r="BN15" s="68">
        <f t="shared" si="21"/>
        <v>0.14956896551724136</v>
      </c>
      <c r="BO15" s="70">
        <f t="shared" si="6"/>
        <v>0.17385057471264359</v>
      </c>
      <c r="BP15" s="180">
        <f>'FCs estimados em PVsyst'!Y13</f>
        <v>0.1850095785440613</v>
      </c>
      <c r="BQ15" s="72">
        <f t="shared" si="25"/>
        <v>5.365277777777778</v>
      </c>
      <c r="BR15" s="73">
        <f t="shared" si="26"/>
        <v>-4.1044061302681983E-2</v>
      </c>
      <c r="BS15" s="74">
        <f t="shared" si="9"/>
        <v>-1.1159003831417713E-2</v>
      </c>
      <c r="BT15" s="15" t="s">
        <v>110</v>
      </c>
      <c r="BU15" s="3"/>
      <c r="BV15" s="2"/>
      <c r="BW15" s="2"/>
    </row>
    <row r="16" spans="2:75" x14ac:dyDescent="0.3">
      <c r="B16" s="774"/>
      <c r="C16" s="326" t="s">
        <v>20</v>
      </c>
      <c r="D16" s="62">
        <v>537.29999999999995</v>
      </c>
      <c r="E16" s="282">
        <v>262.3</v>
      </c>
      <c r="F16" s="282">
        <v>0</v>
      </c>
      <c r="G16" s="282">
        <v>7.6</v>
      </c>
      <c r="H16" s="63">
        <v>463</v>
      </c>
      <c r="I16" s="63">
        <v>260.89999999999998</v>
      </c>
      <c r="J16" s="63">
        <v>435.7</v>
      </c>
      <c r="K16" s="63">
        <v>451.8</v>
      </c>
      <c r="L16" s="319">
        <v>540.70000000000005</v>
      </c>
      <c r="M16" s="319">
        <v>560.1</v>
      </c>
      <c r="N16" s="319">
        <v>562.4</v>
      </c>
      <c r="O16" s="319">
        <v>564.5</v>
      </c>
      <c r="P16" s="355">
        <v>561.4</v>
      </c>
      <c r="Q16" s="282">
        <v>267.60000000000002</v>
      </c>
      <c r="R16" s="282">
        <v>31.5</v>
      </c>
      <c r="S16" s="282">
        <v>59.8</v>
      </c>
      <c r="T16" s="141">
        <v>110.7</v>
      </c>
      <c r="U16" s="63">
        <v>82.1</v>
      </c>
      <c r="V16" s="283">
        <v>356.9</v>
      </c>
      <c r="W16" s="283">
        <v>425.8</v>
      </c>
      <c r="X16" s="63">
        <v>440.6</v>
      </c>
      <c r="Y16" s="63">
        <v>440.6</v>
      </c>
      <c r="Z16" s="15">
        <v>559.1</v>
      </c>
      <c r="AA16" s="488">
        <v>576.9</v>
      </c>
      <c r="AB16" s="387">
        <v>576.6</v>
      </c>
      <c r="AC16" s="193">
        <v>572.29999999999995</v>
      </c>
      <c r="AD16" s="15">
        <v>496.5</v>
      </c>
      <c r="AE16" s="15">
        <v>288.3</v>
      </c>
      <c r="AF16" s="15">
        <v>389.4</v>
      </c>
      <c r="AG16" s="15">
        <v>378.4</v>
      </c>
      <c r="AH16" s="335">
        <f t="shared" si="0"/>
        <v>11260.8</v>
      </c>
      <c r="AI16" s="118">
        <v>100</v>
      </c>
      <c r="AJ16" s="121">
        <f t="shared" si="23"/>
        <v>0</v>
      </c>
      <c r="AK16" s="67">
        <f t="shared" si="16"/>
        <v>0.22387499999999999</v>
      </c>
      <c r="AL16" s="68">
        <f t="shared" si="13"/>
        <v>0.10929166666666668</v>
      </c>
      <c r="AM16" s="68">
        <f t="shared" si="13"/>
        <v>0</v>
      </c>
      <c r="AN16" s="68">
        <f t="shared" si="13"/>
        <v>3.1666666666666666E-3</v>
      </c>
      <c r="AO16" s="68">
        <f t="shared" si="13"/>
        <v>0.19291666666666665</v>
      </c>
      <c r="AP16" s="68">
        <f t="shared" si="13"/>
        <v>0.10870833333333332</v>
      </c>
      <c r="AQ16" s="68">
        <f t="shared" si="13"/>
        <v>0.18154166666666666</v>
      </c>
      <c r="AR16" s="68">
        <f t="shared" si="13"/>
        <v>0.18825</v>
      </c>
      <c r="AS16" s="68">
        <f t="shared" si="13"/>
        <v>0.2252916666666667</v>
      </c>
      <c r="AT16" s="68">
        <f t="shared" si="13"/>
        <v>0.233375</v>
      </c>
      <c r="AU16" s="68">
        <f t="shared" si="13"/>
        <v>0.23433333333333331</v>
      </c>
      <c r="AV16" s="68">
        <f t="shared" si="13"/>
        <v>0.23520833333333332</v>
      </c>
      <c r="AW16" s="68">
        <f t="shared" si="17"/>
        <v>0.23391666666666666</v>
      </c>
      <c r="AX16" s="68">
        <f t="shared" ref="AX16:AZ17" si="28">IF(OR(Q16="",Q16="Sem monitoramento"),"VAZIO",IFERROR(Q16/($AI16*24),"-"))</f>
        <v>0.11150000000000002</v>
      </c>
      <c r="AY16" s="68">
        <f t="shared" si="28"/>
        <v>1.3125E-2</v>
      </c>
      <c r="AZ16" s="68">
        <f t="shared" si="28"/>
        <v>2.4916666666666667E-2</v>
      </c>
      <c r="BA16" s="68">
        <f>IF(OR(T14="",T14="Sem monitoramento"),"VAZIO",IFERROR(T14/($AI16*24),"-"))</f>
        <v>7.7374999999999999E-2</v>
      </c>
      <c r="BB16" s="68">
        <f t="shared" si="18"/>
        <v>3.4208333333333334E-2</v>
      </c>
      <c r="BC16" s="68">
        <f t="shared" si="18"/>
        <v>0.14870833333333333</v>
      </c>
      <c r="BD16" s="68">
        <f t="shared" si="24"/>
        <v>0.17741666666666667</v>
      </c>
      <c r="BE16" s="68">
        <f>IF(OR(X16="",X16="Sem monitoramento"),"VAZIO",IFERROR(X16/($AI16*24),"-"))</f>
        <v>0.18358333333333335</v>
      </c>
      <c r="BF16" s="68" t="e">
        <f>IF(OR(#REF!="",#REF!="Sem monitoramento"),"VAZIO",IFERROR(#REF!/($AI16*24),"-"))</f>
        <v>#REF!</v>
      </c>
      <c r="BG16" s="68" t="e">
        <f>IF(OR(#REF!="",#REF!="Sem monitoramento"),"VAZIO",IFERROR(#REF!/($AI16*24),"-"))</f>
        <v>#REF!</v>
      </c>
      <c r="BH16" s="68">
        <f t="shared" si="27"/>
        <v>0.24037499999999998</v>
      </c>
      <c r="BI16" s="68">
        <f t="shared" si="22"/>
        <v>0.24025000000000002</v>
      </c>
      <c r="BJ16" s="68">
        <f t="shared" si="20"/>
        <v>0.23845833333333333</v>
      </c>
      <c r="BK16" s="68">
        <f t="shared" si="10"/>
        <v>0.206875</v>
      </c>
      <c r="BL16" s="68">
        <f t="shared" si="11"/>
        <v>0.12012500000000001</v>
      </c>
      <c r="BM16" s="68">
        <f t="shared" si="12"/>
        <v>0.16224999999999998</v>
      </c>
      <c r="BN16" s="68">
        <f t="shared" si="21"/>
        <v>0.15766666666666665</v>
      </c>
      <c r="BO16" s="70">
        <f t="shared" si="6"/>
        <v>0.15639999999999998</v>
      </c>
      <c r="BP16" s="180">
        <f>'FCs estimados em PVsyst'!Y14</f>
        <v>0.16425000000000001</v>
      </c>
      <c r="BQ16" s="72">
        <f t="shared" si="25"/>
        <v>16.425000000000001</v>
      </c>
      <c r="BR16" s="73">
        <f t="shared" si="26"/>
        <v>-0.16425000000000001</v>
      </c>
      <c r="BS16" s="74">
        <f t="shared" si="9"/>
        <v>-7.8500000000000236E-3</v>
      </c>
      <c r="BT16" s="15" t="s">
        <v>20</v>
      </c>
      <c r="BU16" s="3"/>
      <c r="BV16" s="2"/>
      <c r="BW16" s="2"/>
    </row>
    <row r="17" spans="2:75" x14ac:dyDescent="0.3">
      <c r="B17" s="775" t="s">
        <v>21</v>
      </c>
      <c r="C17" s="326" t="s">
        <v>22</v>
      </c>
      <c r="D17" s="223">
        <v>566.1</v>
      </c>
      <c r="E17" s="63">
        <v>476</v>
      </c>
      <c r="F17" s="308">
        <v>433.6</v>
      </c>
      <c r="G17" s="283">
        <v>427.7</v>
      </c>
      <c r="H17" s="283">
        <v>489.1</v>
      </c>
      <c r="I17" s="82">
        <v>251.4</v>
      </c>
      <c r="J17" s="82">
        <v>459.7</v>
      </c>
      <c r="K17" s="63">
        <v>499.9</v>
      </c>
      <c r="L17" s="63">
        <v>549.6</v>
      </c>
      <c r="M17" s="319">
        <v>580.29999999999995</v>
      </c>
      <c r="N17" s="487">
        <v>570.5</v>
      </c>
      <c r="O17" s="319">
        <v>576</v>
      </c>
      <c r="P17" s="355">
        <v>532.70000000000005</v>
      </c>
      <c r="Q17" s="355">
        <v>558.4</v>
      </c>
      <c r="R17" s="63">
        <v>523.6</v>
      </c>
      <c r="S17" s="283">
        <v>429.1</v>
      </c>
      <c r="T17" s="63">
        <v>212.6</v>
      </c>
      <c r="U17" s="63">
        <v>195.2</v>
      </c>
      <c r="V17" s="63">
        <v>408.5</v>
      </c>
      <c r="W17" s="283">
        <v>396</v>
      </c>
      <c r="X17" s="63">
        <v>513.6</v>
      </c>
      <c r="Y17" s="63">
        <v>304.7</v>
      </c>
      <c r="Z17" s="15">
        <v>488.9</v>
      </c>
      <c r="AA17" s="568">
        <v>580</v>
      </c>
      <c r="AB17" s="20">
        <v>555</v>
      </c>
      <c r="AC17" s="221">
        <v>572.20000000000005</v>
      </c>
      <c r="AD17" s="221">
        <v>523.79999999999995</v>
      </c>
      <c r="AE17" s="15">
        <v>304.5</v>
      </c>
      <c r="AF17" s="15">
        <v>536</v>
      </c>
      <c r="AG17" s="15">
        <v>377.3</v>
      </c>
      <c r="AH17" s="335">
        <f t="shared" si="0"/>
        <v>13892.000000000002</v>
      </c>
      <c r="AI17" s="118">
        <v>100</v>
      </c>
      <c r="AJ17" s="122">
        <f t="shared" si="23"/>
        <v>1.0037037037037037E-2</v>
      </c>
      <c r="AK17" s="67">
        <f t="shared" si="16"/>
        <v>0.235875</v>
      </c>
      <c r="AL17" s="68">
        <f t="shared" ref="AL17:AL25" si="29">IF(OR(E17="",E17="Sem monitoramento"),"VAZIO",IFERROR(E17/($AI17*24),"-"))</f>
        <v>0.19833333333333333</v>
      </c>
      <c r="AM17" s="68">
        <f t="shared" ref="AM17:AM25" si="30">IF(OR(F17="",F17="Sem monitoramento"),"VAZIO",IFERROR(F17/($AI17*24),"-"))</f>
        <v>0.18066666666666667</v>
      </c>
      <c r="AN17" s="68">
        <f t="shared" ref="AN17:AN25" si="31">IF(OR(G17="",G17="Sem monitoramento"),"VAZIO",IFERROR(G17/($AI17*24),"-"))</f>
        <v>0.17820833333333333</v>
      </c>
      <c r="AO17" s="68">
        <f t="shared" ref="AO17:AO25" si="32">IF(OR(H17="",H17="Sem monitoramento"),"VAZIO",IFERROR(H17/($AI17*24),"-"))</f>
        <v>0.20379166666666668</v>
      </c>
      <c r="AP17" s="68">
        <f t="shared" ref="AP17:AP25" si="33">IF(OR(I17="",I17="Sem monitoramento"),"VAZIO",IFERROR(I17/($AI17*24),"-"))</f>
        <v>0.10475</v>
      </c>
      <c r="AQ17" s="68">
        <f t="shared" ref="AQ17:AQ25" si="34">IF(OR(J17="",J17="Sem monitoramento"),"VAZIO",IFERROR(J17/($AI17*24),"-"))</f>
        <v>0.19154166666666667</v>
      </c>
      <c r="AR17" s="68" t="e">
        <f>IF(OR(#REF!="",#REF!="Sem monitoramento"),"VAZIO",IFERROR(#REF!/($AI17*24),"-"))</f>
        <v>#REF!</v>
      </c>
      <c r="AS17" s="68">
        <f>IF(OR(L17="",L17="Sem monitoramento"),"VAZIO",IFERROR(L17/($AI17*24),"-"))</f>
        <v>0.22900000000000001</v>
      </c>
      <c r="AT17" s="68">
        <f>IF(OR(M17="",M17="Sem monitoramento"),"VAZIO",IFERROR(M17/($AI17*24),"-"))</f>
        <v>0.24179166666666665</v>
      </c>
      <c r="AU17" s="68">
        <f>IF(OR(N18="",N18="Sem monitoramento"),"VAZIO",IFERROR(N18/($AI17*24),"-"))</f>
        <v>0.23333333333333334</v>
      </c>
      <c r="AV17" s="68">
        <f t="shared" ref="AV17:AV22" si="35">IF(OR(O17="",O17="Sem monitoramento"),"VAZIO",IFERROR(O17/($AI17*24),"-"))</f>
        <v>0.24</v>
      </c>
      <c r="AW17" s="68">
        <f t="shared" si="17"/>
        <v>0.22195833333333334</v>
      </c>
      <c r="AX17" s="68">
        <f t="shared" si="28"/>
        <v>0.23266666666666666</v>
      </c>
      <c r="AY17" s="68">
        <f t="shared" si="28"/>
        <v>0.21816666666666668</v>
      </c>
      <c r="AZ17" s="68">
        <f t="shared" si="28"/>
        <v>0.17879166666666668</v>
      </c>
      <c r="BA17" s="68">
        <f t="shared" ref="BA17:BA31" si="36">IF(OR(T17="",T17="Sem monitoramento"),"VAZIO",IFERROR(T17/($AI17*24),"-"))</f>
        <v>8.8583333333333333E-2</v>
      </c>
      <c r="BB17" s="68">
        <f t="shared" si="18"/>
        <v>8.1333333333333327E-2</v>
      </c>
      <c r="BC17" s="68">
        <f t="shared" si="18"/>
        <v>0.17020833333333332</v>
      </c>
      <c r="BD17" s="68">
        <f t="shared" si="24"/>
        <v>0.16500000000000001</v>
      </c>
      <c r="BE17" s="68">
        <f>IF(OR(X17="",X17="Sem monitoramento"),"VAZIO",IFERROR(X17/($AI17*24),"-"))</f>
        <v>0.214</v>
      </c>
      <c r="BF17" s="68">
        <f>IF(OR(Y17="",Y17="Sem monitoramento"),"VAZIO",IFERROR(Y17/($AI17*24),"-"))</f>
        <v>0.12695833333333334</v>
      </c>
      <c r="BG17" s="68">
        <f>IF(OR(Z17="",Z17="Sem monitoramento"),"VAZIO",IFERROR(Z17/($AI17*24),"-"))</f>
        <v>0.20370833333333332</v>
      </c>
      <c r="BH17" s="68">
        <f t="shared" si="27"/>
        <v>0.24166666666666667</v>
      </c>
      <c r="BI17" s="68">
        <f t="shared" si="22"/>
        <v>0.23125000000000001</v>
      </c>
      <c r="BJ17" s="68">
        <f t="shared" si="20"/>
        <v>0.23841666666666669</v>
      </c>
      <c r="BK17" s="68">
        <f t="shared" si="10"/>
        <v>0.21824999999999997</v>
      </c>
      <c r="BL17" s="68">
        <f t="shared" si="11"/>
        <v>0.12687499999999999</v>
      </c>
      <c r="BM17" s="68">
        <f t="shared" si="12"/>
        <v>0.22333333333333333</v>
      </c>
      <c r="BN17" s="68">
        <f t="shared" si="21"/>
        <v>0.15720833333333334</v>
      </c>
      <c r="BO17" s="70">
        <f t="shared" si="6"/>
        <v>0.19294444444444447</v>
      </c>
      <c r="BP17" s="198">
        <f>$BP$19</f>
        <v>0.168125</v>
      </c>
      <c r="BQ17" s="90">
        <f t="shared" si="25"/>
        <v>16.8125</v>
      </c>
      <c r="BR17" s="73">
        <f t="shared" si="26"/>
        <v>1.2541666666666673E-2</v>
      </c>
      <c r="BS17" s="74">
        <f t="shared" si="9"/>
        <v>2.4819444444444477E-2</v>
      </c>
      <c r="BT17" s="15" t="s">
        <v>22</v>
      </c>
      <c r="BU17" s="3"/>
      <c r="BV17" s="2"/>
      <c r="BW17" s="2"/>
    </row>
    <row r="18" spans="2:75" x14ac:dyDescent="0.3">
      <c r="B18" s="775"/>
      <c r="C18" s="326" t="s">
        <v>23</v>
      </c>
      <c r="D18" s="223">
        <v>560.6</v>
      </c>
      <c r="E18" s="63">
        <v>461.8</v>
      </c>
      <c r="F18" s="308">
        <v>430.1</v>
      </c>
      <c r="G18" s="283">
        <v>428.9</v>
      </c>
      <c r="H18" s="63">
        <v>476.9</v>
      </c>
      <c r="I18" s="63">
        <v>249.3</v>
      </c>
      <c r="J18" s="63">
        <v>450.3</v>
      </c>
      <c r="K18" s="63">
        <v>491.2</v>
      </c>
      <c r="L18" s="63">
        <v>543.5</v>
      </c>
      <c r="M18" s="511">
        <v>570.1</v>
      </c>
      <c r="N18" s="319">
        <v>560</v>
      </c>
      <c r="O18" s="319">
        <v>565.70000000000005</v>
      </c>
      <c r="P18" s="319">
        <v>529.79999999999995</v>
      </c>
      <c r="Q18" s="561">
        <v>548</v>
      </c>
      <c r="R18" s="63">
        <v>516.5</v>
      </c>
      <c r="S18" s="283">
        <v>417.4</v>
      </c>
      <c r="T18" s="63">
        <v>209.6</v>
      </c>
      <c r="U18" s="283">
        <v>191.7</v>
      </c>
      <c r="V18" s="283">
        <v>405.8</v>
      </c>
      <c r="W18" s="283">
        <v>396</v>
      </c>
      <c r="X18" s="283">
        <v>501.2</v>
      </c>
      <c r="Y18" s="283">
        <v>303.60000000000002</v>
      </c>
      <c r="Z18" s="221">
        <v>488</v>
      </c>
      <c r="AA18" s="568">
        <v>572.1</v>
      </c>
      <c r="AB18" s="20">
        <v>548.20000000000005</v>
      </c>
      <c r="AC18" s="221">
        <v>563</v>
      </c>
      <c r="AD18" s="221">
        <v>512.20000000000005</v>
      </c>
      <c r="AE18" s="15">
        <v>303.89999999999998</v>
      </c>
      <c r="AF18" s="15">
        <v>533.20000000000005</v>
      </c>
      <c r="AG18" s="15">
        <v>379.3</v>
      </c>
      <c r="AH18" s="335">
        <f t="shared" si="0"/>
        <v>13707.900000000003</v>
      </c>
      <c r="AI18" s="118">
        <v>100</v>
      </c>
      <c r="AJ18" s="122">
        <f t="shared" si="23"/>
        <v>9.9560185185185186E-3</v>
      </c>
      <c r="AK18" s="67">
        <f t="shared" si="16"/>
        <v>0.23358333333333334</v>
      </c>
      <c r="AL18" s="68">
        <f t="shared" si="29"/>
        <v>0.19241666666666668</v>
      </c>
      <c r="AM18" s="68">
        <f t="shared" si="30"/>
        <v>0.17920833333333333</v>
      </c>
      <c r="AN18" s="68">
        <f t="shared" si="31"/>
        <v>0.17870833333333333</v>
      </c>
      <c r="AO18" s="68">
        <f t="shared" si="32"/>
        <v>0.19870833333333332</v>
      </c>
      <c r="AP18" s="68">
        <f t="shared" si="33"/>
        <v>0.10387500000000001</v>
      </c>
      <c r="AQ18" s="68">
        <f t="shared" si="34"/>
        <v>0.18762500000000001</v>
      </c>
      <c r="AR18" s="68">
        <f>IF(OR(K18="",K18="Sem monitoramento"),"VAZIO",IFERROR(K18/($AI18*24),"-"))</f>
        <v>0.20466666666666666</v>
      </c>
      <c r="AS18" s="68">
        <f>IF(OR(L18="",L18="Sem monitoramento"),"VAZIO",IFERROR(L18/($AI18*24),"-"))</f>
        <v>0.22645833333333334</v>
      </c>
      <c r="AT18" s="68">
        <f>IF(OR(M19="",M19="Sem monitoramento"),"VAZIO",IFERROR(M19/($AI18*24),"-"))</f>
        <v>0.18970833333333334</v>
      </c>
      <c r="AU18" s="68" t="e">
        <f>IF(OR(#REF!="",#REF!="Sem monitoramento"),"VAZIO",IFERROR(#REF!/($AI18*24),"-"))</f>
        <v>#REF!</v>
      </c>
      <c r="AV18" s="68">
        <f t="shared" si="35"/>
        <v>0.23570833333333335</v>
      </c>
      <c r="AW18" s="68">
        <f t="shared" si="17"/>
        <v>0.22074999999999997</v>
      </c>
      <c r="AX18" s="68">
        <f>IF(OR(Q19="",Q19="Sem monitoramento"),"VAZIO",IFERROR(Q19/($AI18*24),"-"))</f>
        <v>0.18091666666666667</v>
      </c>
      <c r="AY18" s="68" t="e">
        <f>IF(OR(#REF!="",#REF!="Sem monitoramento"),"VAZIO",IFERROR(#REF!/($AI18*24),"-"))</f>
        <v>#REF!</v>
      </c>
      <c r="AZ18" s="68">
        <f>IF(OR(S18="",S18="Sem monitoramento"),"VAZIO",IFERROR(S18/($AI18*24),"-"))</f>
        <v>0.17391666666666666</v>
      </c>
      <c r="BA18" s="68">
        <f t="shared" si="36"/>
        <v>8.7333333333333332E-2</v>
      </c>
      <c r="BB18" s="68">
        <f t="shared" si="18"/>
        <v>7.9875000000000002E-2</v>
      </c>
      <c r="BC18" s="68">
        <f t="shared" si="18"/>
        <v>0.16908333333333334</v>
      </c>
      <c r="BD18" s="68">
        <f t="shared" si="24"/>
        <v>0.16500000000000001</v>
      </c>
      <c r="BE18" s="68">
        <f>IF(OR(X18="",X18="Sem monitoramento"),"VAZIO",IFERROR(X18/($AI18*24),"-"))</f>
        <v>0.20883333333333332</v>
      </c>
      <c r="BF18" s="68">
        <f>IF(OR(Y18="",Y18="Sem monitoramento"),"VAZIO",IFERROR(Y18/($AI18*24),"-"))</f>
        <v>0.1265</v>
      </c>
      <c r="BG18" s="68">
        <f>IF(OR(Z18="",Z18="Sem monitoramento"),"VAZIO",IFERROR(Z18/($AI18*24),"-"))</f>
        <v>0.20333333333333334</v>
      </c>
      <c r="BH18" s="68">
        <f t="shared" si="27"/>
        <v>0.238375</v>
      </c>
      <c r="BI18" s="68">
        <f t="shared" si="22"/>
        <v>0.22841666666666668</v>
      </c>
      <c r="BJ18" s="68">
        <f t="shared" si="20"/>
        <v>0.23458333333333334</v>
      </c>
      <c r="BK18" s="68">
        <f t="shared" si="10"/>
        <v>0.2134166666666667</v>
      </c>
      <c r="BL18" s="68">
        <f t="shared" si="11"/>
        <v>0.12662499999999999</v>
      </c>
      <c r="BM18" s="68">
        <f t="shared" si="12"/>
        <v>0.22216666666666668</v>
      </c>
      <c r="BN18" s="68">
        <f t="shared" si="21"/>
        <v>0.15804166666666666</v>
      </c>
      <c r="BO18" s="70">
        <f t="shared" si="6"/>
        <v>0.19038750000000004</v>
      </c>
      <c r="BP18" s="198">
        <f>$BP$19</f>
        <v>0.168125</v>
      </c>
      <c r="BQ18" s="90">
        <f t="shared" si="25"/>
        <v>16.8125</v>
      </c>
      <c r="BR18" s="73">
        <f t="shared" si="26"/>
        <v>1.1083333333333334E-2</v>
      </c>
      <c r="BS18" s="74">
        <f t="shared" si="9"/>
        <v>2.2262500000000046E-2</v>
      </c>
      <c r="BT18" s="15" t="s">
        <v>23</v>
      </c>
      <c r="BU18" s="3"/>
      <c r="BV18" s="2"/>
      <c r="BW18" s="2"/>
    </row>
    <row r="19" spans="2:75" x14ac:dyDescent="0.3">
      <c r="B19" s="775"/>
      <c r="C19" s="326" t="s">
        <v>24</v>
      </c>
      <c r="D19" s="62">
        <v>431.8</v>
      </c>
      <c r="E19" s="63">
        <v>366.1</v>
      </c>
      <c r="F19" s="63">
        <v>326.2</v>
      </c>
      <c r="G19" s="283">
        <v>299.39999999999998</v>
      </c>
      <c r="H19" s="283">
        <v>371.9</v>
      </c>
      <c r="I19" s="63">
        <v>270.5</v>
      </c>
      <c r="J19" s="283">
        <v>349.4</v>
      </c>
      <c r="K19" s="63">
        <v>377.7</v>
      </c>
      <c r="L19" s="63">
        <v>430.6</v>
      </c>
      <c r="M19" s="319">
        <v>455.3</v>
      </c>
      <c r="N19" s="319">
        <v>445.2</v>
      </c>
      <c r="O19" s="319">
        <v>449.2</v>
      </c>
      <c r="P19" s="319">
        <v>444.7</v>
      </c>
      <c r="Q19" s="355">
        <v>434.2</v>
      </c>
      <c r="R19" s="63">
        <v>397.8</v>
      </c>
      <c r="S19" s="63">
        <v>311</v>
      </c>
      <c r="T19" s="63">
        <v>154.6</v>
      </c>
      <c r="U19" s="63">
        <v>154.80000000000001</v>
      </c>
      <c r="V19" s="283">
        <v>307.7</v>
      </c>
      <c r="W19" s="283">
        <v>292</v>
      </c>
      <c r="X19" s="316">
        <v>393.2</v>
      </c>
      <c r="Y19" s="316">
        <v>211.4</v>
      </c>
      <c r="Z19" s="63">
        <v>443.1</v>
      </c>
      <c r="AA19" s="568">
        <v>462.5</v>
      </c>
      <c r="AB19" s="323">
        <v>439.8</v>
      </c>
      <c r="AC19" s="15">
        <v>450.4</v>
      </c>
      <c r="AD19" s="283">
        <v>412.4</v>
      </c>
      <c r="AE19" s="221">
        <v>229.9</v>
      </c>
      <c r="AF19" s="15">
        <v>413.3</v>
      </c>
      <c r="AG19" s="15">
        <v>286.2</v>
      </c>
      <c r="AH19" s="335">
        <f t="shared" si="0"/>
        <v>10812.299999999997</v>
      </c>
      <c r="AI19" s="118">
        <v>80</v>
      </c>
      <c r="AJ19" s="121">
        <f t="shared" si="23"/>
        <v>9.4386574074074078E-3</v>
      </c>
      <c r="AK19" s="67">
        <f t="shared" si="16"/>
        <v>0.22489583333333335</v>
      </c>
      <c r="AL19" s="68">
        <f t="shared" si="29"/>
        <v>0.19067708333333336</v>
      </c>
      <c r="AM19" s="68">
        <f t="shared" si="30"/>
        <v>0.16989583333333333</v>
      </c>
      <c r="AN19" s="68">
        <f t="shared" si="31"/>
        <v>0.15593749999999998</v>
      </c>
      <c r="AO19" s="68">
        <f t="shared" si="32"/>
        <v>0.19369791666666666</v>
      </c>
      <c r="AP19" s="68">
        <f t="shared" si="33"/>
        <v>0.14088541666666668</v>
      </c>
      <c r="AQ19" s="68">
        <f t="shared" si="34"/>
        <v>0.18197916666666666</v>
      </c>
      <c r="AR19" s="68">
        <f>IF(OR(K19="",K19="Sem monitoramento"),"VAZIO",IFERROR(K19/($AI19*24),"-"))</f>
        <v>0.19671875</v>
      </c>
      <c r="AS19" s="68">
        <f>IF(OR(L21="",L21="Sem monitoramento"),"VAZIO",IFERROR(L21/($AI19*24),"-"))</f>
        <v>0.21494791666666666</v>
      </c>
      <c r="AT19" s="68" t="e">
        <f>IF(OR(#REF!="",#REF!="Sem monitoramento"),"VAZIO",IFERROR(#REF!/($AI19*24),"-"))</f>
        <v>#REF!</v>
      </c>
      <c r="AU19" s="68">
        <f>IF(OR(N19="",N19="Sem monitoramento"),"VAZIO",IFERROR(N19/($AI19*24),"-"))</f>
        <v>0.231875</v>
      </c>
      <c r="AV19" s="68">
        <f t="shared" si="35"/>
        <v>0.23395833333333332</v>
      </c>
      <c r="AW19" s="68">
        <f t="shared" si="17"/>
        <v>0.23161458333333332</v>
      </c>
      <c r="AX19" s="68" t="e">
        <f>IF(OR(#REF!="",#REF!="Sem monitoramento"),"VAZIO",IFERROR(#REF!/($AI19*24),"-"))</f>
        <v>#REF!</v>
      </c>
      <c r="AY19" s="68">
        <f>IF(OR(R19="",R19="Sem monitoramento"),"VAZIO",IFERROR(R19/($AI19*24),"-"))</f>
        <v>0.2071875</v>
      </c>
      <c r="AZ19" s="68">
        <f>IF(OR(S19="",S19="Sem monitoramento"),"VAZIO",IFERROR(S19/($AI19*24),"-"))</f>
        <v>0.16197916666666667</v>
      </c>
      <c r="BA19" s="68">
        <f t="shared" si="36"/>
        <v>8.0520833333333333E-2</v>
      </c>
      <c r="BB19" s="68">
        <f t="shared" ref="BB19:BB31" si="37">IF(OR(U19="",U19="Sem monitoramento"),"VAZIO",IFERROR(U19/($AI19*24),"-"))</f>
        <v>8.0625000000000002E-2</v>
      </c>
      <c r="BC19" s="68" t="e">
        <f>IF(OR(#REF!="",#REF!="Sem monitoramento"),"VAZIO",IFERROR(#REF!/($AI19*24),"-"))</f>
        <v>#REF!</v>
      </c>
      <c r="BD19" s="68">
        <f t="shared" si="24"/>
        <v>0.15208333333333332</v>
      </c>
      <c r="BE19" s="68">
        <f>IF(OR(X21="",X21="Sem monitoramento"),"VAZIO",IFERROR(X21/($AI19*24),"-"))</f>
        <v>0.24166666666666667</v>
      </c>
      <c r="BF19" s="68">
        <f>IF(OR(Y17="",Y17="Sem monitoramento"),"VAZIO",IFERROR(Y17/($AI19*24),"-"))</f>
        <v>0.15869791666666666</v>
      </c>
      <c r="BG19" s="68">
        <f t="shared" ref="BG19:BG24" si="38">IF(OR(Z19="",Z19="Sem monitoramento"),"VAZIO",IFERROR(Z19/($AI19*24),"-"))</f>
        <v>0.23078125000000002</v>
      </c>
      <c r="BH19" s="68">
        <f t="shared" si="27"/>
        <v>0.24088541666666666</v>
      </c>
      <c r="BI19" s="68">
        <f t="shared" si="22"/>
        <v>0.2290625</v>
      </c>
      <c r="BJ19" s="68">
        <f t="shared" si="20"/>
        <v>0.23458333333333331</v>
      </c>
      <c r="BK19" s="68">
        <f t="shared" si="10"/>
        <v>0.21479166666666666</v>
      </c>
      <c r="BL19" s="68">
        <f t="shared" si="11"/>
        <v>0.11973958333333333</v>
      </c>
      <c r="BM19" s="68">
        <f t="shared" si="12"/>
        <v>0.21526041666666668</v>
      </c>
      <c r="BN19" s="68">
        <f t="shared" si="21"/>
        <v>0.14906249999999999</v>
      </c>
      <c r="BO19" s="70">
        <f t="shared" si="6"/>
        <v>0.18771354166666662</v>
      </c>
      <c r="BP19" s="180">
        <f>'FCs estimados em PVsyst'!Y17</f>
        <v>0.168125</v>
      </c>
      <c r="BQ19" s="72">
        <f t="shared" si="25"/>
        <v>13.45</v>
      </c>
      <c r="BR19" s="73">
        <f t="shared" si="26"/>
        <v>1.7708333333333326E-3</v>
      </c>
      <c r="BS19" s="74">
        <f t="shared" si="9"/>
        <v>1.9588541666666626E-2</v>
      </c>
      <c r="BT19" s="15" t="s">
        <v>24</v>
      </c>
      <c r="BU19" s="3"/>
      <c r="BV19" s="2"/>
      <c r="BW19" s="2"/>
    </row>
    <row r="20" spans="2:75" x14ac:dyDescent="0.3">
      <c r="B20" s="775"/>
      <c r="C20" s="326" t="s">
        <v>25</v>
      </c>
      <c r="D20" s="223">
        <v>529.5</v>
      </c>
      <c r="E20" s="63">
        <v>496.5</v>
      </c>
      <c r="F20" s="63">
        <v>421</v>
      </c>
      <c r="G20" s="63">
        <v>367.6</v>
      </c>
      <c r="H20" s="283">
        <v>493.1</v>
      </c>
      <c r="I20" s="63">
        <v>247.8</v>
      </c>
      <c r="J20" s="283">
        <v>459.1</v>
      </c>
      <c r="K20" s="316">
        <v>490.7</v>
      </c>
      <c r="L20" s="63">
        <v>542.79999999999995</v>
      </c>
      <c r="M20" s="319">
        <v>578.20000000000005</v>
      </c>
      <c r="N20" s="511">
        <v>572.22</v>
      </c>
      <c r="O20" s="319">
        <v>576.20000000000005</v>
      </c>
      <c r="P20" s="319">
        <v>570.5</v>
      </c>
      <c r="Q20" s="355">
        <v>559.29999999999995</v>
      </c>
      <c r="R20" s="316">
        <v>513.79999999999995</v>
      </c>
      <c r="S20" s="63">
        <v>403.5</v>
      </c>
      <c r="T20" s="63">
        <v>199.6</v>
      </c>
      <c r="U20" s="63">
        <v>199</v>
      </c>
      <c r="V20" s="519">
        <v>386.1</v>
      </c>
      <c r="W20" s="283">
        <v>366.9</v>
      </c>
      <c r="X20" s="283">
        <v>529.9</v>
      </c>
      <c r="Y20" s="63">
        <v>268.7</v>
      </c>
      <c r="Z20" s="316">
        <v>580.79999999999995</v>
      </c>
      <c r="AA20" s="568">
        <v>595.9</v>
      </c>
      <c r="AB20" s="323">
        <v>545.9</v>
      </c>
      <c r="AC20" s="283">
        <v>579.20000000000005</v>
      </c>
      <c r="AD20" s="283">
        <v>559.20000000000005</v>
      </c>
      <c r="AE20" s="283">
        <v>302.5</v>
      </c>
      <c r="AF20" s="283">
        <v>522.29999999999995</v>
      </c>
      <c r="AG20" s="221">
        <v>353.4</v>
      </c>
      <c r="AH20" s="335">
        <f t="shared" si="0"/>
        <v>13811.22</v>
      </c>
      <c r="AI20" s="118">
        <v>100</v>
      </c>
      <c r="AJ20" s="121">
        <f t="shared" si="23"/>
        <v>9.7453703703703695E-3</v>
      </c>
      <c r="AK20" s="67">
        <f t="shared" si="16"/>
        <v>0.22062499999999999</v>
      </c>
      <c r="AL20" s="68">
        <f t="shared" si="29"/>
        <v>0.206875</v>
      </c>
      <c r="AM20" s="68">
        <f t="shared" si="30"/>
        <v>0.17541666666666667</v>
      </c>
      <c r="AN20" s="68">
        <f t="shared" si="31"/>
        <v>0.15316666666666667</v>
      </c>
      <c r="AO20" s="68">
        <f t="shared" si="32"/>
        <v>0.20545833333333335</v>
      </c>
      <c r="AP20" s="68">
        <f t="shared" si="33"/>
        <v>0.10325000000000001</v>
      </c>
      <c r="AQ20" s="68">
        <f t="shared" si="34"/>
        <v>0.19129166666666667</v>
      </c>
      <c r="AR20" s="68">
        <f>IF(OR(K17="",K17="Sem monitoramento"),"VAZIO",IFERROR(K17/($AI20*24),"-"))</f>
        <v>0.20829166666666665</v>
      </c>
      <c r="AS20" s="68">
        <f>IF(OR(L20="",L20="Sem monitoramento"),"VAZIO",IFERROR(L20/($AI20*24),"-"))</f>
        <v>0.22616666666666665</v>
      </c>
      <c r="AT20" s="68">
        <f>IF(OR(M20="",M20="Sem monitoramento"),"VAZIO",IFERROR(M20/($AI20*24),"-"))</f>
        <v>0.2409166666666667</v>
      </c>
      <c r="AU20" s="68">
        <f>IF(OR(N21="",N21="Sem monitoramento"),"VAZIO",IFERROR(N21/($AI20*24),"-"))</f>
        <v>0.18295833333333333</v>
      </c>
      <c r="AV20" s="68">
        <f t="shared" si="35"/>
        <v>0.24008333333333334</v>
      </c>
      <c r="AW20" s="68">
        <f t="shared" si="17"/>
        <v>0.23770833333333333</v>
      </c>
      <c r="AX20" s="68">
        <f t="shared" ref="AX20:AX31" si="39">IF(OR(Q20="",Q20="Sem monitoramento"),"VAZIO",IFERROR(Q20/($AI20*24),"-"))</f>
        <v>0.23304166666666665</v>
      </c>
      <c r="AY20" s="68">
        <f>IF(OR(R18="",R18="Sem monitoramento"),"VAZIO",IFERROR(R18/($AI20*24),"-"))</f>
        <v>0.21520833333333333</v>
      </c>
      <c r="AZ20" s="68">
        <f>IF(OR(S21="",S21="Sem monitoramento"),"VAZIO",IFERROR(S21/($AI20*24),"-"))</f>
        <v>0.12608333333333335</v>
      </c>
      <c r="BA20" s="68">
        <f t="shared" si="36"/>
        <v>8.3166666666666667E-2</v>
      </c>
      <c r="BB20" s="68">
        <f t="shared" si="37"/>
        <v>8.2916666666666666E-2</v>
      </c>
      <c r="BC20" s="68">
        <f>IF(OR(V19="",V19="Sem monitoramento"),"VAZIO",IFERROR(V19/($AI20*24),"-"))</f>
        <v>0.12820833333333334</v>
      </c>
      <c r="BD20" s="68">
        <f t="shared" si="24"/>
        <v>0.15287499999999998</v>
      </c>
      <c r="BE20" s="68">
        <f>IF(OR(X22="",X22="Sem monitoramento"),"VAZIO",IFERROR(X22/($AI20*24),"-"))</f>
        <v>0.19362499999999999</v>
      </c>
      <c r="BF20" s="68">
        <f>IF(OR(Y18="",Y18="Sem monitoramento"),"VAZIO",IFERROR(Y18/($AI20*24),"-"))</f>
        <v>0.1265</v>
      </c>
      <c r="BG20" s="68">
        <f t="shared" si="38"/>
        <v>0.24199999999999999</v>
      </c>
      <c r="BH20" s="68">
        <f t="shared" si="27"/>
        <v>0.24829166666666666</v>
      </c>
      <c r="BI20" s="68">
        <f t="shared" si="22"/>
        <v>0.22745833333333332</v>
      </c>
      <c r="BJ20" s="68">
        <f t="shared" si="20"/>
        <v>0.24133333333333334</v>
      </c>
      <c r="BK20" s="68">
        <f>IF(OR(AD21="",AD21="Sem monitoramento"),"VAZIO",IFERROR(AD21/($AI20*24),"-"))</f>
        <v>0.20420833333333335</v>
      </c>
      <c r="BL20" s="68">
        <f t="shared" ref="BL20:BL31" si="40">IF(OR(AE20="",AE20="Sem monitoramento"),"VAZIO",IFERROR(AE20/($AI20*24),"-"))</f>
        <v>0.12604166666666666</v>
      </c>
      <c r="BM20" s="68">
        <f t="shared" ref="BM20:BM31" si="41">IF(OR(AF20="",AF20="Sem monitoramento"),"VAZIO",IFERROR(AF20/($AI20*24),"-"))</f>
        <v>0.21762499999999999</v>
      </c>
      <c r="BN20" s="68">
        <f t="shared" si="21"/>
        <v>0.14724999999999999</v>
      </c>
      <c r="BO20" s="70">
        <f t="shared" si="6"/>
        <v>0.19182249999999998</v>
      </c>
      <c r="BP20" s="198">
        <f t="shared" ref="BP20:BP30" si="42">$BP$19</f>
        <v>0.168125</v>
      </c>
      <c r="BQ20" s="72">
        <f t="shared" si="25"/>
        <v>16.8125</v>
      </c>
      <c r="BR20" s="73">
        <f t="shared" si="26"/>
        <v>7.2916666666666685E-3</v>
      </c>
      <c r="BS20" s="74">
        <f t="shared" si="9"/>
        <v>2.3697499999999982E-2</v>
      </c>
      <c r="BT20" s="15" t="s">
        <v>25</v>
      </c>
      <c r="BU20" s="3"/>
      <c r="BV20" s="2"/>
      <c r="BW20" s="2"/>
    </row>
    <row r="21" spans="2:75" x14ac:dyDescent="0.3">
      <c r="B21" s="775"/>
      <c r="C21" s="326" t="s">
        <v>26</v>
      </c>
      <c r="D21" s="223">
        <v>411.3</v>
      </c>
      <c r="E21" s="283">
        <v>367.7</v>
      </c>
      <c r="F21" s="283">
        <v>309</v>
      </c>
      <c r="G21" s="283">
        <v>268.5</v>
      </c>
      <c r="H21" s="283">
        <v>363.6</v>
      </c>
      <c r="I21" s="63">
        <v>182.2</v>
      </c>
      <c r="J21" s="283">
        <v>338.3</v>
      </c>
      <c r="K21" s="63">
        <v>360.5</v>
      </c>
      <c r="L21" s="283">
        <v>412.7</v>
      </c>
      <c r="M21" s="511">
        <v>444.9</v>
      </c>
      <c r="N21" s="319">
        <v>439.1</v>
      </c>
      <c r="O21" s="319">
        <v>443.8</v>
      </c>
      <c r="P21" s="319">
        <v>435.5</v>
      </c>
      <c r="Q21" s="355">
        <v>426.4</v>
      </c>
      <c r="R21" s="63">
        <v>385.9</v>
      </c>
      <c r="S21" s="63">
        <v>302.60000000000002</v>
      </c>
      <c r="T21" s="283">
        <v>148.9</v>
      </c>
      <c r="U21" s="283">
        <v>146.6</v>
      </c>
      <c r="V21" s="283">
        <v>299.60000000000002</v>
      </c>
      <c r="W21" s="283">
        <v>299.2</v>
      </c>
      <c r="X21" s="283">
        <v>464</v>
      </c>
      <c r="Y21" s="283">
        <v>220.3</v>
      </c>
      <c r="Z21" s="63">
        <v>529.4</v>
      </c>
      <c r="AA21" s="580">
        <v>539.6</v>
      </c>
      <c r="AB21" s="323">
        <v>494.5</v>
      </c>
      <c r="AC21" s="221">
        <v>522.20000000000005</v>
      </c>
      <c r="AD21" s="283">
        <v>490.1</v>
      </c>
      <c r="AE21" s="221">
        <v>254.5</v>
      </c>
      <c r="AF21" s="221">
        <v>462</v>
      </c>
      <c r="AG21" s="221">
        <v>300.39999999999998</v>
      </c>
      <c r="AH21" s="335">
        <f t="shared" si="0"/>
        <v>11063.3</v>
      </c>
      <c r="AI21" s="118">
        <v>100</v>
      </c>
      <c r="AJ21" s="121">
        <f t="shared" si="23"/>
        <v>7.1527777777777779E-3</v>
      </c>
      <c r="AK21" s="67">
        <f t="shared" si="16"/>
        <v>0.171375</v>
      </c>
      <c r="AL21" s="68">
        <f t="shared" si="29"/>
        <v>0.15320833333333334</v>
      </c>
      <c r="AM21" s="68">
        <f t="shared" si="30"/>
        <v>0.12875</v>
      </c>
      <c r="AN21" s="68">
        <f t="shared" si="31"/>
        <v>0.111875</v>
      </c>
      <c r="AO21" s="68">
        <f t="shared" si="32"/>
        <v>0.1515</v>
      </c>
      <c r="AP21" s="68">
        <f t="shared" si="33"/>
        <v>7.591666666666666E-2</v>
      </c>
      <c r="AQ21" s="68">
        <f t="shared" si="34"/>
        <v>0.14095833333333332</v>
      </c>
      <c r="AR21" s="68">
        <f t="shared" ref="AR21:AR31" si="43">IF(OR(K21="",K21="Sem monitoramento"),"VAZIO",IFERROR(K21/($AI21*24),"-"))</f>
        <v>0.15020833333333333</v>
      </c>
      <c r="AS21" s="68">
        <f t="shared" ref="AS21:AS31" si="44">IF(OR(L21="",L21="Sem monitoramento"),"VAZIO",IFERROR(L21/($AI21*24),"-"))</f>
        <v>0.17195833333333332</v>
      </c>
      <c r="AT21" s="68">
        <f>IF(OR(M19="",M19="Sem monitoramento"),"VAZIO",IFERROR(M19/($AI21*24),"-"))</f>
        <v>0.18970833333333334</v>
      </c>
      <c r="AU21" s="68">
        <f>IF(OR(N22="",N22="Sem monitoramento"),"VAZIO",IFERROR(N22/($AI21*24),"-"))</f>
        <v>0.23762499999999998</v>
      </c>
      <c r="AV21" s="68">
        <f t="shared" si="35"/>
        <v>0.18491666666666667</v>
      </c>
      <c r="AW21" s="68">
        <f t="shared" si="17"/>
        <v>0.18145833333333333</v>
      </c>
      <c r="AX21" s="68">
        <f t="shared" si="39"/>
        <v>0.17766666666666667</v>
      </c>
      <c r="AY21" s="68">
        <f t="shared" ref="AY21:AY31" si="45">IF(OR(R21="",R21="Sem monitoramento"),"VAZIO",IFERROR(R21/($AI21*24),"-"))</f>
        <v>0.16079166666666667</v>
      </c>
      <c r="AZ21" s="68">
        <f>IF(OR(S22="",S22="Sem monitoramento"),"VAZIO",IFERROR(S22/($AI21*24),"-"))</f>
        <v>0.13875000000000001</v>
      </c>
      <c r="BA21" s="68">
        <f t="shared" si="36"/>
        <v>6.2041666666666669E-2</v>
      </c>
      <c r="BB21" s="68">
        <f t="shared" si="37"/>
        <v>6.108333333333333E-2</v>
      </c>
      <c r="BC21" s="68">
        <f>IF(OR(V21="",V21="Sem monitoramento"),"VAZIO",IFERROR(V21/($AI21*24),"-"))</f>
        <v>0.12483333333333334</v>
      </c>
      <c r="BD21" s="68">
        <f t="shared" si="24"/>
        <v>0.12466666666666666</v>
      </c>
      <c r="BE21" s="68">
        <f>IF(OR(X23="",X23="Sem monitoramento"),"VAZIO",IFERROR(X23/($AI21*24),"-"))</f>
        <v>0.17091666666666666</v>
      </c>
      <c r="BF21" s="68">
        <f t="shared" ref="BF21:BF31" si="46">IF(OR(Y21="",Y21="Sem monitoramento"),"VAZIO",IFERROR(Y21/($AI21*24),"-"))</f>
        <v>9.1791666666666674E-2</v>
      </c>
      <c r="BG21" s="68">
        <f t="shared" si="38"/>
        <v>0.22058333333333333</v>
      </c>
      <c r="BH21" s="68">
        <f t="shared" si="27"/>
        <v>0.22483333333333333</v>
      </c>
      <c r="BI21" s="68">
        <f>IF(OR(AB20="",AB20="Sem monitoramento"),"VAZIO",IFERROR(AB20/($AI21*24),"-"))</f>
        <v>0.22745833333333332</v>
      </c>
      <c r="BJ21" s="68">
        <f t="shared" si="20"/>
        <v>0.21758333333333335</v>
      </c>
      <c r="BK21" s="68" t="e">
        <f>IF(OR(#REF!="",#REF!="Sem monitoramento"),"VAZIO",IFERROR(#REF!/($AI21*24),"-"))</f>
        <v>#REF!</v>
      </c>
      <c r="BL21" s="68">
        <f t="shared" si="40"/>
        <v>0.10604166666666667</v>
      </c>
      <c r="BM21" s="68">
        <f t="shared" si="41"/>
        <v>0.1925</v>
      </c>
      <c r="BN21" s="68">
        <f t="shared" si="21"/>
        <v>0.12516666666666665</v>
      </c>
      <c r="BO21" s="70">
        <f t="shared" si="6"/>
        <v>0.15365694444444444</v>
      </c>
      <c r="BP21" s="198">
        <f t="shared" si="42"/>
        <v>0.168125</v>
      </c>
      <c r="BQ21" s="72">
        <f t="shared" si="25"/>
        <v>16.8125</v>
      </c>
      <c r="BR21" s="73">
        <f t="shared" si="26"/>
        <v>-3.9374999999999993E-2</v>
      </c>
      <c r="BS21" s="74">
        <f t="shared" si="9"/>
        <v>-1.4468055555555553E-2</v>
      </c>
      <c r="BT21" s="15" t="s">
        <v>26</v>
      </c>
      <c r="BU21" s="3"/>
      <c r="BV21" s="2"/>
      <c r="BW21" s="2"/>
    </row>
    <row r="22" spans="2:75" x14ac:dyDescent="0.3">
      <c r="B22" s="775"/>
      <c r="C22" s="326" t="s">
        <v>28</v>
      </c>
      <c r="D22" s="610">
        <v>552.79999999999995</v>
      </c>
      <c r="E22" s="63">
        <v>481.9</v>
      </c>
      <c r="F22" s="63">
        <v>390.6</v>
      </c>
      <c r="G22" s="63">
        <v>500.1</v>
      </c>
      <c r="H22" s="283">
        <v>480.1</v>
      </c>
      <c r="I22" s="63">
        <v>322.60000000000002</v>
      </c>
      <c r="J22" s="63">
        <v>443.4</v>
      </c>
      <c r="K22" s="63">
        <v>471</v>
      </c>
      <c r="L22" s="319">
        <v>556.6</v>
      </c>
      <c r="M22" s="319">
        <v>578.9</v>
      </c>
      <c r="N22" s="319">
        <v>570.29999999999995</v>
      </c>
      <c r="O22" s="355">
        <v>573.70000000000005</v>
      </c>
      <c r="P22" s="319">
        <v>569.20000000000005</v>
      </c>
      <c r="Q22" s="283">
        <v>541</v>
      </c>
      <c r="R22" s="283">
        <v>511.9</v>
      </c>
      <c r="S22" s="283">
        <v>333</v>
      </c>
      <c r="T22" s="63">
        <v>184.3</v>
      </c>
      <c r="U22" s="63">
        <v>179.6</v>
      </c>
      <c r="V22" s="63">
        <v>401</v>
      </c>
      <c r="W22" s="283">
        <v>389.1</v>
      </c>
      <c r="X22" s="63">
        <v>464.7</v>
      </c>
      <c r="Y22" s="63">
        <v>345.8</v>
      </c>
      <c r="Z22" s="15">
        <v>578.79999999999995</v>
      </c>
      <c r="AA22" s="568">
        <v>589</v>
      </c>
      <c r="AB22" s="526">
        <v>588.29999999999995</v>
      </c>
      <c r="AC22" s="193">
        <v>585.70000000000005</v>
      </c>
      <c r="AD22" s="221">
        <v>495.8</v>
      </c>
      <c r="AE22" s="15">
        <v>335.3</v>
      </c>
      <c r="AF22" s="15">
        <v>516.70000000000005</v>
      </c>
      <c r="AG22" s="148">
        <v>417.1</v>
      </c>
      <c r="AH22" s="335">
        <f t="shared" si="0"/>
        <v>13948.299999999997</v>
      </c>
      <c r="AI22" s="118">
        <v>100</v>
      </c>
      <c r="AJ22" s="121">
        <f t="shared" si="23"/>
        <v>9.0416666666666666E-3</v>
      </c>
      <c r="AK22" s="67">
        <f t="shared" si="16"/>
        <v>0.23033333333333331</v>
      </c>
      <c r="AL22" s="68">
        <f t="shared" si="29"/>
        <v>0.20079166666666665</v>
      </c>
      <c r="AM22" s="68">
        <f t="shared" si="30"/>
        <v>0.16275000000000001</v>
      </c>
      <c r="AN22" s="68">
        <f t="shared" si="31"/>
        <v>0.208375</v>
      </c>
      <c r="AO22" s="68">
        <f t="shared" si="32"/>
        <v>0.20004166666666667</v>
      </c>
      <c r="AP22" s="68">
        <f t="shared" si="33"/>
        <v>0.13441666666666668</v>
      </c>
      <c r="AQ22" s="68">
        <f t="shared" si="34"/>
        <v>0.18475</v>
      </c>
      <c r="AR22" s="68">
        <f t="shared" si="43"/>
        <v>0.19625000000000001</v>
      </c>
      <c r="AS22" s="68">
        <f t="shared" si="44"/>
        <v>0.23191666666666669</v>
      </c>
      <c r="AT22" s="68" t="e">
        <f>IF(OR(#REF!="",#REF!="Sem monitoramento"),"VAZIO",IFERROR(#REF!/($AI22*24),"-"))</f>
        <v>#REF!</v>
      </c>
      <c r="AU22" s="68">
        <f>IF(OR(N22="",N22="Sem monitoramento"),"VAZIO",IFERROR(N22/($AI22*24),"-"))</f>
        <v>0.23762499999999998</v>
      </c>
      <c r="AV22" s="68">
        <f t="shared" si="35"/>
        <v>0.23904166666666668</v>
      </c>
      <c r="AW22" s="68">
        <f t="shared" si="17"/>
        <v>0.23716666666666669</v>
      </c>
      <c r="AX22" s="68">
        <f t="shared" si="39"/>
        <v>0.22541666666666665</v>
      </c>
      <c r="AY22" s="68">
        <f t="shared" si="45"/>
        <v>0.21329166666666666</v>
      </c>
      <c r="AZ22" s="68">
        <f t="shared" ref="AZ22:AZ31" si="47">IF(OR(S22="",S22="Sem monitoramento"),"VAZIO",IFERROR(S22/($AI22*24),"-"))</f>
        <v>0.13875000000000001</v>
      </c>
      <c r="BA22" s="68">
        <f t="shared" si="36"/>
        <v>7.6791666666666675E-2</v>
      </c>
      <c r="BB22" s="68">
        <f t="shared" si="37"/>
        <v>7.4833333333333335E-2</v>
      </c>
      <c r="BC22" s="68">
        <f>IF(OR(V22="",V22="Sem monitoramento"),"VAZIO",IFERROR(V22/($AI22*24),"-"))</f>
        <v>0.16708333333333333</v>
      </c>
      <c r="BD22" s="68">
        <f t="shared" si="24"/>
        <v>0.16212500000000002</v>
      </c>
      <c r="BE22" s="68">
        <f>IF(OR(X22="",X22="Sem monitoramento"),"VAZIO",IFERROR(X22/($AI22*24),"-"))</f>
        <v>0.19362499999999999</v>
      </c>
      <c r="BF22" s="68">
        <f t="shared" si="46"/>
        <v>0.14408333333333334</v>
      </c>
      <c r="BG22" s="68">
        <f t="shared" si="38"/>
        <v>0.24116666666666664</v>
      </c>
      <c r="BH22" s="68">
        <f t="shared" si="27"/>
        <v>0.24541666666666667</v>
      </c>
      <c r="BI22" s="68">
        <f>IF(OR(AB21="",AB21="Sem monitoramento"),"VAZIO",IFERROR(AB21/($AI22*24),"-"))</f>
        <v>0.20604166666666668</v>
      </c>
      <c r="BJ22" s="68">
        <f t="shared" si="20"/>
        <v>0.24404166666666668</v>
      </c>
      <c r="BK22" s="68">
        <f t="shared" ref="BK22:BK31" si="48">IF(OR(AD22="",AD22="Sem monitoramento"),"VAZIO",IFERROR(AD22/($AI22*24),"-"))</f>
        <v>0.20658333333333334</v>
      </c>
      <c r="BL22" s="68">
        <f t="shared" si="40"/>
        <v>0.13970833333333335</v>
      </c>
      <c r="BM22" s="68">
        <f t="shared" si="41"/>
        <v>0.21529166666666669</v>
      </c>
      <c r="BN22" s="68">
        <f>IF(OR(AG23="",AG23="Sem monitoramento"),"VAZIO",IFERROR(AG23/($AI22*24),"-"))</f>
        <v>0.15404166666666666</v>
      </c>
      <c r="BO22" s="70">
        <f t="shared" si="6"/>
        <v>0.19372638888888885</v>
      </c>
      <c r="BP22" s="198">
        <f t="shared" si="42"/>
        <v>0.168125</v>
      </c>
      <c r="BQ22" s="72">
        <f t="shared" si="25"/>
        <v>16.8125</v>
      </c>
      <c r="BR22" s="73">
        <f t="shared" si="26"/>
        <v>-5.3749999999999909E-3</v>
      </c>
      <c r="BS22" s="74">
        <f t="shared" si="9"/>
        <v>2.5601388888888854E-2</v>
      </c>
      <c r="BT22" s="15" t="s">
        <v>27</v>
      </c>
      <c r="BU22" s="3"/>
      <c r="BV22" s="2"/>
      <c r="BW22" s="2"/>
    </row>
    <row r="23" spans="2:75" x14ac:dyDescent="0.3">
      <c r="B23" s="775"/>
      <c r="C23" s="326" t="s">
        <v>29</v>
      </c>
      <c r="D23" s="611">
        <v>505.2</v>
      </c>
      <c r="E23" s="63">
        <v>425.2</v>
      </c>
      <c r="F23" s="283">
        <v>341.4</v>
      </c>
      <c r="G23" s="63">
        <v>438.6</v>
      </c>
      <c r="H23" s="283">
        <v>421.8</v>
      </c>
      <c r="I23" s="63">
        <v>282.2</v>
      </c>
      <c r="J23" s="63">
        <v>388.5</v>
      </c>
      <c r="K23" s="63">
        <v>412.7</v>
      </c>
      <c r="L23" s="319">
        <v>496.7</v>
      </c>
      <c r="M23" s="511">
        <v>527.6</v>
      </c>
      <c r="N23" s="319">
        <v>515.4</v>
      </c>
      <c r="O23" s="561">
        <v>519.6</v>
      </c>
      <c r="P23" s="319">
        <v>513.79999999999995</v>
      </c>
      <c r="Q23" s="283">
        <v>485.5</v>
      </c>
      <c r="R23" s="63">
        <v>447.7</v>
      </c>
      <c r="S23" s="63">
        <v>293.2</v>
      </c>
      <c r="T23" s="63">
        <v>160.6</v>
      </c>
      <c r="U23" s="63">
        <v>156.19999999999999</v>
      </c>
      <c r="V23" s="63">
        <v>352.8</v>
      </c>
      <c r="W23" s="519">
        <v>339.1</v>
      </c>
      <c r="X23" s="63">
        <v>410.2</v>
      </c>
      <c r="Y23" s="63">
        <v>302.10000000000002</v>
      </c>
      <c r="Z23" s="15">
        <v>526.5</v>
      </c>
      <c r="AA23" s="568">
        <v>536.6</v>
      </c>
      <c r="AB23" s="526">
        <v>535.5</v>
      </c>
      <c r="AC23" s="193">
        <v>531.29999999999995</v>
      </c>
      <c r="AD23" s="15">
        <v>442</v>
      </c>
      <c r="AE23" s="15">
        <v>292.39999999999998</v>
      </c>
      <c r="AF23" s="15">
        <v>472.2</v>
      </c>
      <c r="AG23" s="15">
        <v>369.7</v>
      </c>
      <c r="AH23" s="335">
        <f t="shared" si="0"/>
        <v>12442.300000000001</v>
      </c>
      <c r="AI23" s="118">
        <v>100</v>
      </c>
      <c r="AJ23" s="121">
        <f t="shared" si="23"/>
        <v>7.9027777777777777E-3</v>
      </c>
      <c r="AK23" s="67">
        <f t="shared" si="16"/>
        <v>0.21049999999999999</v>
      </c>
      <c r="AL23" s="68">
        <f t="shared" si="29"/>
        <v>0.17716666666666667</v>
      </c>
      <c r="AM23" s="68">
        <f t="shared" si="30"/>
        <v>0.14224999999999999</v>
      </c>
      <c r="AN23" s="68">
        <f t="shared" si="31"/>
        <v>0.18275</v>
      </c>
      <c r="AO23" s="68">
        <f t="shared" si="32"/>
        <v>0.17575000000000002</v>
      </c>
      <c r="AP23" s="68">
        <f t="shared" si="33"/>
        <v>0.11758333333333333</v>
      </c>
      <c r="AQ23" s="68">
        <f t="shared" si="34"/>
        <v>0.16187499999999999</v>
      </c>
      <c r="AR23" s="68">
        <f t="shared" si="43"/>
        <v>0.17195833333333332</v>
      </c>
      <c r="AS23" s="68">
        <f t="shared" si="44"/>
        <v>0.20695833333333333</v>
      </c>
      <c r="AT23" s="68">
        <f>IF(OR(M22="",M22="Sem monitoramento"),"VAZIO",IFERROR(M22/($AI23*24),"-"))</f>
        <v>0.24120833333333333</v>
      </c>
      <c r="AU23" s="68">
        <f>IF(OR(N23="",N23="Sem monitoramento"),"VAZIO",IFERROR(N23/($AI23*24),"-"))</f>
        <v>0.21475</v>
      </c>
      <c r="AV23" s="68">
        <f>IF(OR(O20="",O20="Sem monitoramento"),"VAZIO",IFERROR(O20/($AI23*24),"-"))</f>
        <v>0.24008333333333334</v>
      </c>
      <c r="AW23" s="68">
        <f t="shared" si="17"/>
        <v>0.21408333333333332</v>
      </c>
      <c r="AX23" s="68">
        <f t="shared" si="39"/>
        <v>0.20229166666666668</v>
      </c>
      <c r="AY23" s="68">
        <f t="shared" si="45"/>
        <v>0.18654166666666666</v>
      </c>
      <c r="AZ23" s="68">
        <f t="shared" si="47"/>
        <v>0.12216666666666666</v>
      </c>
      <c r="BA23" s="68">
        <f t="shared" si="36"/>
        <v>6.6916666666666666E-2</v>
      </c>
      <c r="BB23" s="68">
        <f t="shared" si="37"/>
        <v>6.5083333333333326E-2</v>
      </c>
      <c r="BC23" s="68">
        <f>IF(OR(V23="",V23="Sem monitoramento"),"VAZIO",IFERROR(V23/($AI23*24),"-"))</f>
        <v>0.14699999999999999</v>
      </c>
      <c r="BD23" s="68">
        <f>IF(OR(W24="",W24="Sem monitoramento"),"VAZIO",IFERROR(W24/($AI23*24),"-"))</f>
        <v>0.56433333333333335</v>
      </c>
      <c r="BE23" s="68">
        <f>IF(OR(X23="",X23="Sem monitoramento"),"VAZIO",IFERROR(X23/($AI23*24),"-"))</f>
        <v>0.17091666666666666</v>
      </c>
      <c r="BF23" s="68">
        <f t="shared" si="46"/>
        <v>0.12587500000000001</v>
      </c>
      <c r="BG23" s="68">
        <f t="shared" si="38"/>
        <v>0.21937499999999999</v>
      </c>
      <c r="BH23" s="68">
        <f t="shared" si="27"/>
        <v>0.22358333333333336</v>
      </c>
      <c r="BI23" s="68">
        <f t="shared" ref="BI23:BI31" si="49">IF(OR(AB23="",AB23="Sem monitoramento"),"VAZIO",IFERROR(AB23/($AI23*24),"-"))</f>
        <v>0.22312499999999999</v>
      </c>
      <c r="BJ23" s="68">
        <f t="shared" si="20"/>
        <v>0.22137499999999999</v>
      </c>
      <c r="BK23" s="68">
        <f t="shared" si="48"/>
        <v>0.18416666666666667</v>
      </c>
      <c r="BL23" s="68">
        <f t="shared" si="40"/>
        <v>0.12183333333333332</v>
      </c>
      <c r="BM23" s="68">
        <f t="shared" si="41"/>
        <v>0.19675000000000001</v>
      </c>
      <c r="BN23" s="68" t="e">
        <f>IF(OR(#REF!="",#REF!="Sem monitoramento"),"VAZIO",IFERROR(#REF!/($AI23*24),"-"))</f>
        <v>#REF!</v>
      </c>
      <c r="BO23" s="70">
        <f t="shared" si="6"/>
        <v>0.17280972222222224</v>
      </c>
      <c r="BP23" s="198">
        <f t="shared" si="42"/>
        <v>0.168125</v>
      </c>
      <c r="BQ23" s="72">
        <f t="shared" si="25"/>
        <v>16.8125</v>
      </c>
      <c r="BR23" s="73">
        <f t="shared" si="26"/>
        <v>-2.5875000000000009E-2</v>
      </c>
      <c r="BS23" s="74">
        <f t="shared" si="9"/>
        <v>4.6847222222222429E-3</v>
      </c>
      <c r="BT23" s="15" t="s">
        <v>28</v>
      </c>
      <c r="BU23" s="3"/>
      <c r="BV23" s="2"/>
      <c r="BW23" s="2"/>
    </row>
    <row r="24" spans="2:75" x14ac:dyDescent="0.3">
      <c r="B24" s="775"/>
      <c r="C24" s="326" t="s">
        <v>30</v>
      </c>
      <c r="D24" s="611">
        <f>698+540.4+715.8</f>
        <v>1954.2</v>
      </c>
      <c r="E24" s="63">
        <v>1687.6</v>
      </c>
      <c r="F24" s="63">
        <v>1361.4</v>
      </c>
      <c r="G24" s="63">
        <v>1738.9</v>
      </c>
      <c r="H24" s="283">
        <v>1675.3</v>
      </c>
      <c r="I24" s="63">
        <f>413.7+304+402.4</f>
        <v>1120.0999999999999</v>
      </c>
      <c r="J24" s="63">
        <f>571.5+420.5+553.2</f>
        <v>1545.2</v>
      </c>
      <c r="K24" s="63">
        <v>1641.9</v>
      </c>
      <c r="L24" s="319">
        <v>1944.3</v>
      </c>
      <c r="M24" s="319">
        <v>2077.3000000000002</v>
      </c>
      <c r="N24" s="355">
        <v>1982.8</v>
      </c>
      <c r="O24" s="355">
        <v>2046.8</v>
      </c>
      <c r="P24" s="355">
        <v>1989.6</v>
      </c>
      <c r="Q24" s="283">
        <v>1919.2</v>
      </c>
      <c r="R24" s="63">
        <v>1777.7</v>
      </c>
      <c r="S24" s="63">
        <v>1165.9000000000001</v>
      </c>
      <c r="T24" s="63">
        <v>638.5</v>
      </c>
      <c r="U24" s="63">
        <v>194.4</v>
      </c>
      <c r="V24" s="31">
        <v>1403.7</v>
      </c>
      <c r="W24" s="283">
        <f>499.7+370.3+484.4</f>
        <v>1354.4</v>
      </c>
      <c r="X24" s="316">
        <f>557.6+440.9+584.1</f>
        <v>1582.6</v>
      </c>
      <c r="Y24" s="63">
        <v>1193.7</v>
      </c>
      <c r="Z24" s="15">
        <v>2031.9</v>
      </c>
      <c r="AA24" s="568">
        <v>2053.8000000000002</v>
      </c>
      <c r="AB24" s="387">
        <v>2049.5</v>
      </c>
      <c r="AC24" s="388">
        <v>2035.7</v>
      </c>
      <c r="AD24" s="15">
        <f>610.3+475.2+630.3</f>
        <v>1715.8</v>
      </c>
      <c r="AE24" s="15">
        <v>1167.3</v>
      </c>
      <c r="AF24" s="15">
        <v>1860.4</v>
      </c>
      <c r="AG24" s="15">
        <v>1473.7</v>
      </c>
      <c r="AH24" s="335">
        <f t="shared" si="0"/>
        <v>48383.600000000006</v>
      </c>
      <c r="AI24" s="118">
        <v>383</v>
      </c>
      <c r="AJ24" s="121">
        <f t="shared" si="23"/>
        <v>8.228169422686395E-3</v>
      </c>
      <c r="AK24" s="67">
        <f t="shared" si="16"/>
        <v>0.21259791122715405</v>
      </c>
      <c r="AL24" s="68">
        <f t="shared" si="29"/>
        <v>0.18359442993907746</v>
      </c>
      <c r="AM24" s="68">
        <f t="shared" si="30"/>
        <v>0.14810704960835511</v>
      </c>
      <c r="AN24" s="68">
        <f t="shared" si="31"/>
        <v>0.18917536988685815</v>
      </c>
      <c r="AO24" s="68">
        <f t="shared" si="32"/>
        <v>0.18225630983463881</v>
      </c>
      <c r="AP24" s="68">
        <f t="shared" si="33"/>
        <v>0.12185596170583114</v>
      </c>
      <c r="AQ24" s="68">
        <f t="shared" si="34"/>
        <v>0.16810269799825936</v>
      </c>
      <c r="AR24" s="68">
        <f t="shared" si="43"/>
        <v>0.17862271540469976</v>
      </c>
      <c r="AS24" s="68">
        <f t="shared" si="44"/>
        <v>0.21152088772845953</v>
      </c>
      <c r="AT24" s="68">
        <f t="shared" ref="AT24:AT31" si="50">IF(OR(M24="",M24="Sem monitoramento"),"VAZIO",IFERROR(M24/($AI24*24),"-"))</f>
        <v>0.22598999129677982</v>
      </c>
      <c r="AU24" s="68">
        <f>IF(OR(N24="",N24="Sem monitoramento"),"VAZIO",IFERROR(N24/($AI24*24),"-"))</f>
        <v>0.21570931244560487</v>
      </c>
      <c r="AV24" s="68">
        <f t="shared" ref="AV24:AV31" si="51">IF(OR(O24="",O24="Sem monitoramento"),"VAZIO",IFERROR(O24/($AI24*24),"-"))</f>
        <v>0.22267188859878154</v>
      </c>
      <c r="AW24" s="68">
        <f t="shared" si="17"/>
        <v>0.21644908616187988</v>
      </c>
      <c r="AX24" s="68">
        <f t="shared" si="39"/>
        <v>0.20879025239338556</v>
      </c>
      <c r="AY24" s="68">
        <f t="shared" si="45"/>
        <v>0.19339643167972151</v>
      </c>
      <c r="AZ24" s="68">
        <f t="shared" si="47"/>
        <v>0.12683855526544824</v>
      </c>
      <c r="BA24" s="68">
        <f t="shared" si="36"/>
        <v>6.9462576153176678E-2</v>
      </c>
      <c r="BB24" s="68">
        <f t="shared" si="37"/>
        <v>2.1148825065274154E-2</v>
      </c>
      <c r="BC24" s="68" t="e">
        <f>IF(OR(#REF!="",#REF!="Sem monitoramento"),"VAZIO",IFERROR(#REF!/($AI24*24),"-"))</f>
        <v>#REF!</v>
      </c>
      <c r="BD24" s="68" t="e">
        <f>IF(OR(#REF!="",#REF!="Sem monitoramento"),"VAZIO",IFERROR(#REF!/($AI24*24),"-"))</f>
        <v>#REF!</v>
      </c>
      <c r="BE24" s="68" t="e">
        <f>IF(OR(#REF!="",#REF!="Sem monitoramento"),"VAZIO",IFERROR(#REF!/($AI24*24),"-"))</f>
        <v>#REF!</v>
      </c>
      <c r="BF24" s="68">
        <f t="shared" si="46"/>
        <v>0.12986292428198434</v>
      </c>
      <c r="BG24" s="68">
        <f t="shared" si="38"/>
        <v>0.22105091383812012</v>
      </c>
      <c r="BH24" s="68">
        <f t="shared" si="27"/>
        <v>0.22343342036553526</v>
      </c>
      <c r="BI24" s="68">
        <f t="shared" si="49"/>
        <v>0.22296562228024369</v>
      </c>
      <c r="BJ24" s="68">
        <f t="shared" si="20"/>
        <v>0.22146431679721498</v>
      </c>
      <c r="BK24" s="68">
        <f t="shared" si="48"/>
        <v>0.18666231505657094</v>
      </c>
      <c r="BL24" s="68">
        <f t="shared" si="40"/>
        <v>0.12699086161879894</v>
      </c>
      <c r="BM24" s="68">
        <f t="shared" si="41"/>
        <v>0.20239338555265449</v>
      </c>
      <c r="BN24" s="68">
        <f>IF(OR(AG24="",AG24="Sem monitoramento"),"VAZIO",IFERROR(AG24/($AI24*24),"-"))</f>
        <v>0.16032419495213229</v>
      </c>
      <c r="BO24" s="70">
        <f t="shared" si="6"/>
        <v>0.17545546852335367</v>
      </c>
      <c r="BP24" s="198">
        <f t="shared" si="42"/>
        <v>0.168125</v>
      </c>
      <c r="BQ24" s="72">
        <f>AI24*BP24</f>
        <v>64.391874999999999</v>
      </c>
      <c r="BR24" s="73">
        <f t="shared" si="26"/>
        <v>-2.001795039164489E-2</v>
      </c>
      <c r="BS24" s="74">
        <f t="shared" si="9"/>
        <v>7.3304685233536726E-3</v>
      </c>
      <c r="BT24" s="15" t="s">
        <v>29</v>
      </c>
      <c r="BU24" s="3"/>
      <c r="BV24" s="2"/>
      <c r="BW24" s="2"/>
    </row>
    <row r="25" spans="2:75" x14ac:dyDescent="0.3">
      <c r="B25" s="775"/>
      <c r="C25" s="326" t="s">
        <v>111</v>
      </c>
      <c r="D25" s="378">
        <v>613.70000000000005</v>
      </c>
      <c r="E25" s="63">
        <v>553.70000000000005</v>
      </c>
      <c r="F25" s="63">
        <v>372.1</v>
      </c>
      <c r="G25" s="63">
        <v>552.4</v>
      </c>
      <c r="H25" s="319">
        <v>530.79999999999995</v>
      </c>
      <c r="I25" s="63">
        <v>200.1</v>
      </c>
      <c r="J25" s="63">
        <v>507.2</v>
      </c>
      <c r="K25" s="63">
        <v>508.5</v>
      </c>
      <c r="L25" s="319">
        <v>600.9</v>
      </c>
      <c r="M25" s="319">
        <v>590.1</v>
      </c>
      <c r="N25" s="319">
        <v>602.1</v>
      </c>
      <c r="O25" s="319">
        <v>602</v>
      </c>
      <c r="P25" s="319">
        <v>584.4</v>
      </c>
      <c r="Q25" s="283">
        <v>537</v>
      </c>
      <c r="R25" s="63">
        <v>324</v>
      </c>
      <c r="S25" s="63">
        <v>313.10000000000002</v>
      </c>
      <c r="T25" s="63">
        <v>226.5</v>
      </c>
      <c r="U25" s="63">
        <v>620.29999999999995</v>
      </c>
      <c r="V25" s="283">
        <v>470.1</v>
      </c>
      <c r="W25" s="355">
        <v>580</v>
      </c>
      <c r="X25" s="63">
        <v>299.5</v>
      </c>
      <c r="Y25" s="63">
        <v>482.3</v>
      </c>
      <c r="Z25" s="148">
        <v>570.9</v>
      </c>
      <c r="AA25" s="568">
        <v>603.6</v>
      </c>
      <c r="AB25" s="526">
        <v>615.6</v>
      </c>
      <c r="AC25" s="193">
        <v>605.6</v>
      </c>
      <c r="AD25" s="15">
        <v>444.4</v>
      </c>
      <c r="AE25" s="15">
        <v>247.5</v>
      </c>
      <c r="AF25" s="15">
        <v>475.4</v>
      </c>
      <c r="AG25" s="193">
        <v>558.20000000000005</v>
      </c>
      <c r="AH25" s="335">
        <f>SUM(D25:AG25)</f>
        <v>14792</v>
      </c>
      <c r="AI25" s="118">
        <v>100</v>
      </c>
      <c r="AJ25" s="121">
        <f t="shared" si="23"/>
        <v>8.6134259259259272E-3</v>
      </c>
      <c r="AK25" s="67">
        <f t="shared" si="16"/>
        <v>0.25570833333333337</v>
      </c>
      <c r="AL25" s="68">
        <f t="shared" si="29"/>
        <v>0.23070833333333335</v>
      </c>
      <c r="AM25" s="68">
        <f t="shared" si="30"/>
        <v>0.15504166666666669</v>
      </c>
      <c r="AN25" s="68">
        <f t="shared" si="31"/>
        <v>0.23016666666666666</v>
      </c>
      <c r="AO25" s="68">
        <f t="shared" si="32"/>
        <v>0.22116666666666665</v>
      </c>
      <c r="AP25" s="68">
        <f t="shared" si="33"/>
        <v>8.3374999999999991E-2</v>
      </c>
      <c r="AQ25" s="68">
        <f t="shared" si="34"/>
        <v>0.21133333333333332</v>
      </c>
      <c r="AR25" s="68">
        <f t="shared" si="43"/>
        <v>0.21187500000000001</v>
      </c>
      <c r="AS25" s="68">
        <f t="shared" si="44"/>
        <v>0.25037500000000001</v>
      </c>
      <c r="AT25" s="68">
        <f t="shared" si="50"/>
        <v>0.24587500000000001</v>
      </c>
      <c r="AU25" s="68" t="e">
        <f>IF(OR(#REF!="",#REF!="Sem monitoramento"),"VAZIO",IFERROR(#REF!/($AI25*24),"-"))</f>
        <v>#REF!</v>
      </c>
      <c r="AV25" s="68">
        <f t="shared" si="51"/>
        <v>0.25083333333333335</v>
      </c>
      <c r="AW25" s="68">
        <f t="shared" si="17"/>
        <v>0.24349999999999999</v>
      </c>
      <c r="AX25" s="68">
        <f t="shared" si="39"/>
        <v>0.22375</v>
      </c>
      <c r="AY25" s="68">
        <f t="shared" si="45"/>
        <v>0.13500000000000001</v>
      </c>
      <c r="AZ25" s="68">
        <f t="shared" si="47"/>
        <v>0.13045833333333334</v>
      </c>
      <c r="BA25" s="68">
        <f t="shared" si="36"/>
        <v>9.4375000000000001E-2</v>
      </c>
      <c r="BB25" s="68">
        <f t="shared" si="37"/>
        <v>0.25845833333333329</v>
      </c>
      <c r="BC25" s="68">
        <f t="shared" ref="BC25:BC31" si="52">IF(OR(V25="",V25="Sem monitoramento"),"VAZIO",IFERROR(V25/($AI25*24),"-"))</f>
        <v>0.19587500000000002</v>
      </c>
      <c r="BD25" s="68" t="e">
        <f>IF(OR(#REF!="",#REF!="Sem monitoramento"),"VAZIO",IFERROR(#REF!/($AI25*24),"-"))</f>
        <v>#REF!</v>
      </c>
      <c r="BE25" s="68">
        <f t="shared" ref="BE25:BE31" si="53">IF(OR(X25="",X25="Sem monitoramento"),"VAZIO",IFERROR(X25/($AI25*24),"-"))</f>
        <v>0.12479166666666666</v>
      </c>
      <c r="BF25" s="68">
        <f t="shared" si="46"/>
        <v>0.20095833333333335</v>
      </c>
      <c r="BG25" s="68">
        <f>IF(OR(Z26="",Z26="Sem monitoramento"),"VAZIO",IFERROR(Z26/($AI25*24),"-"))</f>
        <v>0.22712500000000002</v>
      </c>
      <c r="BH25" s="68">
        <f t="shared" si="27"/>
        <v>0.2515</v>
      </c>
      <c r="BI25" s="68">
        <f t="shared" si="49"/>
        <v>0.25650000000000001</v>
      </c>
      <c r="BJ25" s="68">
        <f t="shared" si="20"/>
        <v>0.25233333333333335</v>
      </c>
      <c r="BK25" s="68">
        <f t="shared" si="48"/>
        <v>0.18516666666666665</v>
      </c>
      <c r="BL25" s="68">
        <f t="shared" si="40"/>
        <v>0.10312499999999999</v>
      </c>
      <c r="BM25" s="68">
        <f t="shared" si="41"/>
        <v>0.19808333333333333</v>
      </c>
      <c r="BN25" s="68">
        <f>IF(OR(AG25="",AG25="Sem monitoramento"),"VAZIO",IFERROR(AG25/($AI25*24),"-"))</f>
        <v>0.23258333333333336</v>
      </c>
      <c r="BO25" s="70">
        <f t="shared" si="6"/>
        <v>0.20544444444444446</v>
      </c>
      <c r="BP25" s="198">
        <f t="shared" si="42"/>
        <v>0.168125</v>
      </c>
      <c r="BQ25" s="72">
        <f t="shared" si="25"/>
        <v>16.8125</v>
      </c>
      <c r="BR25" s="73">
        <f t="shared" si="26"/>
        <v>-1.3083333333333308E-2</v>
      </c>
      <c r="BS25" s="74">
        <f t="shared" si="9"/>
        <v>3.7319444444444461E-2</v>
      </c>
      <c r="BT25" s="15" t="s">
        <v>30</v>
      </c>
      <c r="BU25" s="3"/>
      <c r="BV25" s="2"/>
      <c r="BW25" s="2"/>
    </row>
    <row r="26" spans="2:75" x14ac:dyDescent="0.3">
      <c r="B26" s="775"/>
      <c r="C26" s="326" t="s">
        <v>32</v>
      </c>
      <c r="D26" s="609">
        <v>528.5</v>
      </c>
      <c r="E26" s="283">
        <v>458.4</v>
      </c>
      <c r="F26" s="63">
        <v>387.6</v>
      </c>
      <c r="G26" s="63">
        <v>246.4</v>
      </c>
      <c r="H26" s="63">
        <v>451.2</v>
      </c>
      <c r="I26" s="283">
        <v>291.7</v>
      </c>
      <c r="J26" s="63">
        <v>449.5</v>
      </c>
      <c r="K26" s="63">
        <v>447.1</v>
      </c>
      <c r="L26" s="319">
        <v>521.6</v>
      </c>
      <c r="M26" s="319">
        <v>530.70000000000005</v>
      </c>
      <c r="N26" s="511">
        <v>528.70000000000005</v>
      </c>
      <c r="O26" s="319">
        <v>528.29999999999995</v>
      </c>
      <c r="P26" s="319">
        <v>528.4</v>
      </c>
      <c r="Q26" s="283">
        <v>503.3</v>
      </c>
      <c r="R26" s="63">
        <v>447.4</v>
      </c>
      <c r="S26" s="63">
        <v>345.6</v>
      </c>
      <c r="T26" s="63">
        <v>146.30000000000001</v>
      </c>
      <c r="U26" s="63">
        <v>155.6</v>
      </c>
      <c r="V26" s="283">
        <v>380.4</v>
      </c>
      <c r="W26" s="519">
        <v>472.2</v>
      </c>
      <c r="X26" s="63">
        <v>436.9</v>
      </c>
      <c r="Y26" s="63">
        <v>435.3</v>
      </c>
      <c r="Z26" s="221">
        <v>545.1</v>
      </c>
      <c r="AA26" s="320">
        <v>544.5</v>
      </c>
      <c r="AB26" s="586">
        <v>396.9</v>
      </c>
      <c r="AC26" s="193">
        <v>541.1</v>
      </c>
      <c r="AD26" s="221">
        <v>420.4</v>
      </c>
      <c r="AE26" s="15">
        <v>333</v>
      </c>
      <c r="AF26" s="283">
        <v>425.6</v>
      </c>
      <c r="AG26" s="221">
        <v>460.7</v>
      </c>
      <c r="AH26" s="335">
        <f t="shared" si="0"/>
        <v>12888.4</v>
      </c>
      <c r="AI26" s="118">
        <v>100</v>
      </c>
      <c r="AJ26" s="121">
        <f t="shared" si="23"/>
        <v>8.9722222222222234E-3</v>
      </c>
      <c r="AK26" s="67">
        <f t="shared" si="16"/>
        <v>0.22020833333333334</v>
      </c>
      <c r="AL26" s="68">
        <f t="shared" ref="AL26:AN31" si="54">IF(OR(E26="",E26="Sem monitoramento"),"VAZIO",IFERROR(E26/($AI26*24),"-"))</f>
        <v>0.191</v>
      </c>
      <c r="AM26" s="68">
        <f t="shared" si="54"/>
        <v>0.1615</v>
      </c>
      <c r="AN26" s="68">
        <f t="shared" si="54"/>
        <v>0.10266666666666667</v>
      </c>
      <c r="AO26" s="68" t="e">
        <f>IF(OR(#REF!="",#REF!="Sem monitoramento"),"VAZIO",IFERROR(#REF!/($AI26*24),"-"))</f>
        <v>#REF!</v>
      </c>
      <c r="AP26" s="68">
        <f t="shared" ref="AP26:AQ28" si="55">IF(OR(I26="",I26="Sem monitoramento"),"VAZIO",IFERROR(I26/($AI26*24),"-"))</f>
        <v>0.12154166666666666</v>
      </c>
      <c r="AQ26" s="68">
        <f t="shared" si="55"/>
        <v>0.18729166666666666</v>
      </c>
      <c r="AR26" s="68">
        <f t="shared" si="43"/>
        <v>0.18629166666666669</v>
      </c>
      <c r="AS26" s="68">
        <f t="shared" si="44"/>
        <v>0.21733333333333335</v>
      </c>
      <c r="AT26" s="68">
        <f t="shared" si="50"/>
        <v>0.22112500000000002</v>
      </c>
      <c r="AU26" s="68">
        <f>IF(OR(N25="",N25="Sem monitoramento"),"VAZIO",IFERROR(N25/($AI26*24),"-"))</f>
        <v>0.25087500000000001</v>
      </c>
      <c r="AV26" s="68">
        <f t="shared" si="51"/>
        <v>0.22012499999999999</v>
      </c>
      <c r="AW26" s="68">
        <f t="shared" si="17"/>
        <v>0.22016666666666665</v>
      </c>
      <c r="AX26" s="68">
        <f t="shared" si="39"/>
        <v>0.20970833333333333</v>
      </c>
      <c r="AY26" s="68">
        <f t="shared" si="45"/>
        <v>0.18641666666666665</v>
      </c>
      <c r="AZ26" s="68">
        <f t="shared" si="47"/>
        <v>0.14400000000000002</v>
      </c>
      <c r="BA26" s="68">
        <f t="shared" si="36"/>
        <v>6.0958333333333337E-2</v>
      </c>
      <c r="BB26" s="68">
        <f t="shared" si="37"/>
        <v>6.4833333333333326E-2</v>
      </c>
      <c r="BC26" s="68">
        <f t="shared" si="52"/>
        <v>0.1585</v>
      </c>
      <c r="BD26" s="68">
        <f>IF(OR(W25="",W25="Sem monitoramento"),"VAZIO",IFERROR(W25/($AI26*24),"-"))</f>
        <v>0.24166666666666667</v>
      </c>
      <c r="BE26" s="68">
        <f t="shared" si="53"/>
        <v>0.18204166666666666</v>
      </c>
      <c r="BF26" s="68">
        <f t="shared" si="46"/>
        <v>0.18137500000000001</v>
      </c>
      <c r="BG26" s="68" t="e">
        <f>IF(OR(#REF!="",#REF!="Sem monitoramento"),"VAZIO",IFERROR(#REF!/($AI26*24),"-"))</f>
        <v>#REF!</v>
      </c>
      <c r="BH26" s="68">
        <f t="shared" si="27"/>
        <v>0.22687499999999999</v>
      </c>
      <c r="BI26" s="68">
        <f t="shared" si="49"/>
        <v>0.16537499999999999</v>
      </c>
      <c r="BJ26" s="68">
        <f t="shared" si="20"/>
        <v>0.22545833333333334</v>
      </c>
      <c r="BK26" s="68">
        <f t="shared" si="48"/>
        <v>0.17516666666666666</v>
      </c>
      <c r="BL26" s="68">
        <f t="shared" si="40"/>
        <v>0.13875000000000001</v>
      </c>
      <c r="BM26" s="68">
        <f t="shared" si="41"/>
        <v>0.17733333333333334</v>
      </c>
      <c r="BN26" s="68">
        <f>IF(OR(AG26="",AG26="Sem monitoramento"),"VAZIO",IFERROR(AG26/($AI26*24),"-"))</f>
        <v>0.19195833333333334</v>
      </c>
      <c r="BO26" s="70">
        <f t="shared" si="6"/>
        <v>0.17900555555555556</v>
      </c>
      <c r="BP26" s="198">
        <f t="shared" si="42"/>
        <v>0.168125</v>
      </c>
      <c r="BQ26" s="72">
        <f t="shared" si="25"/>
        <v>16.8125</v>
      </c>
      <c r="BR26" s="73">
        <f t="shared" si="26"/>
        <v>-6.624999999999992E-3</v>
      </c>
      <c r="BS26" s="74">
        <f t="shared" si="9"/>
        <v>1.088055555555556E-2</v>
      </c>
      <c r="BT26" s="15" t="s">
        <v>111</v>
      </c>
      <c r="BU26" s="3"/>
      <c r="BV26" s="2"/>
      <c r="BW26" s="2"/>
    </row>
    <row r="27" spans="2:75" x14ac:dyDescent="0.3">
      <c r="B27" s="775"/>
      <c r="C27" s="326" t="s">
        <v>288</v>
      </c>
      <c r="D27" s="378">
        <v>525.6</v>
      </c>
      <c r="E27" s="63">
        <v>413</v>
      </c>
      <c r="F27" s="63">
        <v>368.4</v>
      </c>
      <c r="G27" s="308">
        <v>462.3</v>
      </c>
      <c r="H27" s="316">
        <v>429</v>
      </c>
      <c r="I27" s="283">
        <v>175.6</v>
      </c>
      <c r="J27" s="283">
        <v>409.1</v>
      </c>
      <c r="K27" s="283">
        <v>387.7</v>
      </c>
      <c r="L27" s="63">
        <v>488.8</v>
      </c>
      <c r="M27" s="283">
        <v>514.20000000000005</v>
      </c>
      <c r="N27" s="283">
        <v>507.3</v>
      </c>
      <c r="O27" s="319">
        <v>509.5</v>
      </c>
      <c r="P27" s="319">
        <v>520.9</v>
      </c>
      <c r="Q27" s="283">
        <v>467.8</v>
      </c>
      <c r="R27" s="282">
        <v>63.3</v>
      </c>
      <c r="S27" s="63">
        <v>324</v>
      </c>
      <c r="T27" s="283">
        <v>119.3</v>
      </c>
      <c r="U27" s="283">
        <v>191</v>
      </c>
      <c r="V27" s="283">
        <v>413.6</v>
      </c>
      <c r="W27" s="283">
        <v>499.4</v>
      </c>
      <c r="X27" s="283">
        <v>383</v>
      </c>
      <c r="Y27" s="283">
        <v>507.3</v>
      </c>
      <c r="Z27" s="221">
        <v>538.70000000000005</v>
      </c>
      <c r="AA27" s="355">
        <v>549.5</v>
      </c>
      <c r="AB27" s="387">
        <v>546</v>
      </c>
      <c r="AC27" s="355">
        <v>544.20000000000005</v>
      </c>
      <c r="AD27" s="283">
        <v>365.3</v>
      </c>
      <c r="AE27" s="283">
        <v>133.1</v>
      </c>
      <c r="AF27" s="283">
        <v>475.1</v>
      </c>
      <c r="AG27" s="388">
        <v>564.29999999999995</v>
      </c>
      <c r="AH27" s="335">
        <f>SUM(D27:AG27)</f>
        <v>12396.300000000001</v>
      </c>
      <c r="AI27" s="118">
        <v>100</v>
      </c>
      <c r="AJ27" s="121">
        <f t="shared" si="23"/>
        <v>8.5277777777777765E-3</v>
      </c>
      <c r="AK27" s="67">
        <f t="shared" si="16"/>
        <v>0.219</v>
      </c>
      <c r="AL27" s="68">
        <f t="shared" si="54"/>
        <v>0.17208333333333334</v>
      </c>
      <c r="AM27" s="68">
        <f t="shared" si="54"/>
        <v>0.1535</v>
      </c>
      <c r="AN27" s="68">
        <f t="shared" si="54"/>
        <v>0.19262500000000002</v>
      </c>
      <c r="AO27" s="68">
        <f>IF(OR(H26="",H26="Sem monitoramento"),"VAZIO",IFERROR(H26/($AI27*24),"-"))</f>
        <v>0.188</v>
      </c>
      <c r="AP27" s="68">
        <f t="shared" si="55"/>
        <v>7.3166666666666658E-2</v>
      </c>
      <c r="AQ27" s="68">
        <f t="shared" si="55"/>
        <v>0.17045833333333335</v>
      </c>
      <c r="AR27" s="68">
        <f t="shared" si="43"/>
        <v>0.16154166666666667</v>
      </c>
      <c r="AS27" s="68">
        <f t="shared" si="44"/>
        <v>0.20366666666666666</v>
      </c>
      <c r="AT27" s="68">
        <f t="shared" si="50"/>
        <v>0.21425000000000002</v>
      </c>
      <c r="AU27" s="68">
        <f>IF(OR(N27="",N27="Sem monitoramento"),"VAZIO",IFERROR(N27/($AI27*24),"-"))</f>
        <v>0.21137500000000001</v>
      </c>
      <c r="AV27" s="68">
        <f t="shared" si="51"/>
        <v>0.21229166666666666</v>
      </c>
      <c r="AW27" s="68">
        <f t="shared" si="17"/>
        <v>0.21704166666666666</v>
      </c>
      <c r="AX27" s="68">
        <f t="shared" si="39"/>
        <v>0.19491666666666668</v>
      </c>
      <c r="AY27" s="68">
        <f t="shared" si="45"/>
        <v>2.6374999999999999E-2</v>
      </c>
      <c r="AZ27" s="68">
        <f t="shared" si="47"/>
        <v>0.13500000000000001</v>
      </c>
      <c r="BA27" s="68">
        <f t="shared" si="36"/>
        <v>4.9708333333333334E-2</v>
      </c>
      <c r="BB27" s="68">
        <f t="shared" si="37"/>
        <v>7.9583333333333339E-2</v>
      </c>
      <c r="BC27" s="68">
        <f t="shared" si="52"/>
        <v>0.17233333333333334</v>
      </c>
      <c r="BD27" s="68">
        <f>IF(OR(W27="",W27="Sem monitoramento"),"VAZIO",IFERROR(W27/($AI27*24),"-"))</f>
        <v>0.20808333333333331</v>
      </c>
      <c r="BE27" s="68">
        <f t="shared" si="53"/>
        <v>0.15958333333333333</v>
      </c>
      <c r="BF27" s="68">
        <f t="shared" si="46"/>
        <v>0.21137500000000001</v>
      </c>
      <c r="BG27" s="68">
        <f>IF(OR(Z27="",Z27="Sem monitoramento"),"VAZIO",IFERROR(Z27/($AI27*24),"-"))</f>
        <v>0.22445833333333334</v>
      </c>
      <c r="BH27" s="68" t="e">
        <f>IF(OR(#REF!="",#REF!="Sem monitoramento"),"VAZIO",IFERROR(#REF!/($AI27*24),"-"))</f>
        <v>#REF!</v>
      </c>
      <c r="BI27" s="68">
        <f t="shared" si="49"/>
        <v>0.22750000000000001</v>
      </c>
      <c r="BJ27" s="68">
        <f t="shared" si="20"/>
        <v>0.22675000000000001</v>
      </c>
      <c r="BK27" s="68">
        <f t="shared" si="48"/>
        <v>0.15220833333333333</v>
      </c>
      <c r="BL27" s="68">
        <f t="shared" si="40"/>
        <v>5.5458333333333332E-2</v>
      </c>
      <c r="BM27" s="68">
        <f t="shared" si="41"/>
        <v>0.19795833333333335</v>
      </c>
      <c r="BN27" s="68">
        <f>IF(OR(AG27="",AG27="Sem monitoramento"),"VAZIO",IFERROR(AG27/($AI27*24),"-"))</f>
        <v>0.23512499999999997</v>
      </c>
      <c r="BO27" s="70">
        <f t="shared" si="6"/>
        <v>0.17217083333333336</v>
      </c>
      <c r="BP27" s="198">
        <f t="shared" si="42"/>
        <v>0.168125</v>
      </c>
      <c r="BQ27" s="72">
        <f t="shared" si="25"/>
        <v>16.8125</v>
      </c>
      <c r="BR27" s="73">
        <f t="shared" si="26"/>
        <v>-1.4624999999999999E-2</v>
      </c>
      <c r="BS27" s="74">
        <f t="shared" si="9"/>
        <v>4.0458333333333596E-3</v>
      </c>
      <c r="BT27" s="15" t="s">
        <v>32</v>
      </c>
      <c r="BU27" s="3"/>
      <c r="BV27" s="2"/>
      <c r="BW27" s="2"/>
    </row>
    <row r="28" spans="2:75" x14ac:dyDescent="0.3">
      <c r="B28" s="775"/>
      <c r="C28" s="326" t="s">
        <v>112</v>
      </c>
      <c r="D28" s="378">
        <v>533.1</v>
      </c>
      <c r="E28" s="63">
        <v>416.7</v>
      </c>
      <c r="F28" s="63">
        <v>350</v>
      </c>
      <c r="G28" s="308">
        <v>458.3</v>
      </c>
      <c r="H28" s="63">
        <v>429.1</v>
      </c>
      <c r="I28" s="283">
        <v>168.8</v>
      </c>
      <c r="J28" s="283">
        <v>407.5</v>
      </c>
      <c r="K28" s="283">
        <v>386.2</v>
      </c>
      <c r="L28" s="63">
        <v>497.7</v>
      </c>
      <c r="M28" s="63">
        <v>519</v>
      </c>
      <c r="N28" s="63">
        <v>519.1</v>
      </c>
      <c r="O28" s="319">
        <v>536.1</v>
      </c>
      <c r="P28" s="319">
        <v>542.20000000000005</v>
      </c>
      <c r="Q28" s="283">
        <v>498.6</v>
      </c>
      <c r="R28" s="282">
        <v>59.2</v>
      </c>
      <c r="S28" s="63">
        <v>347.2</v>
      </c>
      <c r="T28" s="283">
        <v>118.2</v>
      </c>
      <c r="U28" s="283">
        <v>189.2</v>
      </c>
      <c r="V28" s="283">
        <v>412.7</v>
      </c>
      <c r="W28" s="283">
        <v>339.1</v>
      </c>
      <c r="X28" s="283">
        <v>381.9</v>
      </c>
      <c r="Y28" s="283">
        <v>484.6</v>
      </c>
      <c r="Z28" s="283">
        <v>556.1</v>
      </c>
      <c r="AA28" s="561">
        <v>564.4</v>
      </c>
      <c r="AB28" s="387">
        <v>563.4</v>
      </c>
      <c r="AC28" s="355">
        <v>560.29999999999995</v>
      </c>
      <c r="AD28" s="15">
        <v>402.9</v>
      </c>
      <c r="AE28" s="221">
        <v>132</v>
      </c>
      <c r="AF28" s="15">
        <v>439.5</v>
      </c>
      <c r="AG28" s="388">
        <v>533.4</v>
      </c>
      <c r="AH28" s="335">
        <f t="shared" si="0"/>
        <v>12346.499999999998</v>
      </c>
      <c r="AI28" s="301">
        <v>100</v>
      </c>
      <c r="AJ28" s="121">
        <f t="shared" si="23"/>
        <v>8.1018518518518514E-3</v>
      </c>
      <c r="AK28" s="302">
        <f t="shared" si="16"/>
        <v>0.22212500000000002</v>
      </c>
      <c r="AL28" s="303">
        <f t="shared" si="54"/>
        <v>0.173625</v>
      </c>
      <c r="AM28" s="303">
        <f t="shared" si="54"/>
        <v>0.14583333333333334</v>
      </c>
      <c r="AN28" s="303">
        <f t="shared" si="54"/>
        <v>0.19095833333333334</v>
      </c>
      <c r="AO28" s="303">
        <f>IF(OR(H28="",H28="Sem monitoramento"),"VAZIO",IFERROR(H28/($AI28*24),"-"))</f>
        <v>0.17879166666666668</v>
      </c>
      <c r="AP28" s="303">
        <f t="shared" si="55"/>
        <v>7.0333333333333345E-2</v>
      </c>
      <c r="AQ28" s="303">
        <f t="shared" si="55"/>
        <v>0.16979166666666667</v>
      </c>
      <c r="AR28" s="303">
        <f t="shared" si="43"/>
        <v>0.16091666666666665</v>
      </c>
      <c r="AS28" s="303">
        <f t="shared" si="44"/>
        <v>0.207375</v>
      </c>
      <c r="AT28" s="303">
        <f t="shared" si="50"/>
        <v>0.21625</v>
      </c>
      <c r="AU28" s="303">
        <f>IF(OR(N28="",N28="Sem monitoramento"),"VAZIO",IFERROR(N28/($AI28*24),"-"))</f>
        <v>0.21629166666666669</v>
      </c>
      <c r="AV28" s="303">
        <f t="shared" si="51"/>
        <v>0.22337500000000002</v>
      </c>
      <c r="AW28" s="303">
        <f t="shared" si="17"/>
        <v>0.22591666666666668</v>
      </c>
      <c r="AX28" s="303">
        <f t="shared" si="39"/>
        <v>0.20775000000000002</v>
      </c>
      <c r="AY28" s="303">
        <f t="shared" si="45"/>
        <v>2.4666666666666667E-2</v>
      </c>
      <c r="AZ28" s="303">
        <f t="shared" si="47"/>
        <v>0.14466666666666667</v>
      </c>
      <c r="BA28" s="303">
        <f t="shared" si="36"/>
        <v>4.9250000000000002E-2</v>
      </c>
      <c r="BB28" s="303">
        <f t="shared" si="37"/>
        <v>7.8833333333333325E-2</v>
      </c>
      <c r="BC28" s="303">
        <f t="shared" si="52"/>
        <v>0.17195833333333332</v>
      </c>
      <c r="BD28" s="303">
        <f>IF(OR(W28="",W28="Sem monitoramento"),"VAZIO",IFERROR(W28/($AI28*24),"-"))</f>
        <v>0.14129166666666668</v>
      </c>
      <c r="BE28" s="303">
        <f t="shared" si="53"/>
        <v>0.15912499999999999</v>
      </c>
      <c r="BF28" s="303">
        <f t="shared" si="46"/>
        <v>0.20191666666666669</v>
      </c>
      <c r="BG28" s="303">
        <f>IF(OR(Z28="",Z28="Sem monitoramento"),"VAZIO",IFERROR(Z28/($AI28*24),"-"))</f>
        <v>0.23170833333333335</v>
      </c>
      <c r="BH28" s="303">
        <f>IF(OR(AA27="",AA27="Sem monitoramento"),"VAZIO",IFERROR(AA27/($AI28*24),"-"))</f>
        <v>0.22895833333333335</v>
      </c>
      <c r="BI28" s="303">
        <f t="shared" si="49"/>
        <v>0.23474999999999999</v>
      </c>
      <c r="BJ28" s="303">
        <f t="shared" si="20"/>
        <v>0.23345833333333332</v>
      </c>
      <c r="BK28" s="303">
        <f t="shared" si="48"/>
        <v>0.167875</v>
      </c>
      <c r="BL28" s="303">
        <f t="shared" si="40"/>
        <v>5.5E-2</v>
      </c>
      <c r="BM28" s="303">
        <f t="shared" si="41"/>
        <v>0.18312500000000001</v>
      </c>
      <c r="BN28" s="303" t="e">
        <f>IF(OR(#REF!="",#REF!="Sem monitoramento"),"VAZIO",IFERROR(#REF!/($AI28*24),"-"))</f>
        <v>#REF!</v>
      </c>
      <c r="BO28" s="304">
        <f t="shared" si="6"/>
        <v>0.17147916666666665</v>
      </c>
      <c r="BP28" s="198">
        <f t="shared" si="42"/>
        <v>0.168125</v>
      </c>
      <c r="BQ28" s="72">
        <f t="shared" si="25"/>
        <v>16.8125</v>
      </c>
      <c r="BR28" s="73">
        <f t="shared" si="26"/>
        <v>-2.2291666666666654E-2</v>
      </c>
      <c r="BS28" s="74">
        <f>BO28-BP28</f>
        <v>3.3541666666666581E-3</v>
      </c>
      <c r="BT28" s="15" t="s">
        <v>440</v>
      </c>
      <c r="BU28" s="3"/>
      <c r="BV28" s="2"/>
      <c r="BW28" s="2"/>
    </row>
    <row r="29" spans="2:75" ht="15" thickBot="1" x14ac:dyDescent="0.35">
      <c r="B29" s="775"/>
      <c r="C29" s="326" t="s">
        <v>289</v>
      </c>
      <c r="D29" s="378">
        <v>482.5</v>
      </c>
      <c r="E29" s="283">
        <v>378.3</v>
      </c>
      <c r="F29" s="283">
        <v>323.3</v>
      </c>
      <c r="G29" s="308">
        <v>415.8</v>
      </c>
      <c r="H29" s="283">
        <v>387</v>
      </c>
      <c r="I29" s="308">
        <v>154.5</v>
      </c>
      <c r="J29" s="308">
        <v>375</v>
      </c>
      <c r="K29" s="283">
        <v>435.4</v>
      </c>
      <c r="L29" s="283">
        <v>452.7</v>
      </c>
      <c r="M29" s="282">
        <v>249.5</v>
      </c>
      <c r="N29" s="283">
        <v>427.3</v>
      </c>
      <c r="O29" s="355">
        <v>509.3</v>
      </c>
      <c r="P29" s="355">
        <v>517.70000000000005</v>
      </c>
      <c r="Q29" s="283">
        <v>474.9</v>
      </c>
      <c r="R29" s="282">
        <v>62.3</v>
      </c>
      <c r="S29" s="283">
        <v>330.6</v>
      </c>
      <c r="T29" s="283">
        <v>113.4</v>
      </c>
      <c r="U29" s="283">
        <v>183.2</v>
      </c>
      <c r="V29" s="283">
        <v>414.7</v>
      </c>
      <c r="W29" s="283">
        <v>488.3</v>
      </c>
      <c r="X29" s="283">
        <v>376.3</v>
      </c>
      <c r="Y29" s="283">
        <v>484.3</v>
      </c>
      <c r="Z29" s="221">
        <v>538.9</v>
      </c>
      <c r="AA29" s="580">
        <v>546.79999999999995</v>
      </c>
      <c r="AB29" s="387">
        <v>545.5</v>
      </c>
      <c r="AC29" s="355">
        <v>543.9</v>
      </c>
      <c r="AD29" s="221">
        <v>381.5</v>
      </c>
      <c r="AE29" s="221">
        <v>127.3</v>
      </c>
      <c r="AF29" s="221">
        <v>442.3</v>
      </c>
      <c r="AG29" s="388">
        <v>545.6</v>
      </c>
      <c r="AH29" s="335">
        <f t="shared" si="0"/>
        <v>11708.099999999997</v>
      </c>
      <c r="AI29" s="119">
        <v>100</v>
      </c>
      <c r="AJ29" s="121">
        <f t="shared" si="23"/>
        <v>7.4837962962962966E-3</v>
      </c>
      <c r="AK29" s="98">
        <f t="shared" si="16"/>
        <v>0.20104166666666667</v>
      </c>
      <c r="AL29" s="99">
        <f t="shared" si="54"/>
        <v>0.15762500000000002</v>
      </c>
      <c r="AM29" s="99">
        <f t="shared" si="54"/>
        <v>0.13470833333333335</v>
      </c>
      <c r="AN29" s="99">
        <f t="shared" si="54"/>
        <v>0.17325000000000002</v>
      </c>
      <c r="AO29" s="99">
        <f>IF(OR(H29="",H29="Sem monitoramento"),"VAZIO",IFERROR(H29/($AI29*24),"-"))</f>
        <v>0.16125</v>
      </c>
      <c r="AP29" s="99">
        <f>IF(OR(I29="",I29="Sem monitoramento"),"VAZIO",IFERROR(I29/($AI29*24),"-"))</f>
        <v>6.4375000000000002E-2</v>
      </c>
      <c r="AQ29" s="99">
        <f>IF(OR(J30="",J30="Sem monitoramento"),"VAZIO",IFERROR(J30/($AI29*24),"-"))</f>
        <v>0.15433333333333332</v>
      </c>
      <c r="AR29" s="99">
        <f t="shared" si="43"/>
        <v>0.18141666666666667</v>
      </c>
      <c r="AS29" s="99">
        <f t="shared" si="44"/>
        <v>0.18862499999999999</v>
      </c>
      <c r="AT29" s="99">
        <f t="shared" si="50"/>
        <v>0.10395833333333333</v>
      </c>
      <c r="AU29" s="99">
        <f>IF(OR(N29="",N29="Sem monitoramento"),"VAZIO",IFERROR(N29/($AI29*24),"-"))</f>
        <v>0.17804166666666668</v>
      </c>
      <c r="AV29" s="99">
        <f t="shared" si="51"/>
        <v>0.21220833333333333</v>
      </c>
      <c r="AW29" s="99">
        <f t="shared" si="17"/>
        <v>0.21570833333333336</v>
      </c>
      <c r="AX29" s="99">
        <f t="shared" si="39"/>
        <v>0.197875</v>
      </c>
      <c r="AY29" s="99">
        <f t="shared" si="45"/>
        <v>2.5958333333333333E-2</v>
      </c>
      <c r="AZ29" s="99">
        <f t="shared" si="47"/>
        <v>0.13775000000000001</v>
      </c>
      <c r="BA29" s="99">
        <f t="shared" si="36"/>
        <v>4.725E-2</v>
      </c>
      <c r="BB29" s="99">
        <f t="shared" si="37"/>
        <v>7.6333333333333322E-2</v>
      </c>
      <c r="BC29" s="99">
        <f t="shared" si="52"/>
        <v>0.17279166666666665</v>
      </c>
      <c r="BD29" s="99">
        <f>IF(OR(W29="",W29="Sem monitoramento"),"VAZIO",IFERROR(W29/($AI29*24),"-"))</f>
        <v>0.20345833333333332</v>
      </c>
      <c r="BE29" s="99">
        <f t="shared" si="53"/>
        <v>0.15679166666666666</v>
      </c>
      <c r="BF29" s="99">
        <f t="shared" si="46"/>
        <v>0.20179166666666667</v>
      </c>
      <c r="BG29" s="99">
        <f>IF(OR(Z29="",Z29="Sem monitoramento"),"VAZIO",IFERROR(Z29/($AI29*24),"-"))</f>
        <v>0.22454166666666667</v>
      </c>
      <c r="BH29" s="99">
        <f t="shared" si="27"/>
        <v>0.2278333333333333</v>
      </c>
      <c r="BI29" s="99">
        <f t="shared" si="49"/>
        <v>0.22729166666666667</v>
      </c>
      <c r="BJ29" s="99">
        <f t="shared" si="20"/>
        <v>0.22662499999999999</v>
      </c>
      <c r="BK29" s="99">
        <f t="shared" si="48"/>
        <v>0.15895833333333334</v>
      </c>
      <c r="BL29" s="99">
        <f t="shared" si="40"/>
        <v>5.3041666666666668E-2</v>
      </c>
      <c r="BM29" s="99">
        <f t="shared" si="41"/>
        <v>0.18429166666666666</v>
      </c>
      <c r="BN29" s="99">
        <f>IF(OR(AG28="",AG28="Sem monitoramento"),"VAZIO",IFERROR(AG28/($AI29*24),"-"))</f>
        <v>0.22225</v>
      </c>
      <c r="BO29" s="101">
        <f t="shared" si="6"/>
        <v>0.16261249999999997</v>
      </c>
      <c r="BP29" s="198">
        <f t="shared" si="42"/>
        <v>0.168125</v>
      </c>
      <c r="BQ29" s="72">
        <f t="shared" si="25"/>
        <v>16.8125</v>
      </c>
      <c r="BR29" s="73">
        <f t="shared" si="26"/>
        <v>-3.341666666666665E-2</v>
      </c>
      <c r="BS29" s="74">
        <f t="shared" si="9"/>
        <v>-5.5125000000000313E-3</v>
      </c>
      <c r="BT29" s="15" t="s">
        <v>112</v>
      </c>
      <c r="BU29" s="3"/>
      <c r="BV29" s="2"/>
      <c r="BW29" s="2"/>
    </row>
    <row r="30" spans="2:75" ht="15" thickBot="1" x14ac:dyDescent="0.35">
      <c r="B30" s="773" t="s">
        <v>290</v>
      </c>
      <c r="C30" s="326" t="s">
        <v>291</v>
      </c>
      <c r="D30" s="223">
        <v>417</v>
      </c>
      <c r="E30" s="223">
        <v>389</v>
      </c>
      <c r="F30" s="63">
        <v>343.8</v>
      </c>
      <c r="G30" s="63">
        <v>265.39999999999998</v>
      </c>
      <c r="H30" s="283">
        <v>399.1</v>
      </c>
      <c r="I30" s="470">
        <v>266.2</v>
      </c>
      <c r="J30" s="308">
        <v>370.4</v>
      </c>
      <c r="K30" s="283">
        <v>399.8</v>
      </c>
      <c r="L30" s="283">
        <v>284</v>
      </c>
      <c r="M30" s="283">
        <v>477.9</v>
      </c>
      <c r="N30" s="283">
        <v>472.7</v>
      </c>
      <c r="O30" s="355">
        <v>482.9</v>
      </c>
      <c r="P30" s="355">
        <v>479.8</v>
      </c>
      <c r="Q30" s="283">
        <v>456</v>
      </c>
      <c r="R30" s="283">
        <v>417.3</v>
      </c>
      <c r="S30" s="283">
        <v>323.39999999999998</v>
      </c>
      <c r="T30" s="283">
        <v>137.6</v>
      </c>
      <c r="U30" s="283">
        <v>177.7</v>
      </c>
      <c r="V30" s="283">
        <v>370</v>
      </c>
      <c r="W30" s="283">
        <v>359.4</v>
      </c>
      <c r="X30" s="283">
        <v>407.9</v>
      </c>
      <c r="Y30" s="320">
        <v>324.2</v>
      </c>
      <c r="Z30" s="321">
        <v>1.3</v>
      </c>
      <c r="AA30" s="580">
        <v>506.6</v>
      </c>
      <c r="AB30" s="387">
        <v>502.3</v>
      </c>
      <c r="AC30" s="193">
        <v>501.9</v>
      </c>
      <c r="AD30" s="221">
        <v>424.2</v>
      </c>
      <c r="AE30" s="221">
        <v>215.3</v>
      </c>
      <c r="AF30" s="15">
        <v>450.6</v>
      </c>
      <c r="AG30" s="15">
        <v>329.9</v>
      </c>
      <c r="AH30" s="290">
        <f t="shared" si="0"/>
        <v>10953.599999999999</v>
      </c>
      <c r="AI30" s="2">
        <v>100</v>
      </c>
      <c r="AJ30" s="285">
        <f t="shared" si="23"/>
        <v>7.9583333333333329E-3</v>
      </c>
      <c r="AK30" s="98">
        <f t="shared" si="16"/>
        <v>0.17374999999999999</v>
      </c>
      <c r="AL30" s="99">
        <f t="shared" si="54"/>
        <v>0.16208333333333333</v>
      </c>
      <c r="AM30" s="99">
        <f t="shared" si="54"/>
        <v>0.14325000000000002</v>
      </c>
      <c r="AN30" s="99">
        <f t="shared" si="54"/>
        <v>0.11058333333333333</v>
      </c>
      <c r="AO30" s="99">
        <f>IF(OR(H30="",H30="Sem monitoramento"),"VAZIO",IFERROR(H30/($AI30*24),"-"))</f>
        <v>0.16629166666666667</v>
      </c>
      <c r="AP30" s="99">
        <f>IF(OR(I30="",I30="Sem monitoramento"),"VAZIO",IFERROR(I30/($AI30*24),"-"))</f>
        <v>0.11091666666666666</v>
      </c>
      <c r="AQ30" s="99" t="e">
        <f>IF(OR(#REF!="",#REF!="Sem monitoramento"),"VAZIO",IFERROR(#REF!/($AI30*24),"-"))</f>
        <v>#REF!</v>
      </c>
      <c r="AR30" s="99">
        <f t="shared" si="43"/>
        <v>0.16658333333333333</v>
      </c>
      <c r="AS30" s="99">
        <f t="shared" si="44"/>
        <v>0.11833333333333333</v>
      </c>
      <c r="AT30" s="99">
        <f t="shared" si="50"/>
        <v>0.199125</v>
      </c>
      <c r="AU30" s="99">
        <f>IF(OR(N30="",N30="Sem monitoramento"),"VAZIO",IFERROR(N30/($AI30*24),"-"))</f>
        <v>0.19695833333333332</v>
      </c>
      <c r="AV30" s="99">
        <f t="shared" si="51"/>
        <v>0.20120833333333332</v>
      </c>
      <c r="AW30" s="99">
        <f t="shared" si="17"/>
        <v>0.19991666666666666</v>
      </c>
      <c r="AX30" s="99">
        <f t="shared" si="39"/>
        <v>0.19</v>
      </c>
      <c r="AY30" s="99">
        <f t="shared" si="45"/>
        <v>0.173875</v>
      </c>
      <c r="AZ30" s="99">
        <f t="shared" si="47"/>
        <v>0.13474999999999998</v>
      </c>
      <c r="BA30" s="99">
        <f t="shared" si="36"/>
        <v>5.7333333333333333E-2</v>
      </c>
      <c r="BB30" s="99">
        <f t="shared" si="37"/>
        <v>7.4041666666666658E-2</v>
      </c>
      <c r="BC30" s="99">
        <f t="shared" si="52"/>
        <v>0.15416666666666667</v>
      </c>
      <c r="BD30" s="99">
        <f>IF(OR(W30="",W30="Sem monitoramento"),"VAZIO",IFERROR(W30/($AI30*24),"-"))</f>
        <v>0.14974999999999999</v>
      </c>
      <c r="BE30" s="99">
        <f t="shared" si="53"/>
        <v>0.16995833333333332</v>
      </c>
      <c r="BF30" s="99">
        <f t="shared" si="46"/>
        <v>0.13508333333333333</v>
      </c>
      <c r="BG30" s="99">
        <f>IF(OR(Z30="",Z30="Sem monitoramento"),"VAZIO",IFERROR(Z30/($AI30*24),"-"))</f>
        <v>5.4166666666666664E-4</v>
      </c>
      <c r="BH30" s="99">
        <f t="shared" si="27"/>
        <v>0.21108333333333335</v>
      </c>
      <c r="BI30" s="99">
        <f t="shared" si="49"/>
        <v>0.20929166666666668</v>
      </c>
      <c r="BJ30" s="99">
        <f t="shared" si="20"/>
        <v>0.20912499999999998</v>
      </c>
      <c r="BK30" s="99">
        <f t="shared" si="48"/>
        <v>0.17674999999999999</v>
      </c>
      <c r="BL30" s="99">
        <f t="shared" si="40"/>
        <v>8.9708333333333334E-2</v>
      </c>
      <c r="BM30" s="286">
        <f t="shared" si="41"/>
        <v>0.18775</v>
      </c>
      <c r="BN30" s="286">
        <f>IF(OR(AG30="",AG30="Sem monitoramento"),"VAZIO",IFERROR(AG30/($AI30*24),"-"))</f>
        <v>0.13745833333333332</v>
      </c>
      <c r="BO30" s="286">
        <f t="shared" si="6"/>
        <v>0.15213333333333331</v>
      </c>
      <c r="BP30" s="198">
        <f t="shared" si="42"/>
        <v>0.168125</v>
      </c>
      <c r="BQ30" s="72">
        <f t="shared" si="25"/>
        <v>16.8125</v>
      </c>
      <c r="BR30" s="73">
        <f t="shared" si="26"/>
        <v>-2.487499999999998E-2</v>
      </c>
      <c r="BS30" s="74">
        <f t="shared" si="9"/>
        <v>-1.5991666666666682E-2</v>
      </c>
      <c r="BT30" s="2"/>
      <c r="BU30" s="3"/>
      <c r="BV30" s="2"/>
      <c r="BW30" s="2"/>
    </row>
    <row r="31" spans="2:75" ht="15" thickBot="1" x14ac:dyDescent="0.35">
      <c r="B31" s="777"/>
      <c r="C31" s="329" t="s">
        <v>563</v>
      </c>
      <c r="D31" s="224">
        <v>364.5</v>
      </c>
      <c r="E31" s="93">
        <v>290.7</v>
      </c>
      <c r="F31" s="93">
        <v>255.7</v>
      </c>
      <c r="G31" s="115">
        <v>318.5</v>
      </c>
      <c r="H31" s="284">
        <v>43</v>
      </c>
      <c r="I31" s="115">
        <v>165.1</v>
      </c>
      <c r="J31" s="115">
        <v>270.8</v>
      </c>
      <c r="K31" s="93">
        <v>297.7</v>
      </c>
      <c r="L31" s="93">
        <v>351.7</v>
      </c>
      <c r="M31" s="93">
        <v>406.2</v>
      </c>
      <c r="N31" s="558">
        <v>485.88</v>
      </c>
      <c r="O31" s="558">
        <v>485.2</v>
      </c>
      <c r="P31" s="558">
        <v>481.2</v>
      </c>
      <c r="Q31" s="318">
        <v>458.4</v>
      </c>
      <c r="R31" s="93">
        <v>380.1</v>
      </c>
      <c r="S31" s="93">
        <v>331.1</v>
      </c>
      <c r="T31" s="93">
        <v>131.4</v>
      </c>
      <c r="U31" s="22">
        <v>156</v>
      </c>
      <c r="V31" s="22">
        <v>354.1</v>
      </c>
      <c r="W31" s="318">
        <v>318.7</v>
      </c>
      <c r="X31" s="277">
        <v>411.9</v>
      </c>
      <c r="Y31" s="93">
        <v>295.2</v>
      </c>
      <c r="Z31" s="22">
        <v>475.3</v>
      </c>
      <c r="AA31" s="615">
        <v>506.4</v>
      </c>
      <c r="AB31" s="569">
        <v>501.5</v>
      </c>
      <c r="AC31" s="192">
        <v>501.86</v>
      </c>
      <c r="AD31" s="277">
        <v>428.9</v>
      </c>
      <c r="AE31" s="22">
        <v>203.1</v>
      </c>
      <c r="AF31" s="22">
        <v>426.5</v>
      </c>
      <c r="AG31" s="22">
        <v>299.5</v>
      </c>
      <c r="AH31" s="627">
        <f t="shared" si="0"/>
        <v>10396.14</v>
      </c>
      <c r="AI31" s="2"/>
      <c r="AJ31" s="285"/>
      <c r="AK31" s="286" t="str">
        <f t="shared" si="16"/>
        <v>-</v>
      </c>
      <c r="AL31" s="286" t="str">
        <f t="shared" si="54"/>
        <v>-</v>
      </c>
      <c r="AM31" s="286" t="str">
        <f t="shared" si="54"/>
        <v>-</v>
      </c>
      <c r="AN31" s="286" t="str">
        <f t="shared" si="54"/>
        <v>-</v>
      </c>
      <c r="AO31" s="286" t="str">
        <f>IF(OR(H31="",H31="Sem monitoramento"),"VAZIO",IFERROR(H31/($AI31*24),"-"))</f>
        <v>-</v>
      </c>
      <c r="AP31" s="286" t="str">
        <f>IF(OR(I31="",I31="Sem monitoramento"),"VAZIO",IFERROR(I31/($AI31*24),"-"))</f>
        <v>-</v>
      </c>
      <c r="AQ31" s="286" t="str">
        <f>IF(OR(J31="",J31="Sem monitoramento"),"VAZIO",IFERROR(J31/($AI31*24),"-"))</f>
        <v>-</v>
      </c>
      <c r="AR31" s="286" t="str">
        <f t="shared" si="43"/>
        <v>-</v>
      </c>
      <c r="AS31" s="286" t="str">
        <f t="shared" si="44"/>
        <v>-</v>
      </c>
      <c r="AT31" s="286" t="str">
        <f t="shared" si="50"/>
        <v>-</v>
      </c>
      <c r="AU31" s="286" t="str">
        <f>IF(OR(N31="",N31="Sem monitoramento"),"VAZIO",IFERROR(N31/($AI31*24),"-"))</f>
        <v>-</v>
      </c>
      <c r="AV31" s="286" t="str">
        <f t="shared" si="51"/>
        <v>-</v>
      </c>
      <c r="AW31" s="286" t="str">
        <f t="shared" si="17"/>
        <v>-</v>
      </c>
      <c r="AX31" s="286" t="str">
        <f t="shared" si="39"/>
        <v>-</v>
      </c>
      <c r="AY31" s="286" t="str">
        <f t="shared" si="45"/>
        <v>-</v>
      </c>
      <c r="AZ31" s="286" t="str">
        <f t="shared" si="47"/>
        <v>-</v>
      </c>
      <c r="BA31" s="286" t="str">
        <f t="shared" si="36"/>
        <v>-</v>
      </c>
      <c r="BB31" s="286" t="str">
        <f t="shared" si="37"/>
        <v>-</v>
      </c>
      <c r="BC31" s="286" t="str">
        <f t="shared" si="52"/>
        <v>-</v>
      </c>
      <c r="BD31" s="286" t="str">
        <f>IF(OR(W31="",W31="Sem monitoramento"),"VAZIO",IFERROR(W31/($AI31*24),"-"))</f>
        <v>-</v>
      </c>
      <c r="BE31" s="286" t="str">
        <f t="shared" si="53"/>
        <v>-</v>
      </c>
      <c r="BF31" s="286" t="str">
        <f t="shared" si="46"/>
        <v>-</v>
      </c>
      <c r="BG31" s="286" t="str">
        <f>IF(OR(Z31="",Z31="Sem monitoramento"),"VAZIO",IFERROR(Z31/($AI31*24),"-"))</f>
        <v>-</v>
      </c>
      <c r="BH31" s="286" t="str">
        <f t="shared" si="27"/>
        <v>-</v>
      </c>
      <c r="BI31" s="286" t="str">
        <f t="shared" si="49"/>
        <v>-</v>
      </c>
      <c r="BJ31" s="286" t="str">
        <f t="shared" si="20"/>
        <v>-</v>
      </c>
      <c r="BK31" s="286" t="str">
        <f t="shared" si="48"/>
        <v>-</v>
      </c>
      <c r="BL31" s="286" t="str">
        <f t="shared" si="40"/>
        <v>-</v>
      </c>
      <c r="BM31" s="286" t="str">
        <f t="shared" si="41"/>
        <v>-</v>
      </c>
      <c r="BN31" s="286" t="str">
        <f>IF(OR(AG31="",AG31="Sem monitoramento"),"VAZIO",IFERROR(AG31/($AI31*24),"-"))</f>
        <v>-</v>
      </c>
      <c r="BO31" s="286" t="e">
        <f t="shared" si="6"/>
        <v>#DIV/0!</v>
      </c>
      <c r="BP31" s="198"/>
      <c r="BQ31" s="287"/>
      <c r="BR31" s="288"/>
      <c r="BS31" s="289"/>
      <c r="BT31" s="2"/>
      <c r="BU31" s="3"/>
      <c r="BV31" s="2"/>
      <c r="BW31" s="2"/>
    </row>
    <row r="32" spans="2:75" ht="18" x14ac:dyDescent="0.3">
      <c r="B32" s="776" t="s">
        <v>113</v>
      </c>
      <c r="C32" s="776"/>
      <c r="D32" s="103">
        <f>SUM(D5:D31)</f>
        <v>12418.200000000003</v>
      </c>
      <c r="E32" s="103">
        <f>SUM(E5:E31)</f>
        <v>10489.5</v>
      </c>
      <c r="F32" s="103">
        <f>SUM(F5:F31)</f>
        <v>8424.6</v>
      </c>
      <c r="G32" s="103">
        <f>SUM(G5:G31)</f>
        <v>9787.5999999999985</v>
      </c>
      <c r="H32" s="103">
        <f t="shared" ref="H32:AG32" si="56">SUM(H5:H31)</f>
        <v>10413.200000000003</v>
      </c>
      <c r="I32" s="103">
        <f t="shared" si="56"/>
        <v>5964.3</v>
      </c>
      <c r="J32" s="103">
        <f t="shared" si="56"/>
        <v>9909.3999999999978</v>
      </c>
      <c r="K32" s="103">
        <f t="shared" si="56"/>
        <v>10542.800000000001</v>
      </c>
      <c r="L32" s="103">
        <f t="shared" si="56"/>
        <v>12010.600000000002</v>
      </c>
      <c r="M32" s="103">
        <f t="shared" si="56"/>
        <v>12766.500000000004</v>
      </c>
      <c r="N32" s="103">
        <f t="shared" si="56"/>
        <v>12812.1</v>
      </c>
      <c r="O32" s="103">
        <f t="shared" si="56"/>
        <v>13071.099999999999</v>
      </c>
      <c r="P32" s="103">
        <f t="shared" si="56"/>
        <v>12860.9</v>
      </c>
      <c r="Q32" s="103">
        <f t="shared" si="56"/>
        <v>12081.199999999999</v>
      </c>
      <c r="R32" s="103">
        <f t="shared" si="56"/>
        <v>9520.7999999999975</v>
      </c>
      <c r="S32" s="103">
        <f t="shared" si="56"/>
        <v>7951.6000000000013</v>
      </c>
      <c r="T32" s="103">
        <f t="shared" si="56"/>
        <v>3987.4</v>
      </c>
      <c r="U32" s="103">
        <f>SUM(U5:U31)</f>
        <v>4094.9999999999995</v>
      </c>
      <c r="V32" s="103">
        <f t="shared" si="56"/>
        <v>9138.8000000000011</v>
      </c>
      <c r="W32" s="103">
        <f t="shared" si="56"/>
        <v>9357.8000000000011</v>
      </c>
      <c r="X32" s="103">
        <f t="shared" si="56"/>
        <v>10637.299999999997</v>
      </c>
      <c r="Y32" s="103">
        <f t="shared" si="56"/>
        <v>8229.5000000000018</v>
      </c>
      <c r="Z32" s="103">
        <f t="shared" si="56"/>
        <v>12516.5</v>
      </c>
      <c r="AA32" s="103">
        <f t="shared" si="56"/>
        <v>13302.3</v>
      </c>
      <c r="AB32" s="103">
        <f>SUM(AB5:AB31)</f>
        <v>13027.1</v>
      </c>
      <c r="AC32" s="103">
        <f t="shared" si="56"/>
        <v>13320.76</v>
      </c>
      <c r="AD32" s="103">
        <f t="shared" si="56"/>
        <v>11294.099999999999</v>
      </c>
      <c r="AE32" s="103">
        <f t="shared" si="56"/>
        <v>6536.7000000000016</v>
      </c>
      <c r="AF32" s="103">
        <f t="shared" si="56"/>
        <v>11081.300000000001</v>
      </c>
      <c r="AG32" s="103">
        <f t="shared" si="56"/>
        <v>9438.1</v>
      </c>
      <c r="AH32" s="189">
        <f>SUM(AH5:AH31)</f>
        <v>306987.05999999994</v>
      </c>
      <c r="AI32" s="104">
        <f>SUM(AI5:AI31)</f>
        <v>2329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U32" s="3"/>
      <c r="BV32" s="2"/>
      <c r="BW32" s="2"/>
    </row>
    <row r="33" spans="2:75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190" t="str">
        <f>_xlfn.CONCAT(ROUND(AH32/1000,3)," MWh")</f>
        <v>306,987 MWh</v>
      </c>
      <c r="AI33" s="2"/>
      <c r="AM33" s="778">
        <v>12</v>
      </c>
      <c r="AV33">
        <v>1000</v>
      </c>
      <c r="AW33">
        <v>1000</v>
      </c>
      <c r="BQ33" s="9"/>
      <c r="BS33" s="2"/>
      <c r="BU33" s="2"/>
      <c r="BV33" s="2"/>
      <c r="BW33" s="2"/>
    </row>
    <row r="34" spans="2:75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91" t="str">
        <f>_xlfn.CONCAT(ROUND($AH$32/COUNTIF($D$32:$AG$32,"&lt;&gt;0"),3)," kWh")</f>
        <v>10232,902 kWh</v>
      </c>
      <c r="AI34" s="2"/>
      <c r="AJ34" s="2"/>
      <c r="AK34" s="2"/>
      <c r="AL34" s="2"/>
      <c r="AM34" s="779"/>
      <c r="AU34">
        <v>900</v>
      </c>
      <c r="AV34">
        <v>100</v>
      </c>
      <c r="BQ34" s="11"/>
      <c r="BS34" s="106"/>
      <c r="BT34" s="3" t="s">
        <v>114</v>
      </c>
    </row>
    <row r="35" spans="2:75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91" t="str">
        <f>_xlfn.CONCAT(ROUND($AH$32/COUNTIF($D$32:$AG$32,"&lt;&gt;0"),3)*30," kWh")</f>
        <v>306987,06 kWh</v>
      </c>
      <c r="AI35" s="2"/>
      <c r="AJ35" s="2"/>
      <c r="AK35" s="2"/>
      <c r="AL35" s="2"/>
      <c r="AM35" s="780"/>
      <c r="BQ35" s="2"/>
      <c r="BS35" s="109"/>
      <c r="BT35" s="5" t="s">
        <v>116</v>
      </c>
    </row>
    <row r="36" spans="2:75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91" t="str">
        <f>_xlfn.CONCAT(ROUND(($AH$32/COUNTIF($D$32:$AG$32,"&lt;&gt;0"))*30/1000,3)," MWh")</f>
        <v>306,987 MWh</v>
      </c>
      <c r="AM36" s="778">
        <v>67</v>
      </c>
    </row>
    <row r="37" spans="2:75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  <c r="AM37" s="779"/>
    </row>
    <row r="38" spans="2:75" x14ac:dyDescent="0.3">
      <c r="AC38">
        <v>60.6</v>
      </c>
      <c r="AM38" s="780"/>
    </row>
    <row r="39" spans="2:75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  <c r="AM39" s="778">
        <v>49</v>
      </c>
    </row>
    <row r="40" spans="2:75" x14ac:dyDescent="0.3">
      <c r="N40">
        <v>91151.5</v>
      </c>
      <c r="O40">
        <f>N41-N40</f>
        <v>734</v>
      </c>
      <c r="X40" s="102"/>
      <c r="AF40">
        <f>AF39-20.4</f>
        <v>53905.2</v>
      </c>
      <c r="AM40" s="779"/>
    </row>
    <row r="41" spans="2:75" x14ac:dyDescent="0.3">
      <c r="N41">
        <v>91885.5</v>
      </c>
      <c r="X41" s="102"/>
      <c r="AF41">
        <f>AF40-AD39</f>
        <v>263.19999999999709</v>
      </c>
      <c r="AM41" s="780"/>
    </row>
    <row r="42" spans="2:75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  <c r="AM42" s="778">
        <v>33</v>
      </c>
    </row>
    <row r="43" spans="2:75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L43" s="63">
        <v>19.7</v>
      </c>
      <c r="AM43" s="779"/>
    </row>
    <row r="44" spans="2:75" x14ac:dyDescent="0.3">
      <c r="B44" s="751" t="s">
        <v>6</v>
      </c>
      <c r="C44" s="18" t="s">
        <v>7</v>
      </c>
      <c r="D44" s="163">
        <f>D5+Agosto23!AF41</f>
        <v>48904.3</v>
      </c>
      <c r="E44" s="164">
        <f t="shared" ref="E44:F59" si="57">D44+E5</f>
        <v>48954.400000000001</v>
      </c>
      <c r="F44" s="164">
        <f t="shared" si="57"/>
        <v>48996.9</v>
      </c>
      <c r="G44" s="165">
        <v>49036.4</v>
      </c>
      <c r="H44" s="166">
        <v>49076</v>
      </c>
      <c r="I44" s="163">
        <f t="shared" ref="I44:V59" si="58">H44+I5</f>
        <v>49113.8</v>
      </c>
      <c r="J44" s="163">
        <f t="shared" si="58"/>
        <v>49162</v>
      </c>
      <c r="K44" s="163">
        <f t="shared" si="58"/>
        <v>49213.1</v>
      </c>
      <c r="L44" s="163">
        <f t="shared" si="58"/>
        <v>49271.799999999996</v>
      </c>
      <c r="M44" s="163">
        <f t="shared" si="58"/>
        <v>49335.199999999997</v>
      </c>
      <c r="N44" s="163">
        <f t="shared" si="58"/>
        <v>49397.2</v>
      </c>
      <c r="O44" s="163">
        <f t="shared" si="58"/>
        <v>49460</v>
      </c>
      <c r="P44" s="163">
        <f t="shared" si="58"/>
        <v>49522.1</v>
      </c>
      <c r="Q44" s="163">
        <f t="shared" si="58"/>
        <v>49580.9</v>
      </c>
      <c r="R44" s="163">
        <f t="shared" si="58"/>
        <v>49635</v>
      </c>
      <c r="S44" s="163">
        <f t="shared" si="58"/>
        <v>49672.9</v>
      </c>
      <c r="T44" s="163">
        <f t="shared" si="58"/>
        <v>49693.200000000004</v>
      </c>
      <c r="U44" s="163">
        <f t="shared" si="58"/>
        <v>49712.3</v>
      </c>
      <c r="V44" s="163">
        <f t="shared" si="58"/>
        <v>49755.4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L44" s="63">
        <f>20.7+88.5</f>
        <v>109.2</v>
      </c>
      <c r="AM44" s="780"/>
    </row>
    <row r="45" spans="2:75" x14ac:dyDescent="0.3">
      <c r="B45" s="752"/>
      <c r="C45" s="18" t="s">
        <v>8</v>
      </c>
      <c r="D45" s="163">
        <f>D6+Agosto23!AF42</f>
        <v>99119.900000000009</v>
      </c>
      <c r="E45" s="164">
        <f t="shared" si="57"/>
        <v>99423.700000000012</v>
      </c>
      <c r="F45" s="164">
        <f t="shared" si="57"/>
        <v>99655.700000000012</v>
      </c>
      <c r="G45" s="165">
        <f>21775+78123.8</f>
        <v>99898.8</v>
      </c>
      <c r="H45" s="166">
        <f>21823+78322.8</f>
        <v>100145.8</v>
      </c>
      <c r="I45" s="163">
        <f t="shared" si="58"/>
        <v>100285.8</v>
      </c>
      <c r="J45" s="163">
        <f t="shared" si="58"/>
        <v>100558.3</v>
      </c>
      <c r="K45" s="163">
        <f t="shared" si="58"/>
        <v>100852.2</v>
      </c>
      <c r="L45" s="163">
        <f t="shared" si="58"/>
        <v>101177.8</v>
      </c>
      <c r="M45" s="163">
        <f t="shared" si="58"/>
        <v>101551.8</v>
      </c>
      <c r="N45" s="163">
        <f t="shared" si="58"/>
        <v>101917.6</v>
      </c>
      <c r="O45" s="163">
        <f t="shared" si="58"/>
        <v>102291.1</v>
      </c>
      <c r="P45" s="163">
        <f t="shared" si="58"/>
        <v>102660.90000000001</v>
      </c>
      <c r="Q45" s="163">
        <f t="shared" si="58"/>
        <v>103010.90000000001</v>
      </c>
      <c r="R45" s="163">
        <f t="shared" si="58"/>
        <v>103326.00000000001</v>
      </c>
      <c r="S45" s="163">
        <f t="shared" si="58"/>
        <v>103543.80000000002</v>
      </c>
      <c r="T45" s="163">
        <f t="shared" si="58"/>
        <v>103657.20000000001</v>
      </c>
      <c r="U45" s="163">
        <f t="shared" si="58"/>
        <v>103766.30000000002</v>
      </c>
      <c r="V45" s="163">
        <f t="shared" si="58"/>
        <v>103997.50000000001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L45" s="63">
        <v>82.2</v>
      </c>
      <c r="AM45" s="778">
        <v>12</v>
      </c>
    </row>
    <row r="46" spans="2:75" x14ac:dyDescent="0.3">
      <c r="B46" s="752"/>
      <c r="C46" s="18" t="s">
        <v>9</v>
      </c>
      <c r="D46" s="163">
        <f>D7+Agosto23!AF43</f>
        <v>69928.2</v>
      </c>
      <c r="E46" s="164">
        <f t="shared" si="57"/>
        <v>70148.399999999994</v>
      </c>
      <c r="F46" s="164">
        <f t="shared" si="57"/>
        <v>70331.5</v>
      </c>
      <c r="G46" s="165">
        <v>70458.2</v>
      </c>
      <c r="H46" s="166">
        <v>70615.5</v>
      </c>
      <c r="I46" s="163">
        <f t="shared" si="58"/>
        <v>70732.399999999994</v>
      </c>
      <c r="J46" s="163">
        <f t="shared" si="58"/>
        <v>70941.299999999988</v>
      </c>
      <c r="K46" s="163">
        <f t="shared" si="58"/>
        <v>71160.799999999988</v>
      </c>
      <c r="L46" s="163">
        <f t="shared" si="58"/>
        <v>71410.999999999985</v>
      </c>
      <c r="M46" s="163">
        <f t="shared" si="58"/>
        <v>71679.499999999985</v>
      </c>
      <c r="N46" s="163">
        <f t="shared" si="58"/>
        <v>71944.499999999985</v>
      </c>
      <c r="O46" s="163">
        <f t="shared" si="58"/>
        <v>72211.599999999991</v>
      </c>
      <c r="P46" s="163">
        <f t="shared" si="58"/>
        <v>72476.399999999994</v>
      </c>
      <c r="Q46" s="163">
        <f t="shared" si="58"/>
        <v>72725.299999999988</v>
      </c>
      <c r="R46" s="163">
        <f t="shared" si="58"/>
        <v>72955.199999999983</v>
      </c>
      <c r="S46" s="163">
        <f t="shared" si="58"/>
        <v>73112.099999999977</v>
      </c>
      <c r="T46" s="163">
        <f t="shared" si="58"/>
        <v>73198.89999999998</v>
      </c>
      <c r="U46" s="163" t="e">
        <f>T46+#REF!</f>
        <v>#REF!</v>
      </c>
      <c r="V46" s="163" t="e">
        <f t="shared" si="58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L46" s="63">
        <v>57.3</v>
      </c>
      <c r="AM46" s="779"/>
    </row>
    <row r="47" spans="2:75" x14ac:dyDescent="0.3">
      <c r="B47" s="752"/>
      <c r="C47" s="18" t="s">
        <v>10</v>
      </c>
      <c r="D47" s="163">
        <f>D8+Agosto23!AF44</f>
        <v>95772.3</v>
      </c>
      <c r="E47" s="164">
        <f t="shared" si="57"/>
        <v>95897</v>
      </c>
      <c r="F47" s="164">
        <f t="shared" si="57"/>
        <v>96000.9</v>
      </c>
      <c r="G47" s="165">
        <v>96154</v>
      </c>
      <c r="H47" s="166">
        <v>96261.9</v>
      </c>
      <c r="I47" s="163" t="e">
        <f>H47+#REF!</f>
        <v>#REF!</v>
      </c>
      <c r="J47" s="163" t="e">
        <f t="shared" si="58"/>
        <v>#REF!</v>
      </c>
      <c r="K47" s="163" t="e">
        <f t="shared" si="58"/>
        <v>#REF!</v>
      </c>
      <c r="L47" s="163" t="e">
        <f t="shared" si="58"/>
        <v>#REF!</v>
      </c>
      <c r="M47" s="163" t="e">
        <f t="shared" si="58"/>
        <v>#REF!</v>
      </c>
      <c r="N47" s="163" t="e">
        <f t="shared" si="58"/>
        <v>#REF!</v>
      </c>
      <c r="O47" s="163" t="e">
        <f t="shared" si="58"/>
        <v>#REF!</v>
      </c>
      <c r="P47" s="163" t="e">
        <f t="shared" si="58"/>
        <v>#REF!</v>
      </c>
      <c r="Q47" s="163" t="e">
        <f t="shared" si="58"/>
        <v>#REF!</v>
      </c>
      <c r="R47" s="163" t="e">
        <f t="shared" si="58"/>
        <v>#REF!</v>
      </c>
      <c r="S47" s="163" t="e">
        <f t="shared" si="58"/>
        <v>#REF!</v>
      </c>
      <c r="T47" s="163" t="e">
        <f t="shared" si="58"/>
        <v>#REF!</v>
      </c>
      <c r="U47" s="163" t="e">
        <f>T47+#REF!</f>
        <v>#REF!</v>
      </c>
      <c r="V47" s="163" t="e">
        <f t="shared" si="58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L47" s="63">
        <v>17.7</v>
      </c>
      <c r="AM47" s="780"/>
    </row>
    <row r="48" spans="2:75" x14ac:dyDescent="0.3">
      <c r="B48" s="752"/>
      <c r="C48" s="18" t="s">
        <v>11</v>
      </c>
      <c r="D48" s="163">
        <f>D10+Agosto23!AF45</f>
        <v>18867.099999999999</v>
      </c>
      <c r="E48" s="164">
        <f t="shared" si="57"/>
        <v>18920.5</v>
      </c>
      <c r="F48" s="164">
        <f t="shared" si="57"/>
        <v>18963.5</v>
      </c>
      <c r="G48" s="165">
        <v>18957</v>
      </c>
      <c r="H48" s="166">
        <v>18998</v>
      </c>
      <c r="I48" s="163">
        <f t="shared" si="58"/>
        <v>19024</v>
      </c>
      <c r="J48" s="163">
        <f>I48+J10</f>
        <v>19117.8</v>
      </c>
      <c r="K48" s="163">
        <f t="shared" si="58"/>
        <v>19170</v>
      </c>
      <c r="L48" s="163">
        <f t="shared" si="58"/>
        <v>19230.400000000001</v>
      </c>
      <c r="M48" s="163">
        <f t="shared" si="58"/>
        <v>19297</v>
      </c>
      <c r="N48" s="163">
        <f t="shared" si="58"/>
        <v>19361.599999999999</v>
      </c>
      <c r="O48" s="163">
        <f t="shared" si="58"/>
        <v>19427.3</v>
      </c>
      <c r="P48" s="163">
        <f>O48+P10</f>
        <v>19555.7</v>
      </c>
      <c r="Q48" s="163">
        <f t="shared" si="58"/>
        <v>19616.5</v>
      </c>
      <c r="R48" s="163">
        <f t="shared" si="58"/>
        <v>19670.7</v>
      </c>
      <c r="S48" s="163">
        <f t="shared" si="58"/>
        <v>19709.5</v>
      </c>
      <c r="T48" s="163">
        <f t="shared" si="58"/>
        <v>19728.7</v>
      </c>
      <c r="U48" s="163">
        <f>T48+U7</f>
        <v>19805.400000000001</v>
      </c>
      <c r="V48" s="163">
        <f t="shared" si="58"/>
        <v>19846.7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L48" s="63">
        <v>37.700000000000003</v>
      </c>
      <c r="AM48" s="778">
        <v>25</v>
      </c>
    </row>
    <row r="49" spans="2:39" x14ac:dyDescent="0.3">
      <c r="B49" s="752"/>
      <c r="C49" s="18" t="s">
        <v>12</v>
      </c>
      <c r="D49" s="163" t="e">
        <f>#REF!+Agosto23!AF46</f>
        <v>#REF!</v>
      </c>
      <c r="E49" s="164" t="e">
        <f t="shared" si="57"/>
        <v>#REF!</v>
      </c>
      <c r="F49" s="164" t="e">
        <f t="shared" si="57"/>
        <v>#REF!</v>
      </c>
      <c r="G49" s="165">
        <v>58550</v>
      </c>
      <c r="H49" s="166">
        <v>58640</v>
      </c>
      <c r="I49" s="163">
        <f>H49+I8</f>
        <v>58706.3</v>
      </c>
      <c r="J49" s="163" t="e">
        <f>I49+#REF!</f>
        <v>#REF!</v>
      </c>
      <c r="K49" s="163" t="e">
        <f t="shared" si="58"/>
        <v>#REF!</v>
      </c>
      <c r="L49" s="163" t="e">
        <f t="shared" si="58"/>
        <v>#REF!</v>
      </c>
      <c r="M49" s="163" t="e">
        <f t="shared" si="58"/>
        <v>#REF!</v>
      </c>
      <c r="N49" s="163" t="e">
        <f t="shared" si="58"/>
        <v>#REF!</v>
      </c>
      <c r="O49" s="163" t="e">
        <f t="shared" si="58"/>
        <v>#REF!</v>
      </c>
      <c r="P49" s="163" t="e">
        <f>O49+#REF!</f>
        <v>#REF!</v>
      </c>
      <c r="Q49" s="163" t="e">
        <f t="shared" si="58"/>
        <v>#REF!</v>
      </c>
      <c r="R49" s="163" t="e">
        <f t="shared" si="58"/>
        <v>#REF!</v>
      </c>
      <c r="S49" s="163" t="e">
        <f t="shared" si="58"/>
        <v>#REF!</v>
      </c>
      <c r="T49" s="163" t="e">
        <f t="shared" si="58"/>
        <v>#REF!</v>
      </c>
      <c r="U49" s="163" t="e">
        <f>T49+U8</f>
        <v>#REF!</v>
      </c>
      <c r="V49" s="163" t="e">
        <f t="shared" si="58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L49" s="63">
        <v>151.30000000000001</v>
      </c>
      <c r="AM49" s="779"/>
    </row>
    <row r="50" spans="2:39" x14ac:dyDescent="0.3">
      <c r="B50" s="752"/>
      <c r="C50" s="18" t="s">
        <v>13</v>
      </c>
      <c r="D50" s="163">
        <f>D11+Agosto23!AF47</f>
        <v>230345</v>
      </c>
      <c r="E50" s="164">
        <f t="shared" si="57"/>
        <v>230682.4</v>
      </c>
      <c r="F50" s="164">
        <f t="shared" si="57"/>
        <v>230951.1</v>
      </c>
      <c r="G50" s="165">
        <v>231148.9</v>
      </c>
      <c r="H50" s="166">
        <v>231319.5</v>
      </c>
      <c r="I50" s="163">
        <f t="shared" si="58"/>
        <v>231510.1</v>
      </c>
      <c r="J50" s="163">
        <f t="shared" si="58"/>
        <v>231799.7</v>
      </c>
      <c r="K50" s="163">
        <f t="shared" si="58"/>
        <v>232126.30000000002</v>
      </c>
      <c r="L50" s="163">
        <f t="shared" si="58"/>
        <v>232511.6</v>
      </c>
      <c r="M50" s="163">
        <f t="shared" si="58"/>
        <v>232927.4</v>
      </c>
      <c r="N50" s="163">
        <f t="shared" si="58"/>
        <v>233336.1</v>
      </c>
      <c r="O50" s="163">
        <f t="shared" si="58"/>
        <v>233751.30000000002</v>
      </c>
      <c r="P50" s="163">
        <f t="shared" si="58"/>
        <v>234161.80000000002</v>
      </c>
      <c r="Q50" s="163">
        <f t="shared" si="58"/>
        <v>234556.2</v>
      </c>
      <c r="R50" s="163">
        <f t="shared" si="58"/>
        <v>234914.7</v>
      </c>
      <c r="S50" s="163">
        <f t="shared" si="58"/>
        <v>235175.1</v>
      </c>
      <c r="T50" s="163">
        <f t="shared" si="58"/>
        <v>235311.4</v>
      </c>
      <c r="U50" s="163">
        <f t="shared" si="58"/>
        <v>235446.3</v>
      </c>
      <c r="V50" s="163">
        <f t="shared" si="58"/>
        <v>235713.19999999998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L50" s="82">
        <v>81.099999999999994</v>
      </c>
      <c r="AM50" s="780"/>
    </row>
    <row r="51" spans="2:39" x14ac:dyDescent="0.3">
      <c r="B51" s="753"/>
      <c r="C51" s="18" t="s">
        <v>14</v>
      </c>
      <c r="D51" s="163">
        <f>D12+Agosto23!AF48</f>
        <v>954</v>
      </c>
      <c r="E51" s="164">
        <f t="shared" si="57"/>
        <v>1264</v>
      </c>
      <c r="F51" s="164">
        <f t="shared" si="57"/>
        <v>1514</v>
      </c>
      <c r="G51" s="165">
        <v>1440</v>
      </c>
      <c r="H51" s="166">
        <v>1620</v>
      </c>
      <c r="I51" s="163">
        <f t="shared" si="58"/>
        <v>1770</v>
      </c>
      <c r="J51" s="163">
        <f t="shared" si="58"/>
        <v>2040</v>
      </c>
      <c r="K51" s="163">
        <f t="shared" si="58"/>
        <v>2340</v>
      </c>
      <c r="L51" s="163">
        <f t="shared" si="58"/>
        <v>2660</v>
      </c>
      <c r="M51" s="163">
        <f t="shared" si="58"/>
        <v>3040</v>
      </c>
      <c r="N51" s="163">
        <f t="shared" si="58"/>
        <v>3410</v>
      </c>
      <c r="O51" s="163">
        <f t="shared" si="58"/>
        <v>3790</v>
      </c>
      <c r="P51" s="163">
        <f t="shared" si="58"/>
        <v>4165</v>
      </c>
      <c r="Q51" s="163">
        <f t="shared" si="58"/>
        <v>4535</v>
      </c>
      <c r="R51" s="163">
        <f t="shared" si="58"/>
        <v>4855</v>
      </c>
      <c r="S51" s="163">
        <f t="shared" si="58"/>
        <v>5105</v>
      </c>
      <c r="T51" s="163">
        <f t="shared" si="58"/>
        <v>5205</v>
      </c>
      <c r="U51" s="163">
        <f t="shared" si="58"/>
        <v>5300</v>
      </c>
      <c r="V51" s="163">
        <f t="shared" si="58"/>
        <v>5545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L51" s="63">
        <v>156.9</v>
      </c>
      <c r="AM51" s="778">
        <v>78</v>
      </c>
    </row>
    <row r="52" spans="2:39" x14ac:dyDescent="0.3">
      <c r="B52" s="751" t="s">
        <v>16</v>
      </c>
      <c r="C52" s="18" t="s">
        <v>17</v>
      </c>
      <c r="D52" s="163">
        <f>D13+Agosto23!AF49</f>
        <v>137432.70000000001</v>
      </c>
      <c r="E52" s="164">
        <f t="shared" si="57"/>
        <v>137900.30000000002</v>
      </c>
      <c r="F52" s="164">
        <f t="shared" si="57"/>
        <v>138240.00000000003</v>
      </c>
      <c r="G52" s="165">
        <v>138545</v>
      </c>
      <c r="H52" s="166">
        <v>138937</v>
      </c>
      <c r="I52" s="163">
        <f t="shared" si="58"/>
        <v>139177</v>
      </c>
      <c r="J52" s="163">
        <f t="shared" si="58"/>
        <v>139566.39999999999</v>
      </c>
      <c r="K52" s="163">
        <f t="shared" si="58"/>
        <v>140001.79999999999</v>
      </c>
      <c r="L52" s="163">
        <f t="shared" si="58"/>
        <v>140466.09999999998</v>
      </c>
      <c r="M52" s="163">
        <f t="shared" si="58"/>
        <v>141014.79999999999</v>
      </c>
      <c r="N52" s="163">
        <f t="shared" si="58"/>
        <v>141552.5</v>
      </c>
      <c r="O52" s="163">
        <f t="shared" si="58"/>
        <v>142101.79999999999</v>
      </c>
      <c r="P52" s="163">
        <f t="shared" si="58"/>
        <v>142641.9</v>
      </c>
      <c r="Q52" s="163">
        <f t="shared" si="58"/>
        <v>143165.6</v>
      </c>
      <c r="R52" s="163">
        <f t="shared" si="58"/>
        <v>143633.20000000001</v>
      </c>
      <c r="S52" s="163">
        <f t="shared" si="58"/>
        <v>143971.80000000002</v>
      </c>
      <c r="T52" s="163">
        <f t="shared" si="58"/>
        <v>144147.50000000003</v>
      </c>
      <c r="U52" s="163">
        <f t="shared" si="58"/>
        <v>144307.60000000003</v>
      </c>
      <c r="V52" s="163">
        <f t="shared" si="58"/>
        <v>144643.00000000003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L52" s="63">
        <v>195.6</v>
      </c>
      <c r="AM52" s="779"/>
    </row>
    <row r="53" spans="2:39" x14ac:dyDescent="0.3">
      <c r="B53" s="752"/>
      <c r="C53" s="18" t="s">
        <v>18</v>
      </c>
      <c r="D53" s="163">
        <f>D14+Agosto23!AF50</f>
        <v>127782.8</v>
      </c>
      <c r="E53" s="164">
        <f t="shared" si="57"/>
        <v>128258.2</v>
      </c>
      <c r="F53" s="164">
        <f t="shared" si="57"/>
        <v>128627.59999999999</v>
      </c>
      <c r="G53" s="165">
        <v>128878</v>
      </c>
      <c r="H53" s="166">
        <v>129112</v>
      </c>
      <c r="I53" s="163">
        <f t="shared" si="58"/>
        <v>129376.8</v>
      </c>
      <c r="J53" s="163">
        <f t="shared" si="58"/>
        <v>129779</v>
      </c>
      <c r="K53" s="163">
        <f t="shared" si="58"/>
        <v>130235.4</v>
      </c>
      <c r="L53" s="163">
        <f t="shared" si="58"/>
        <v>130760.7</v>
      </c>
      <c r="M53" s="163">
        <f t="shared" si="58"/>
        <v>131311.5</v>
      </c>
      <c r="N53" s="163">
        <f t="shared" si="58"/>
        <v>131859.29999999999</v>
      </c>
      <c r="O53" s="163">
        <f>N53+O14</f>
        <v>132412.5</v>
      </c>
      <c r="P53" s="163">
        <f t="shared" si="58"/>
        <v>132953.5</v>
      </c>
      <c r="Q53" s="163">
        <f t="shared" si="58"/>
        <v>133483.20000000001</v>
      </c>
      <c r="R53" s="163">
        <f t="shared" si="58"/>
        <v>133974.1</v>
      </c>
      <c r="S53" s="163">
        <f t="shared" si="58"/>
        <v>134331.9</v>
      </c>
      <c r="T53" s="163" t="e">
        <f>S53+#REF!</f>
        <v>#REF!</v>
      </c>
      <c r="U53" s="163" t="e">
        <f>T53+U14</f>
        <v>#REF!</v>
      </c>
      <c r="V53" s="163" t="e">
        <f t="shared" si="58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L53" s="63">
        <v>55.4</v>
      </c>
      <c r="AM53" s="780"/>
    </row>
    <row r="54" spans="2:39" x14ac:dyDescent="0.3">
      <c r="B54" s="752"/>
      <c r="C54" s="18" t="s">
        <v>19</v>
      </c>
      <c r="D54" s="163">
        <f>D15+Agosto23!AF51</f>
        <v>37846.6</v>
      </c>
      <c r="E54" s="164">
        <f t="shared" si="57"/>
        <v>37972.6</v>
      </c>
      <c r="F54" s="164">
        <f t="shared" si="57"/>
        <v>38072.799999999996</v>
      </c>
      <c r="G54" s="165">
        <v>38160</v>
      </c>
      <c r="H54" s="166">
        <v>38222</v>
      </c>
      <c r="I54" s="163">
        <f t="shared" si="58"/>
        <v>38292.800000000003</v>
      </c>
      <c r="J54" s="163">
        <f t="shared" si="58"/>
        <v>38401.600000000006</v>
      </c>
      <c r="K54" s="163">
        <f t="shared" si="58"/>
        <v>38523.600000000006</v>
      </c>
      <c r="L54" s="163">
        <f t="shared" si="58"/>
        <v>38667.900000000009</v>
      </c>
      <c r="M54" s="163">
        <f t="shared" si="58"/>
        <v>38820.80000000001</v>
      </c>
      <c r="N54" s="163">
        <f t="shared" si="58"/>
        <v>38971.30000000001</v>
      </c>
      <c r="O54" s="163">
        <f>N54+O15</f>
        <v>39123.400000000009</v>
      </c>
      <c r="P54" s="163">
        <f t="shared" si="58"/>
        <v>39274.100000000006</v>
      </c>
      <c r="Q54" s="163">
        <f t="shared" si="58"/>
        <v>39418.700000000004</v>
      </c>
      <c r="R54" s="163">
        <f t="shared" si="58"/>
        <v>39549.500000000007</v>
      </c>
      <c r="S54" s="163">
        <f t="shared" si="58"/>
        <v>39646.30000000001</v>
      </c>
      <c r="T54" s="163">
        <f>S54+T15</f>
        <v>39695.000000000007</v>
      </c>
      <c r="U54" s="163">
        <f>T54+U15</f>
        <v>39743.200000000004</v>
      </c>
      <c r="V54" s="163">
        <f t="shared" si="58"/>
        <v>39843.300000000003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L54" s="63">
        <v>183.6</v>
      </c>
      <c r="AM54" s="778">
        <v>60</v>
      </c>
    </row>
    <row r="55" spans="2:39" x14ac:dyDescent="0.3">
      <c r="B55" s="753"/>
      <c r="C55" s="18" t="s">
        <v>20</v>
      </c>
      <c r="D55" s="163">
        <f>D16+Agosto23!AF52</f>
        <v>97439.2</v>
      </c>
      <c r="E55" s="164">
        <f t="shared" si="57"/>
        <v>97701.5</v>
      </c>
      <c r="F55" s="164">
        <f t="shared" si="57"/>
        <v>97701.5</v>
      </c>
      <c r="G55" s="165">
        <v>98510</v>
      </c>
      <c r="H55" s="166">
        <v>98809</v>
      </c>
      <c r="I55" s="163">
        <f t="shared" si="58"/>
        <v>99069.9</v>
      </c>
      <c r="J55" s="163">
        <f t="shared" si="58"/>
        <v>99505.599999999991</v>
      </c>
      <c r="K55" s="163">
        <f t="shared" si="58"/>
        <v>99957.4</v>
      </c>
      <c r="L55" s="163">
        <f t="shared" si="58"/>
        <v>100498.09999999999</v>
      </c>
      <c r="M55" s="163">
        <f t="shared" si="58"/>
        <v>101058.2</v>
      </c>
      <c r="N55" s="163">
        <f t="shared" si="58"/>
        <v>101620.59999999999</v>
      </c>
      <c r="O55" s="163">
        <f t="shared" si="58"/>
        <v>102185.09999999999</v>
      </c>
      <c r="P55" s="163">
        <f t="shared" si="58"/>
        <v>102746.49999999999</v>
      </c>
      <c r="Q55" s="163">
        <f t="shared" si="58"/>
        <v>103014.09999999999</v>
      </c>
      <c r="R55" s="163">
        <f t="shared" si="58"/>
        <v>103045.59999999999</v>
      </c>
      <c r="S55" s="163">
        <f t="shared" si="58"/>
        <v>103105.4</v>
      </c>
      <c r="T55" s="163">
        <f>S55+T14</f>
        <v>103291.09999999999</v>
      </c>
      <c r="U55" s="163">
        <f t="shared" si="58"/>
        <v>103373.2</v>
      </c>
      <c r="V55" s="163">
        <f t="shared" si="58"/>
        <v>103730.09999999999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L55" s="63" t="s">
        <v>31</v>
      </c>
      <c r="AM55" s="779"/>
    </row>
    <row r="56" spans="2:39" x14ac:dyDescent="0.3">
      <c r="B56" s="754" t="s">
        <v>21</v>
      </c>
      <c r="C56" s="18" t="s">
        <v>22</v>
      </c>
      <c r="D56" s="163">
        <f>D17+Agosto23!AF53</f>
        <v>66266.200000000012</v>
      </c>
      <c r="E56" s="164">
        <f t="shared" si="57"/>
        <v>66742.200000000012</v>
      </c>
      <c r="F56" s="164">
        <f t="shared" si="57"/>
        <v>67175.800000000017</v>
      </c>
      <c r="G56" s="165">
        <v>67299</v>
      </c>
      <c r="H56" s="166">
        <v>67726</v>
      </c>
      <c r="I56" s="163">
        <f t="shared" si="58"/>
        <v>67977.399999999994</v>
      </c>
      <c r="J56" s="163">
        <f t="shared" si="58"/>
        <v>68437.099999999991</v>
      </c>
      <c r="K56" s="163" t="e">
        <f>J56+#REF!</f>
        <v>#REF!</v>
      </c>
      <c r="L56" s="163" t="e">
        <f t="shared" si="58"/>
        <v>#REF!</v>
      </c>
      <c r="M56" s="163" t="e">
        <f t="shared" si="58"/>
        <v>#REF!</v>
      </c>
      <c r="N56" s="163" t="e">
        <f>M56+N18</f>
        <v>#REF!</v>
      </c>
      <c r="O56" s="163" t="e">
        <f t="shared" si="58"/>
        <v>#REF!</v>
      </c>
      <c r="P56" s="163" t="e">
        <f t="shared" si="58"/>
        <v>#REF!</v>
      </c>
      <c r="Q56" s="163" t="e">
        <f t="shared" si="58"/>
        <v>#REF!</v>
      </c>
      <c r="R56" s="163" t="e">
        <f t="shared" si="58"/>
        <v>#REF!</v>
      </c>
      <c r="S56" s="163" t="e">
        <f t="shared" si="58"/>
        <v>#REF!</v>
      </c>
      <c r="T56" s="163" t="e">
        <f t="shared" si="58"/>
        <v>#REF!</v>
      </c>
      <c r="U56" s="163" t="e">
        <f t="shared" si="58"/>
        <v>#REF!</v>
      </c>
      <c r="V56" s="163" t="e">
        <f t="shared" si="58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L56" s="63">
        <v>40.200000000000003</v>
      </c>
      <c r="AM56" s="780"/>
    </row>
    <row r="57" spans="2:39" x14ac:dyDescent="0.3">
      <c r="B57" s="754"/>
      <c r="C57" s="18" t="s">
        <v>23</v>
      </c>
      <c r="D57" s="163">
        <f>D18+Agosto23!AF54</f>
        <v>74818.200000000012</v>
      </c>
      <c r="E57" s="164">
        <f t="shared" si="57"/>
        <v>75280.000000000015</v>
      </c>
      <c r="F57" s="164">
        <f t="shared" si="57"/>
        <v>75710.10000000002</v>
      </c>
      <c r="G57" s="165">
        <v>75901</v>
      </c>
      <c r="H57" s="166">
        <v>76333</v>
      </c>
      <c r="I57" s="163">
        <f t="shared" si="58"/>
        <v>76582.3</v>
      </c>
      <c r="J57" s="163">
        <f t="shared" si="58"/>
        <v>77032.600000000006</v>
      </c>
      <c r="K57" s="163">
        <f t="shared" si="58"/>
        <v>77523.8</v>
      </c>
      <c r="L57" s="163">
        <f t="shared" si="58"/>
        <v>78067.3</v>
      </c>
      <c r="M57" s="163">
        <f>L57+M19</f>
        <v>78522.600000000006</v>
      </c>
      <c r="N57" s="163" t="e">
        <f>M57+#REF!</f>
        <v>#REF!</v>
      </c>
      <c r="O57" s="163" t="e">
        <f t="shared" si="58"/>
        <v>#REF!</v>
      </c>
      <c r="P57" s="163" t="e">
        <f t="shared" si="58"/>
        <v>#REF!</v>
      </c>
      <c r="Q57" s="163" t="e">
        <f>P57+Q19</f>
        <v>#REF!</v>
      </c>
      <c r="R57" s="163" t="e">
        <f>Q57+#REF!</f>
        <v>#REF!</v>
      </c>
      <c r="S57" s="163" t="e">
        <f t="shared" si="58"/>
        <v>#REF!</v>
      </c>
      <c r="T57" s="163" t="e">
        <f t="shared" si="58"/>
        <v>#REF!</v>
      </c>
      <c r="U57" s="163" t="e">
        <f t="shared" si="58"/>
        <v>#REF!</v>
      </c>
      <c r="V57" s="163" t="e">
        <f t="shared" si="58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L57" s="63">
        <v>115</v>
      </c>
      <c r="AM57" s="784">
        <v>100</v>
      </c>
    </row>
    <row r="58" spans="2:39" x14ac:dyDescent="0.3">
      <c r="B58" s="754"/>
      <c r="C58" s="18" t="s">
        <v>24</v>
      </c>
      <c r="D58" s="163">
        <f>D19+Agosto23!AF55</f>
        <v>136412.5</v>
      </c>
      <c r="E58" s="164">
        <f t="shared" si="57"/>
        <v>136778.6</v>
      </c>
      <c r="F58" s="164">
        <f t="shared" si="57"/>
        <v>137104.80000000002</v>
      </c>
      <c r="G58" s="165">
        <v>137294</v>
      </c>
      <c r="H58" s="166">
        <v>137664</v>
      </c>
      <c r="I58" s="163">
        <f>H58+I19</f>
        <v>137934.5</v>
      </c>
      <c r="J58" s="163">
        <f t="shared" si="58"/>
        <v>138283.9</v>
      </c>
      <c r="K58" s="163">
        <f t="shared" si="58"/>
        <v>138661.6</v>
      </c>
      <c r="L58" s="163">
        <f>K58+L21</f>
        <v>139074.30000000002</v>
      </c>
      <c r="M58" s="163" t="e">
        <f>L58+#REF!</f>
        <v>#REF!</v>
      </c>
      <c r="N58" s="163" t="e">
        <f t="shared" si="58"/>
        <v>#REF!</v>
      </c>
      <c r="O58" s="163" t="e">
        <f t="shared" si="58"/>
        <v>#REF!</v>
      </c>
      <c r="P58" s="163" t="e">
        <f t="shared" si="58"/>
        <v>#REF!</v>
      </c>
      <c r="Q58" s="163" t="e">
        <f>P58+#REF!</f>
        <v>#REF!</v>
      </c>
      <c r="R58" s="163" t="e">
        <f t="shared" si="58"/>
        <v>#REF!</v>
      </c>
      <c r="S58" s="163" t="e">
        <f t="shared" si="58"/>
        <v>#REF!</v>
      </c>
      <c r="T58" s="163" t="e">
        <f t="shared" si="58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L58" s="63">
        <v>160.30000000000001</v>
      </c>
      <c r="AM58" s="785"/>
    </row>
    <row r="59" spans="2:39" x14ac:dyDescent="0.3">
      <c r="B59" s="754"/>
      <c r="C59" s="18" t="s">
        <v>25</v>
      </c>
      <c r="D59" s="163">
        <f>D20+Agosto23!AF56</f>
        <v>174860.5</v>
      </c>
      <c r="E59" s="164">
        <f t="shared" si="57"/>
        <v>175357</v>
      </c>
      <c r="F59" s="164">
        <f t="shared" si="57"/>
        <v>175778</v>
      </c>
      <c r="G59" s="165">
        <v>176032</v>
      </c>
      <c r="H59" s="166">
        <v>176536</v>
      </c>
      <c r="I59" s="163">
        <f>H59+I20</f>
        <v>176783.8</v>
      </c>
      <c r="J59" s="163">
        <f t="shared" si="58"/>
        <v>177242.9</v>
      </c>
      <c r="K59" s="163">
        <f>J59+K17</f>
        <v>177742.8</v>
      </c>
      <c r="L59" s="163">
        <f t="shared" si="58"/>
        <v>178285.59999999998</v>
      </c>
      <c r="M59" s="163">
        <f t="shared" si="58"/>
        <v>178863.8</v>
      </c>
      <c r="N59" s="163">
        <f>M59+N21</f>
        <v>179302.9</v>
      </c>
      <c r="O59" s="163" t="e">
        <f>N59+#REF!</f>
        <v>#REF!</v>
      </c>
      <c r="P59" s="163" t="e">
        <f t="shared" si="58"/>
        <v>#REF!</v>
      </c>
      <c r="Q59" s="163" t="e">
        <f t="shared" si="58"/>
        <v>#REF!</v>
      </c>
      <c r="R59" s="163" t="e">
        <f>Q59+R18</f>
        <v>#REF!</v>
      </c>
      <c r="S59" s="163" t="e">
        <f>R59+S21</f>
        <v>#REF!</v>
      </c>
      <c r="T59" s="163" t="e">
        <f t="shared" si="58"/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L59" s="63">
        <v>136.9</v>
      </c>
      <c r="AM59" s="786"/>
    </row>
    <row r="60" spans="2:39" x14ac:dyDescent="0.3">
      <c r="B60" s="754"/>
      <c r="C60" s="18" t="s">
        <v>26</v>
      </c>
      <c r="D60" s="163">
        <f>D21+Agosto23!AF57</f>
        <v>82565.900000000009</v>
      </c>
      <c r="E60" s="164">
        <f t="shared" ref="E60:F66" si="59">D60+E21</f>
        <v>82933.600000000006</v>
      </c>
      <c r="F60" s="164">
        <f t="shared" si="59"/>
        <v>83242.600000000006</v>
      </c>
      <c r="G60" s="165">
        <v>83628</v>
      </c>
      <c r="H60" s="166">
        <v>84081</v>
      </c>
      <c r="I60" s="163">
        <f t="shared" ref="I60:L66" si="60">H60+I21</f>
        <v>84263.2</v>
      </c>
      <c r="J60" s="163">
        <f t="shared" si="60"/>
        <v>84601.5</v>
      </c>
      <c r="K60" s="163">
        <f t="shared" si="60"/>
        <v>84962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1">N60+O21</f>
        <v>#REF!</v>
      </c>
      <c r="P60" s="163" t="e">
        <f t="shared" si="61"/>
        <v>#REF!</v>
      </c>
      <c r="Q60" s="163" t="e">
        <f t="shared" si="61"/>
        <v>#REF!</v>
      </c>
      <c r="R60" s="163" t="e">
        <f t="shared" si="61"/>
        <v>#REF!</v>
      </c>
      <c r="S60" s="163" t="e">
        <f>R60+#REF!</f>
        <v>#REF!</v>
      </c>
      <c r="T60" s="163" t="e">
        <f t="shared" ref="T60:V66" si="62">S60+T21</f>
        <v>#REF!</v>
      </c>
      <c r="U60" s="163" t="e">
        <f t="shared" si="62"/>
        <v>#REF!</v>
      </c>
      <c r="V60" s="163" t="e">
        <f t="shared" si="62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L60" s="63">
        <v>147.5</v>
      </c>
      <c r="AM60" s="784">
        <v>100</v>
      </c>
    </row>
    <row r="61" spans="2:39" x14ac:dyDescent="0.3">
      <c r="B61" s="754"/>
      <c r="C61" s="18" t="s">
        <v>27</v>
      </c>
      <c r="D61" s="163">
        <f>D22+Agosto23!AF58</f>
        <v>61662.400000000001</v>
      </c>
      <c r="E61" s="164">
        <f t="shared" si="59"/>
        <v>62144.3</v>
      </c>
      <c r="F61" s="164">
        <f t="shared" si="59"/>
        <v>62534.9</v>
      </c>
      <c r="G61" s="165">
        <v>63058</v>
      </c>
      <c r="H61" s="166">
        <v>63281</v>
      </c>
      <c r="I61" s="163">
        <f t="shared" si="60"/>
        <v>63603.6</v>
      </c>
      <c r="J61" s="163">
        <f t="shared" si="60"/>
        <v>64047</v>
      </c>
      <c r="K61" s="163">
        <f t="shared" si="60"/>
        <v>64518</v>
      </c>
      <c r="L61" s="163">
        <f t="shared" si="60"/>
        <v>65074.6</v>
      </c>
      <c r="M61" s="163" t="e">
        <f>L61+#REF!</f>
        <v>#REF!</v>
      </c>
      <c r="N61" s="163" t="e">
        <f t="shared" si="61"/>
        <v>#REF!</v>
      </c>
      <c r="O61" s="163" t="e">
        <f t="shared" si="61"/>
        <v>#REF!</v>
      </c>
      <c r="P61" s="163" t="e">
        <f t="shared" si="61"/>
        <v>#REF!</v>
      </c>
      <c r="Q61" s="163" t="e">
        <f t="shared" si="61"/>
        <v>#REF!</v>
      </c>
      <c r="R61" s="163" t="e">
        <f t="shared" si="61"/>
        <v>#REF!</v>
      </c>
      <c r="S61" s="163" t="e">
        <f t="shared" si="61"/>
        <v>#REF!</v>
      </c>
      <c r="T61" s="163" t="e">
        <f t="shared" si="62"/>
        <v>#REF!</v>
      </c>
      <c r="U61" s="163" t="e">
        <f t="shared" si="62"/>
        <v>#REF!</v>
      </c>
      <c r="V61" s="163" t="e">
        <f t="shared" si="62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L61" s="63">
        <v>189.83</v>
      </c>
      <c r="AM61" s="785"/>
    </row>
    <row r="62" spans="2:39" x14ac:dyDescent="0.3">
      <c r="B62" s="754"/>
      <c r="C62" s="18" t="s">
        <v>28</v>
      </c>
      <c r="D62" s="163">
        <f>D23+Agosto23!AF59</f>
        <v>87780.67</v>
      </c>
      <c r="E62" s="164">
        <f t="shared" si="59"/>
        <v>88205.87</v>
      </c>
      <c r="F62" s="164">
        <f t="shared" si="59"/>
        <v>88547.26999999999</v>
      </c>
      <c r="G62" s="165">
        <v>87693.64</v>
      </c>
      <c r="H62" s="166">
        <v>87903.16</v>
      </c>
      <c r="I62" s="163">
        <f t="shared" si="60"/>
        <v>88185.36</v>
      </c>
      <c r="J62" s="163">
        <f t="shared" si="60"/>
        <v>88573.86</v>
      </c>
      <c r="K62" s="163">
        <f>J62+K23</f>
        <v>88986.559999999998</v>
      </c>
      <c r="L62" s="163">
        <f t="shared" si="60"/>
        <v>89483.26</v>
      </c>
      <c r="M62" s="163">
        <f>L62+M22</f>
        <v>90062.159999999989</v>
      </c>
      <c r="N62" s="163">
        <f t="shared" si="61"/>
        <v>90577.559999999983</v>
      </c>
      <c r="O62" s="163">
        <f>N62+O20</f>
        <v>91153.75999999998</v>
      </c>
      <c r="P62" s="163">
        <f t="shared" si="61"/>
        <v>91667.559999999983</v>
      </c>
      <c r="Q62" s="163">
        <f t="shared" si="61"/>
        <v>92153.059999999983</v>
      </c>
      <c r="R62" s="163">
        <f t="shared" si="61"/>
        <v>92600.75999999998</v>
      </c>
      <c r="S62" s="163">
        <f t="shared" si="61"/>
        <v>92893.959999999977</v>
      </c>
      <c r="T62" s="163">
        <f t="shared" si="62"/>
        <v>93054.559999999983</v>
      </c>
      <c r="U62" s="163">
        <f t="shared" si="62"/>
        <v>93210.75999999998</v>
      </c>
      <c r="V62" s="163">
        <f>U62+V23</f>
        <v>93563.559999999983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L62" s="63">
        <v>223.4</v>
      </c>
      <c r="AM62" s="786"/>
    </row>
    <row r="63" spans="2:39" x14ac:dyDescent="0.3">
      <c r="B63" s="754"/>
      <c r="C63" s="18" t="s">
        <v>29</v>
      </c>
      <c r="D63" s="163">
        <f>D24+Agosto23!AF60</f>
        <v>130483.09999999999</v>
      </c>
      <c r="E63" s="164">
        <f t="shared" si="59"/>
        <v>132170.69999999998</v>
      </c>
      <c r="F63" s="164">
        <f t="shared" si="59"/>
        <v>133532.09999999998</v>
      </c>
      <c r="G63" s="165">
        <v>130195</v>
      </c>
      <c r="H63" s="166">
        <v>130451</v>
      </c>
      <c r="I63" s="163">
        <f t="shared" si="60"/>
        <v>131571.1</v>
      </c>
      <c r="J63" s="163">
        <f t="shared" si="60"/>
        <v>133116.30000000002</v>
      </c>
      <c r="K63" s="163">
        <f>J63+K24</f>
        <v>134758.20000000001</v>
      </c>
      <c r="L63" s="163">
        <f t="shared" si="60"/>
        <v>136702.5</v>
      </c>
      <c r="M63" s="163">
        <f t="shared" si="61"/>
        <v>138779.79999999999</v>
      </c>
      <c r="N63" s="163">
        <f t="shared" si="61"/>
        <v>140762.59999999998</v>
      </c>
      <c r="O63" s="163">
        <f t="shared" si="61"/>
        <v>142809.39999999997</v>
      </c>
      <c r="P63" s="163">
        <f t="shared" si="61"/>
        <v>144798.99999999997</v>
      </c>
      <c r="Q63" s="163">
        <f t="shared" si="61"/>
        <v>146718.19999999998</v>
      </c>
      <c r="R63" s="163">
        <f t="shared" si="61"/>
        <v>148495.9</v>
      </c>
      <c r="S63" s="163">
        <f t="shared" si="61"/>
        <v>149661.79999999999</v>
      </c>
      <c r="T63" s="163">
        <f t="shared" si="62"/>
        <v>150300.29999999999</v>
      </c>
      <c r="U63" s="163">
        <f t="shared" si="62"/>
        <v>150494.69999999998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L63" s="63">
        <v>619</v>
      </c>
      <c r="AM63" s="778">
        <v>29</v>
      </c>
    </row>
    <row r="64" spans="2:39" x14ac:dyDescent="0.3">
      <c r="B64" s="754"/>
      <c r="C64" s="18" t="s">
        <v>30</v>
      </c>
      <c r="D64" s="163">
        <f>D25+Agosto23!AF61</f>
        <v>14691.7</v>
      </c>
      <c r="E64" s="164">
        <f t="shared" si="59"/>
        <v>15245.400000000001</v>
      </c>
      <c r="F64" s="164">
        <f t="shared" si="59"/>
        <v>15617.500000000002</v>
      </c>
      <c r="G64" s="165">
        <v>18667</v>
      </c>
      <c r="H64" s="166">
        <v>19364</v>
      </c>
      <c r="I64" s="163">
        <f t="shared" si="60"/>
        <v>19564.099999999999</v>
      </c>
      <c r="J64" s="163">
        <f t="shared" si="60"/>
        <v>20071.3</v>
      </c>
      <c r="K64" s="163">
        <f t="shared" si="60"/>
        <v>20579.8</v>
      </c>
      <c r="L64" s="163">
        <f t="shared" si="60"/>
        <v>21180.7</v>
      </c>
      <c r="M64" s="163">
        <f t="shared" si="61"/>
        <v>21770.799999999999</v>
      </c>
      <c r="N64" s="163" t="e">
        <f>M64+#REF!</f>
        <v>#REF!</v>
      </c>
      <c r="O64" s="163" t="e">
        <f t="shared" si="61"/>
        <v>#REF!</v>
      </c>
      <c r="P64" s="163" t="e">
        <f t="shared" si="61"/>
        <v>#REF!</v>
      </c>
      <c r="Q64" s="163" t="e">
        <f t="shared" si="61"/>
        <v>#REF!</v>
      </c>
      <c r="R64" s="163" t="e">
        <f t="shared" si="61"/>
        <v>#REF!</v>
      </c>
      <c r="S64" s="163" t="e">
        <f t="shared" si="61"/>
        <v>#REF!</v>
      </c>
      <c r="T64" s="163" t="e">
        <f t="shared" si="62"/>
        <v>#REF!</v>
      </c>
      <c r="U64" s="163" t="e">
        <f t="shared" si="62"/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L64" s="63">
        <v>219.3</v>
      </c>
      <c r="AM64" s="779"/>
    </row>
    <row r="65" spans="2:39" x14ac:dyDescent="0.3">
      <c r="B65" s="754"/>
      <c r="C65" s="18" t="s">
        <v>111</v>
      </c>
      <c r="D65" s="163">
        <f>D26+Agosto23!AF62</f>
        <v>45354.400000000001</v>
      </c>
      <c r="E65" s="164">
        <f t="shared" si="59"/>
        <v>45812.800000000003</v>
      </c>
      <c r="F65" s="164">
        <f t="shared" si="59"/>
        <v>46200.4</v>
      </c>
      <c r="G65" s="165">
        <v>46772</v>
      </c>
      <c r="H65" s="166">
        <v>47086</v>
      </c>
      <c r="I65" s="163">
        <f t="shared" si="60"/>
        <v>47377.7</v>
      </c>
      <c r="J65" s="163">
        <f t="shared" si="60"/>
        <v>47827.199999999997</v>
      </c>
      <c r="K65" s="163">
        <f t="shared" si="60"/>
        <v>48274.299999999996</v>
      </c>
      <c r="L65" s="163">
        <f t="shared" si="60"/>
        <v>48795.899999999994</v>
      </c>
      <c r="M65" s="163">
        <f t="shared" si="61"/>
        <v>49326.599999999991</v>
      </c>
      <c r="N65" s="163">
        <f>M65+N25</f>
        <v>49928.69999999999</v>
      </c>
      <c r="O65" s="163">
        <f t="shared" si="61"/>
        <v>50456.999999999993</v>
      </c>
      <c r="P65" s="163">
        <f t="shared" si="61"/>
        <v>50985.399999999994</v>
      </c>
      <c r="Q65" s="163">
        <f t="shared" si="61"/>
        <v>51488.7</v>
      </c>
      <c r="R65" s="163">
        <f t="shared" si="61"/>
        <v>51936.1</v>
      </c>
      <c r="S65" s="163">
        <f t="shared" si="61"/>
        <v>52281.7</v>
      </c>
      <c r="T65" s="163">
        <f t="shared" si="62"/>
        <v>52428</v>
      </c>
      <c r="U65" s="163">
        <f t="shared" si="62"/>
        <v>52583.6</v>
      </c>
      <c r="V65" s="163">
        <f t="shared" si="62"/>
        <v>52964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L65" s="63">
        <v>66.900000000000006</v>
      </c>
      <c r="AM65" s="780"/>
    </row>
    <row r="66" spans="2:39" ht="15" thickBot="1" x14ac:dyDescent="0.35">
      <c r="B66" s="754"/>
      <c r="C66" s="18" t="s">
        <v>32</v>
      </c>
      <c r="D66" s="163">
        <f>D27+Agosto23!AF63</f>
        <v>9677.3000000000011</v>
      </c>
      <c r="E66" s="164">
        <f t="shared" si="59"/>
        <v>10090.300000000001</v>
      </c>
      <c r="F66" s="164">
        <f t="shared" si="59"/>
        <v>10458.700000000001</v>
      </c>
      <c r="G66" s="165">
        <v>10779</v>
      </c>
      <c r="H66" s="166">
        <v>10940</v>
      </c>
      <c r="I66" s="163">
        <f t="shared" si="60"/>
        <v>11115.6</v>
      </c>
      <c r="J66" s="163">
        <f t="shared" si="60"/>
        <v>11524.7</v>
      </c>
      <c r="K66" s="163">
        <f t="shared" si="60"/>
        <v>11912.400000000001</v>
      </c>
      <c r="L66" s="163">
        <f t="shared" si="60"/>
        <v>12401.2</v>
      </c>
      <c r="M66" s="163">
        <f t="shared" si="61"/>
        <v>12915.400000000001</v>
      </c>
      <c r="N66" s="163">
        <f t="shared" si="61"/>
        <v>13422.7</v>
      </c>
      <c r="O66" s="163">
        <f t="shared" si="61"/>
        <v>13932.2</v>
      </c>
      <c r="P66" s="163">
        <f t="shared" si="61"/>
        <v>14453.1</v>
      </c>
      <c r="Q66" s="163">
        <f t="shared" si="61"/>
        <v>14920.9</v>
      </c>
      <c r="R66" s="163">
        <f t="shared" si="61"/>
        <v>14984.199999999999</v>
      </c>
      <c r="S66" s="163">
        <f t="shared" si="61"/>
        <v>15308.199999999999</v>
      </c>
      <c r="T66" s="163">
        <f t="shared" si="62"/>
        <v>15427.499999999998</v>
      </c>
      <c r="U66" s="163">
        <f t="shared" si="62"/>
        <v>15618.499999999998</v>
      </c>
      <c r="V66" s="163">
        <f t="shared" si="62"/>
        <v>16032.099999999999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L66" s="93">
        <v>150.6</v>
      </c>
      <c r="AM66" s="784">
        <v>100</v>
      </c>
    </row>
    <row r="67" spans="2:39" x14ac:dyDescent="0.3">
      <c r="B67" s="754"/>
      <c r="C67" s="18" t="s">
        <v>112</v>
      </c>
      <c r="D67" s="163">
        <f>D29+Agosto23!AF64</f>
        <v>19088.3</v>
      </c>
      <c r="E67" s="164">
        <f>D67+E29</f>
        <v>19466.599999999999</v>
      </c>
      <c r="F67" s="164">
        <f>E67+F29</f>
        <v>19789.899999999998</v>
      </c>
      <c r="G67" s="165">
        <v>20520.400000000001</v>
      </c>
      <c r="H67" s="166">
        <v>20739</v>
      </c>
      <c r="I67" s="163">
        <f t="shared" ref="I67:V67" si="63">H67+I29</f>
        <v>20893.5</v>
      </c>
      <c r="J67" s="163">
        <f>I67+J30</f>
        <v>21263.9</v>
      </c>
      <c r="K67" s="163">
        <f t="shared" si="63"/>
        <v>21699.300000000003</v>
      </c>
      <c r="L67" s="163">
        <f t="shared" si="63"/>
        <v>22152.000000000004</v>
      </c>
      <c r="M67" s="163">
        <f t="shared" si="63"/>
        <v>22401.500000000004</v>
      </c>
      <c r="N67" s="163">
        <f t="shared" si="63"/>
        <v>22828.800000000003</v>
      </c>
      <c r="O67" s="163">
        <f t="shared" si="63"/>
        <v>23338.100000000002</v>
      </c>
      <c r="P67" s="163">
        <f t="shared" si="63"/>
        <v>23855.800000000003</v>
      </c>
      <c r="Q67" s="163">
        <f t="shared" si="63"/>
        <v>24330.700000000004</v>
      </c>
      <c r="R67" s="163">
        <f t="shared" si="63"/>
        <v>24393.000000000004</v>
      </c>
      <c r="S67" s="163">
        <f t="shared" si="63"/>
        <v>24723.600000000002</v>
      </c>
      <c r="T67" s="163">
        <f t="shared" si="63"/>
        <v>24837.000000000004</v>
      </c>
      <c r="U67" s="163">
        <f t="shared" si="63"/>
        <v>25020.200000000004</v>
      </c>
      <c r="V67" s="163">
        <f t="shared" si="63"/>
        <v>25434.900000000005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M67" s="785"/>
    </row>
    <row r="68" spans="2:39" x14ac:dyDescent="0.3">
      <c r="B68" s="756" t="s">
        <v>196</v>
      </c>
      <c r="C68" s="756"/>
      <c r="D68" s="756"/>
      <c r="E68" s="756"/>
      <c r="AM68" s="786"/>
    </row>
    <row r="69" spans="2:39" x14ac:dyDescent="0.3">
      <c r="B69" s="757" t="s">
        <v>132</v>
      </c>
      <c r="C69" s="757"/>
      <c r="D69" s="757"/>
      <c r="E69" s="757"/>
      <c r="AM69" s="784">
        <v>110</v>
      </c>
    </row>
    <row r="70" spans="2:39" x14ac:dyDescent="0.3">
      <c r="AM70" s="785"/>
    </row>
    <row r="71" spans="2:39" x14ac:dyDescent="0.3">
      <c r="AM71" s="786"/>
    </row>
    <row r="72" spans="2:39" x14ac:dyDescent="0.3">
      <c r="AM72" s="784">
        <v>110</v>
      </c>
    </row>
    <row r="73" spans="2:39" x14ac:dyDescent="0.3">
      <c r="AM73" s="785"/>
    </row>
    <row r="74" spans="2:39" x14ac:dyDescent="0.3">
      <c r="AM74" s="786"/>
    </row>
    <row r="75" spans="2:39" x14ac:dyDescent="0.3">
      <c r="AM75" s="778">
        <v>80</v>
      </c>
    </row>
    <row r="76" spans="2:39" x14ac:dyDescent="0.3">
      <c r="AM76" s="779"/>
    </row>
    <row r="77" spans="2:39" x14ac:dyDescent="0.3">
      <c r="AM77" s="780"/>
    </row>
    <row r="78" spans="2:39" x14ac:dyDescent="0.3">
      <c r="AM78" s="784">
        <v>100</v>
      </c>
    </row>
    <row r="79" spans="2:39" x14ac:dyDescent="0.3">
      <c r="AM79" s="785"/>
    </row>
    <row r="80" spans="2:39" x14ac:dyDescent="0.3">
      <c r="AM80" s="786"/>
    </row>
    <row r="81" spans="39:39" x14ac:dyDescent="0.3">
      <c r="AM81" s="784">
        <v>100</v>
      </c>
    </row>
    <row r="82" spans="39:39" x14ac:dyDescent="0.3">
      <c r="AM82" s="785"/>
    </row>
    <row r="83" spans="39:39" x14ac:dyDescent="0.3">
      <c r="AM83" s="786"/>
    </row>
    <row r="84" spans="39:39" x14ac:dyDescent="0.3">
      <c r="AM84" s="787">
        <v>110</v>
      </c>
    </row>
    <row r="85" spans="39:39" x14ac:dyDescent="0.3">
      <c r="AM85" s="788"/>
    </row>
    <row r="86" spans="39:39" x14ac:dyDescent="0.3">
      <c r="AM86" s="789"/>
    </row>
    <row r="87" spans="39:39" x14ac:dyDescent="0.3">
      <c r="AM87" s="784">
        <v>100</v>
      </c>
    </row>
    <row r="88" spans="39:39" x14ac:dyDescent="0.3">
      <c r="AM88" s="785"/>
    </row>
    <row r="89" spans="39:39" x14ac:dyDescent="0.3">
      <c r="AM89" s="786"/>
    </row>
    <row r="90" spans="39:39" x14ac:dyDescent="0.3">
      <c r="AM90" s="781">
        <v>395</v>
      </c>
    </row>
    <row r="91" spans="39:39" x14ac:dyDescent="0.3">
      <c r="AM91" s="782"/>
    </row>
    <row r="92" spans="39:39" x14ac:dyDescent="0.3">
      <c r="AM92" s="783"/>
    </row>
    <row r="93" spans="39:39" x14ac:dyDescent="0.3">
      <c r="AM93" s="784">
        <v>100</v>
      </c>
    </row>
    <row r="94" spans="39:39" x14ac:dyDescent="0.3">
      <c r="AM94" s="785"/>
    </row>
    <row r="95" spans="39:39" x14ac:dyDescent="0.3">
      <c r="AM95" s="786"/>
    </row>
    <row r="96" spans="39:39" x14ac:dyDescent="0.3">
      <c r="AM96" s="784">
        <v>100</v>
      </c>
    </row>
    <row r="97" spans="39:39" x14ac:dyDescent="0.3">
      <c r="AM97" s="785"/>
    </row>
    <row r="98" spans="39:39" x14ac:dyDescent="0.3">
      <c r="AM98" s="786"/>
    </row>
    <row r="99" spans="39:39" x14ac:dyDescent="0.3">
      <c r="AM99" s="784">
        <v>100</v>
      </c>
    </row>
    <row r="100" spans="39:39" x14ac:dyDescent="0.3">
      <c r="AM100" s="785"/>
    </row>
    <row r="101" spans="39:39" x14ac:dyDescent="0.3">
      <c r="AM101" s="786"/>
    </row>
    <row r="102" spans="39:39" x14ac:dyDescent="0.3">
      <c r="AM102" s="781">
        <v>120</v>
      </c>
    </row>
    <row r="103" spans="39:39" x14ac:dyDescent="0.3">
      <c r="AM103" s="782"/>
    </row>
    <row r="104" spans="39:39" x14ac:dyDescent="0.3">
      <c r="AM104" s="783"/>
    </row>
    <row r="105" spans="39:39" x14ac:dyDescent="0.3">
      <c r="AM105" s="781">
        <v>110</v>
      </c>
    </row>
    <row r="106" spans="39:39" x14ac:dyDescent="0.3">
      <c r="AM106" s="782"/>
    </row>
    <row r="107" spans="39:39" x14ac:dyDescent="0.3">
      <c r="AM107" s="783"/>
    </row>
    <row r="108" spans="39:39" x14ac:dyDescent="0.3">
      <c r="AM108" s="784">
        <v>100</v>
      </c>
    </row>
    <row r="109" spans="39:39" x14ac:dyDescent="0.3">
      <c r="AM109" s="785"/>
    </row>
    <row r="110" spans="39:39" x14ac:dyDescent="0.3">
      <c r="AM110" s="786"/>
    </row>
    <row r="111" spans="39:39" x14ac:dyDescent="0.3">
      <c r="AM111" s="790">
        <v>100</v>
      </c>
    </row>
    <row r="112" spans="39:39" x14ac:dyDescent="0.3">
      <c r="AM112" s="790"/>
    </row>
    <row r="113" spans="39:39" x14ac:dyDescent="0.3">
      <c r="AM113" s="790"/>
    </row>
  </sheetData>
  <mergeCells count="41">
    <mergeCell ref="AM111:AM113"/>
    <mergeCell ref="AM93:AM95"/>
    <mergeCell ref="AM96:AM98"/>
    <mergeCell ref="AM99:AM101"/>
    <mergeCell ref="AM102:AM104"/>
    <mergeCell ref="AM105:AM107"/>
    <mergeCell ref="AM108:AM110"/>
    <mergeCell ref="AM90:AM92"/>
    <mergeCell ref="AM57:AM59"/>
    <mergeCell ref="AM60:AM62"/>
    <mergeCell ref="AM63:AM65"/>
    <mergeCell ref="AM66:AM68"/>
    <mergeCell ref="AM69:AM71"/>
    <mergeCell ref="AM72:AM74"/>
    <mergeCell ref="AM75:AM77"/>
    <mergeCell ref="AM78:AM80"/>
    <mergeCell ref="AM81:AM83"/>
    <mergeCell ref="AM84:AM86"/>
    <mergeCell ref="AM87:AM89"/>
    <mergeCell ref="B68:E68"/>
    <mergeCell ref="B69:E69"/>
    <mergeCell ref="AM33:AM35"/>
    <mergeCell ref="AM36:AM38"/>
    <mergeCell ref="AM39:AM41"/>
    <mergeCell ref="AM42:AM44"/>
    <mergeCell ref="AM45:AM47"/>
    <mergeCell ref="AM48:AM50"/>
    <mergeCell ref="AM51:AM53"/>
    <mergeCell ref="AM54:AM56"/>
    <mergeCell ref="AE34:AG34"/>
    <mergeCell ref="AE35:AG35"/>
    <mergeCell ref="AE36:AG36"/>
    <mergeCell ref="B44:B51"/>
    <mergeCell ref="B52:B55"/>
    <mergeCell ref="B56:B67"/>
    <mergeCell ref="B32:C32"/>
    <mergeCell ref="B4:C4"/>
    <mergeCell ref="B5:B12"/>
    <mergeCell ref="B13:B16"/>
    <mergeCell ref="B17:B29"/>
    <mergeCell ref="B30:B31"/>
  </mergeCells>
  <conditionalFormatting sqref="AK5:BN31">
    <cfRule type="cellIs" dxfId="87" priority="2" operator="equal">
      <formula>"VAZIO"</formula>
    </cfRule>
  </conditionalFormatting>
  <conditionalFormatting sqref="AK5:BO31">
    <cfRule type="expression" dxfId="86" priority="6">
      <formula>AK5&gt;$BP5</formula>
    </cfRule>
    <cfRule type="expression" dxfId="85" priority="7">
      <formula>AK5&lt;($BP5-0.01)</formula>
    </cfRule>
  </conditionalFormatting>
  <conditionalFormatting sqref="AL8:BN8 BI9 AL16:BN16 BF17 AL24:BN25">
    <cfRule type="cellIs" dxfId="84" priority="3" operator="equal">
      <formula>"""VAZIO"""</formula>
    </cfRule>
  </conditionalFormatting>
  <conditionalFormatting sqref="AO5:BN31">
    <cfRule type="expression" dxfId="83" priority="1">
      <formula>AO5=0</formula>
    </cfRule>
  </conditionalFormatting>
  <conditionalFormatting sqref="BS5:BS31">
    <cfRule type="cellIs" dxfId="82" priority="4" operator="greaterThan">
      <formula>0</formula>
    </cfRule>
    <cfRule type="cellIs" dxfId="81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F595E-B555-4C49-B3BB-B2C7EA0C0654}">
  <sheetPr>
    <tabColor rgb="FFCCCCFF"/>
  </sheetPr>
  <dimension ref="B3:BX113"/>
  <sheetViews>
    <sheetView zoomScaleNormal="100" workbookViewId="0">
      <pane xSplit="3" ySplit="4" topLeftCell="AC17" activePane="bottomRight" state="frozen"/>
      <selection pane="topRight" activeCell="D1" sqref="D1"/>
      <selection pane="bottomLeft" activeCell="A5" sqref="A5"/>
      <selection pane="bottomRight" activeCell="AI17" sqref="AI17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4" width="16.4414062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805</v>
      </c>
      <c r="E4" s="344" t="s">
        <v>806</v>
      </c>
      <c r="F4" s="344" t="s">
        <v>807</v>
      </c>
      <c r="G4" s="344" t="s">
        <v>808</v>
      </c>
      <c r="H4" s="344" t="s">
        <v>809</v>
      </c>
      <c r="I4" s="344" t="s">
        <v>810</v>
      </c>
      <c r="J4" s="344" t="s">
        <v>811</v>
      </c>
      <c r="K4" s="344" t="s">
        <v>812</v>
      </c>
      <c r="L4" s="344" t="s">
        <v>835</v>
      </c>
      <c r="M4" s="344" t="s">
        <v>813</v>
      </c>
      <c r="N4" s="344" t="s">
        <v>814</v>
      </c>
      <c r="O4" s="344" t="s">
        <v>815</v>
      </c>
      <c r="P4" s="344" t="s">
        <v>816</v>
      </c>
      <c r="Q4" s="344" t="s">
        <v>817</v>
      </c>
      <c r="R4" s="344" t="s">
        <v>818</v>
      </c>
      <c r="S4" s="344" t="s">
        <v>819</v>
      </c>
      <c r="T4" s="344" t="s">
        <v>820</v>
      </c>
      <c r="U4" s="344" t="s">
        <v>821</v>
      </c>
      <c r="V4" s="344" t="s">
        <v>822</v>
      </c>
      <c r="W4" s="344" t="s">
        <v>823</v>
      </c>
      <c r="X4" s="344" t="s">
        <v>824</v>
      </c>
      <c r="Y4" s="344" t="s">
        <v>825</v>
      </c>
      <c r="Z4" s="344" t="s">
        <v>826</v>
      </c>
      <c r="AA4" s="344" t="s">
        <v>827</v>
      </c>
      <c r="AB4" s="344" t="s">
        <v>828</v>
      </c>
      <c r="AC4" s="344" t="s">
        <v>829</v>
      </c>
      <c r="AD4" s="344" t="s">
        <v>830</v>
      </c>
      <c r="AE4" s="344" t="s">
        <v>831</v>
      </c>
      <c r="AF4" s="344" t="s">
        <v>832</v>
      </c>
      <c r="AG4" s="345" t="s">
        <v>833</v>
      </c>
      <c r="AH4" s="345" t="s">
        <v>834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64.8</v>
      </c>
      <c r="E5" s="509">
        <v>63.9</v>
      </c>
      <c r="F5" s="103">
        <v>34.700000000000003</v>
      </c>
      <c r="G5" s="103">
        <v>19</v>
      </c>
      <c r="H5" s="103">
        <v>24.4</v>
      </c>
      <c r="I5" s="331">
        <v>63.4</v>
      </c>
      <c r="J5" s="103">
        <v>63.3</v>
      </c>
      <c r="K5" s="103">
        <v>56.2</v>
      </c>
      <c r="L5" s="103">
        <v>51.5</v>
      </c>
      <c r="M5" s="103">
        <v>6.2</v>
      </c>
      <c r="N5" s="283">
        <v>16.3</v>
      </c>
      <c r="O5" s="103">
        <v>42.8</v>
      </c>
      <c r="P5" s="103">
        <v>36</v>
      </c>
      <c r="Q5" s="331">
        <v>51.1</v>
      </c>
      <c r="R5" s="103">
        <v>48</v>
      </c>
      <c r="S5" s="103">
        <v>56.6</v>
      </c>
      <c r="T5" s="103">
        <v>54</v>
      </c>
      <c r="U5" s="103">
        <v>55.7</v>
      </c>
      <c r="V5" s="103">
        <v>9.1999999999999993</v>
      </c>
      <c r="W5" s="331">
        <v>10.199999999999999</v>
      </c>
      <c r="X5" s="103">
        <v>20.7</v>
      </c>
      <c r="Y5" s="103">
        <v>37.6</v>
      </c>
      <c r="Z5" s="104">
        <v>55.1</v>
      </c>
      <c r="AA5" s="332">
        <v>37.5</v>
      </c>
      <c r="AB5" s="333">
        <v>39.700000000000003</v>
      </c>
      <c r="AC5" s="629">
        <v>49</v>
      </c>
      <c r="AD5" s="104">
        <v>21.4</v>
      </c>
      <c r="AE5" s="104">
        <v>20.9</v>
      </c>
      <c r="AF5" s="104">
        <v>32.200000000000003</v>
      </c>
      <c r="AG5" s="104">
        <v>42.5</v>
      </c>
      <c r="AH5" s="104">
        <v>61.9</v>
      </c>
      <c r="AI5" s="335">
        <f t="shared" ref="AI5:AI25" si="0">SUM(D5:AH5)</f>
        <v>1245.8000000000006</v>
      </c>
      <c r="AJ5" s="160">
        <v>12</v>
      </c>
      <c r="AK5" s="336">
        <f t="shared" ref="AK5:AK11" si="1">F5/(AJ5*432)</f>
        <v>6.6936728395061732E-3</v>
      </c>
      <c r="AL5" s="337">
        <f t="shared" ref="AL5:AU6" si="2">IF(OR(D5="",D5="Sem monitoramento"),"VAZIO",IFERROR(D5/($AJ5*24),"-"))</f>
        <v>0.22499999999999998</v>
      </c>
      <c r="AM5" s="338">
        <f t="shared" si="2"/>
        <v>0.22187499999999999</v>
      </c>
      <c r="AN5" s="338">
        <f t="shared" si="2"/>
        <v>0.12048611111111113</v>
      </c>
      <c r="AO5" s="338">
        <f t="shared" si="2"/>
        <v>6.5972222222222224E-2</v>
      </c>
      <c r="AP5" s="338">
        <f t="shared" si="2"/>
        <v>8.4722222222222213E-2</v>
      </c>
      <c r="AQ5" s="338">
        <f t="shared" si="2"/>
        <v>0.22013888888888888</v>
      </c>
      <c r="AR5" s="338">
        <f t="shared" si="2"/>
        <v>0.21979166666666666</v>
      </c>
      <c r="AS5" s="338">
        <f t="shared" si="2"/>
        <v>0.19513888888888889</v>
      </c>
      <c r="AT5" s="338">
        <f t="shared" si="2"/>
        <v>0.17881944444444445</v>
      </c>
      <c r="AU5" s="338">
        <f t="shared" si="2"/>
        <v>2.1527777777777778E-2</v>
      </c>
      <c r="AV5" s="338">
        <f t="shared" ref="AV5:BE6" si="3">IF(OR(N5="",N5="Sem monitoramento"),"VAZIO",IFERROR(N5/($AJ5*24),"-"))</f>
        <v>5.6597222222222222E-2</v>
      </c>
      <c r="AW5" s="338">
        <f t="shared" si="3"/>
        <v>0.14861111111111111</v>
      </c>
      <c r="AX5" s="338">
        <f t="shared" si="3"/>
        <v>0.125</v>
      </c>
      <c r="AY5" s="338">
        <f t="shared" si="3"/>
        <v>0.17743055555555556</v>
      </c>
      <c r="AZ5" s="338">
        <f t="shared" si="3"/>
        <v>0.16666666666666666</v>
      </c>
      <c r="BA5" s="338">
        <f t="shared" si="3"/>
        <v>0.19652777777777777</v>
      </c>
      <c r="BB5" s="338">
        <f t="shared" si="3"/>
        <v>0.1875</v>
      </c>
      <c r="BC5" s="338">
        <f t="shared" si="3"/>
        <v>0.19340277777777778</v>
      </c>
      <c r="BD5" s="338">
        <f t="shared" si="3"/>
        <v>3.1944444444444442E-2</v>
      </c>
      <c r="BE5" s="338">
        <f t="shared" si="3"/>
        <v>3.5416666666666666E-2</v>
      </c>
      <c r="BF5" s="338">
        <f t="shared" ref="BF5:BJ6" si="4">IF(OR(X5="",X5="Sem monitoramento"),"VAZIO",IFERROR(X5/($AJ5*24),"-"))</f>
        <v>7.1874999999999994E-2</v>
      </c>
      <c r="BG5" s="338">
        <f t="shared" si="4"/>
        <v>0.13055555555555556</v>
      </c>
      <c r="BH5" s="338">
        <f t="shared" si="4"/>
        <v>0.19131944444444446</v>
      </c>
      <c r="BI5" s="338">
        <f t="shared" si="4"/>
        <v>0.13020833333333334</v>
      </c>
      <c r="BJ5" s="338">
        <f t="shared" si="4"/>
        <v>0.13784722222222223</v>
      </c>
      <c r="BK5" s="338" t="e">
        <f>IF(OR(#REF!="",#REF!="Sem monitoramento"),"VAZIO",IFERROR(#REF!/($AJ5*24),"-"))</f>
        <v>#REF!</v>
      </c>
      <c r="BL5" s="338">
        <f t="shared" ref="BL5:BO6" si="5">IF(OR(AD5="",AD5="Sem monitoramento"),"VAZIO",IFERROR(AD5/($AJ5*24),"-"))</f>
        <v>7.4305555555555555E-2</v>
      </c>
      <c r="BM5" s="338">
        <f t="shared" si="5"/>
        <v>7.2569444444444436E-2</v>
      </c>
      <c r="BN5" s="338">
        <f t="shared" si="5"/>
        <v>0.11180555555555556</v>
      </c>
      <c r="BO5" s="338">
        <f t="shared" si="5"/>
        <v>0.14756944444444445</v>
      </c>
      <c r="BP5" s="339">
        <f t="shared" ref="BP5:BP31" si="6">AI5/(AJ5*(COUNTA(D5:AG5)*24))</f>
        <v>0.14418981481481488</v>
      </c>
      <c r="BQ5" s="180">
        <f>'FCs estimados em PVsyst'!Y3</f>
        <v>0.1804398148148148</v>
      </c>
      <c r="BR5" s="340">
        <f t="shared" ref="BR5:BR11" si="7">AJ5*BQ5</f>
        <v>2.1652777777777779</v>
      </c>
      <c r="BS5" s="341">
        <f t="shared" ref="BS5:BS11" si="8">AN5-BQ5</f>
        <v>-5.9953703703703676E-2</v>
      </c>
      <c r="BT5" s="342">
        <f t="shared" ref="BT5:BT30" si="9">BP5-BQ5</f>
        <v>-3.6249999999999921E-2</v>
      </c>
      <c r="BU5" s="15" t="s">
        <v>7</v>
      </c>
      <c r="BV5" s="75" t="s">
        <v>107</v>
      </c>
      <c r="BW5" s="7">
        <f>COUNTIF(BT5:BT29,"&gt;0")</f>
        <v>5</v>
      </c>
      <c r="BX5" s="2"/>
    </row>
    <row r="6" spans="2:76" x14ac:dyDescent="0.3">
      <c r="B6" s="771"/>
      <c r="C6" s="325" t="s">
        <v>8</v>
      </c>
      <c r="D6" s="62">
        <v>356</v>
      </c>
      <c r="E6" s="319">
        <v>379.6</v>
      </c>
      <c r="F6" s="63">
        <v>196.6</v>
      </c>
      <c r="G6" s="63">
        <v>108.9</v>
      </c>
      <c r="H6" s="63">
        <v>137.69999999999999</v>
      </c>
      <c r="I6" s="283">
        <v>357.5</v>
      </c>
      <c r="J6" s="63">
        <v>334.1</v>
      </c>
      <c r="K6" s="63">
        <v>329.3</v>
      </c>
      <c r="L6" s="282">
        <v>241.2</v>
      </c>
      <c r="M6" s="63">
        <v>32.799999999999997</v>
      </c>
      <c r="N6" s="283">
        <v>75.3</v>
      </c>
      <c r="O6" s="283">
        <v>238.7</v>
      </c>
      <c r="P6" s="283">
        <v>208.4</v>
      </c>
      <c r="Q6" s="283">
        <v>291.60000000000002</v>
      </c>
      <c r="R6" s="63">
        <v>272.39999999999998</v>
      </c>
      <c r="S6" s="63">
        <v>331.1</v>
      </c>
      <c r="T6" s="63">
        <v>337.5</v>
      </c>
      <c r="U6" s="63">
        <v>427.9</v>
      </c>
      <c r="V6" s="63">
        <v>48.2</v>
      </c>
      <c r="W6" s="282">
        <v>50</v>
      </c>
      <c r="X6" s="63">
        <v>114.6</v>
      </c>
      <c r="Y6" s="63">
        <v>219.9</v>
      </c>
      <c r="Z6" s="221">
        <v>350.2</v>
      </c>
      <c r="AA6" s="18">
        <v>211.7</v>
      </c>
      <c r="AB6" s="20">
        <v>235.8</v>
      </c>
      <c r="AC6" s="31">
        <v>303.60000000000002</v>
      </c>
      <c r="AD6" s="15">
        <v>118.1</v>
      </c>
      <c r="AE6" s="15">
        <v>118.7</v>
      </c>
      <c r="AF6" s="15">
        <v>55.7</v>
      </c>
      <c r="AG6" s="15">
        <v>216.4</v>
      </c>
      <c r="AH6" s="15">
        <v>365.7</v>
      </c>
      <c r="AI6" s="335">
        <f t="shared" si="0"/>
        <v>7065.2</v>
      </c>
      <c r="AJ6" s="118">
        <v>67</v>
      </c>
      <c r="AK6" s="121">
        <f t="shared" si="1"/>
        <v>6.7924267551133224E-3</v>
      </c>
      <c r="AL6" s="67">
        <f t="shared" si="2"/>
        <v>0.22139303482587064</v>
      </c>
      <c r="AM6" s="68">
        <f t="shared" si="2"/>
        <v>0.23606965174129355</v>
      </c>
      <c r="AN6" s="68">
        <f t="shared" si="2"/>
        <v>0.12226368159203979</v>
      </c>
      <c r="AO6" s="68">
        <f t="shared" si="2"/>
        <v>6.7723880597014924E-2</v>
      </c>
      <c r="AP6" s="68">
        <f t="shared" si="2"/>
        <v>8.5634328358208944E-2</v>
      </c>
      <c r="AQ6" s="68">
        <f t="shared" si="2"/>
        <v>0.22232587064676618</v>
      </c>
      <c r="AR6" s="68">
        <f t="shared" si="2"/>
        <v>0.20777363184079603</v>
      </c>
      <c r="AS6" s="68">
        <f t="shared" si="2"/>
        <v>0.20478855721393036</v>
      </c>
      <c r="AT6" s="68">
        <f t="shared" si="2"/>
        <v>0.15</v>
      </c>
      <c r="AU6" s="68">
        <f t="shared" si="2"/>
        <v>2.0398009950248753E-2</v>
      </c>
      <c r="AV6" s="68">
        <f t="shared" si="3"/>
        <v>4.6828358208955222E-2</v>
      </c>
      <c r="AW6" s="68">
        <f t="shared" si="3"/>
        <v>0.14844527363184079</v>
      </c>
      <c r="AX6" s="68">
        <f t="shared" si="3"/>
        <v>0.12960199004975126</v>
      </c>
      <c r="AY6" s="68">
        <f t="shared" si="3"/>
        <v>0.18134328358208956</v>
      </c>
      <c r="AZ6" s="68">
        <f t="shared" si="3"/>
        <v>0.16940298507462684</v>
      </c>
      <c r="BA6" s="68">
        <f t="shared" si="3"/>
        <v>0.20590796019900498</v>
      </c>
      <c r="BB6" s="68">
        <f t="shared" si="3"/>
        <v>0.20988805970149255</v>
      </c>
      <c r="BC6" s="68">
        <f t="shared" si="3"/>
        <v>0.26610696517412935</v>
      </c>
      <c r="BD6" s="68">
        <f t="shared" si="3"/>
        <v>2.9975124378109456E-2</v>
      </c>
      <c r="BE6" s="68">
        <f t="shared" si="3"/>
        <v>3.109452736318408E-2</v>
      </c>
      <c r="BF6" s="68">
        <f t="shared" si="4"/>
        <v>7.1268656716417911E-2</v>
      </c>
      <c r="BG6" s="68">
        <f t="shared" si="4"/>
        <v>0.13675373134328359</v>
      </c>
      <c r="BH6" s="68">
        <f t="shared" si="4"/>
        <v>0.2177860696517413</v>
      </c>
      <c r="BI6" s="68">
        <f t="shared" si="4"/>
        <v>0.13165422885572139</v>
      </c>
      <c r="BJ6" s="68">
        <f t="shared" si="4"/>
        <v>0.14664179104477612</v>
      </c>
      <c r="BK6" s="68">
        <f>IF(OR(AC5="",AC5="Sem monitoramento"),"VAZIO",IFERROR(AC5/($AJ6*24),"-"))</f>
        <v>3.0472636815920398E-2</v>
      </c>
      <c r="BL6" s="68">
        <f t="shared" si="5"/>
        <v>7.3445273631840793E-2</v>
      </c>
      <c r="BM6" s="68">
        <f t="shared" si="5"/>
        <v>7.3818407960199006E-2</v>
      </c>
      <c r="BN6" s="68">
        <f t="shared" si="5"/>
        <v>3.4639303482587064E-2</v>
      </c>
      <c r="BO6" s="68">
        <f t="shared" si="5"/>
        <v>0.13457711442786069</v>
      </c>
      <c r="BP6" s="70">
        <f t="shared" si="6"/>
        <v>0.14645936981757876</v>
      </c>
      <c r="BQ6" s="180">
        <f>'FCs estimados em PVsyst'!Y4</f>
        <v>0.1868988391376451</v>
      </c>
      <c r="BR6" s="72">
        <f t="shared" si="7"/>
        <v>12.522222222222222</v>
      </c>
      <c r="BS6" s="73">
        <f t="shared" si="8"/>
        <v>-6.463515754560531E-2</v>
      </c>
      <c r="BT6" s="74">
        <f t="shared" si="9"/>
        <v>-4.043946932006634E-2</v>
      </c>
      <c r="BU6" s="15" t="s">
        <v>8</v>
      </c>
      <c r="BV6" s="77" t="s">
        <v>108</v>
      </c>
      <c r="BW6" s="78">
        <f>(COUNTA(BU5:BU29)-BW5-BW7)</f>
        <v>3</v>
      </c>
      <c r="BX6" s="2"/>
    </row>
    <row r="7" spans="2:76" x14ac:dyDescent="0.3">
      <c r="B7" s="771"/>
      <c r="C7" s="326" t="s">
        <v>9</v>
      </c>
      <c r="D7" s="62">
        <v>275.2</v>
      </c>
      <c r="E7" s="319">
        <v>272</v>
      </c>
      <c r="F7" s="63">
        <v>153</v>
      </c>
      <c r="G7" s="63">
        <v>81.2</v>
      </c>
      <c r="H7" s="63">
        <v>105.4</v>
      </c>
      <c r="I7" s="283">
        <v>267.7</v>
      </c>
      <c r="J7" s="63">
        <v>260.3</v>
      </c>
      <c r="K7" s="63">
        <v>238.2</v>
      </c>
      <c r="L7" s="283">
        <v>216.2</v>
      </c>
      <c r="M7" s="282">
        <v>7.7</v>
      </c>
      <c r="N7" s="283">
        <v>70</v>
      </c>
      <c r="O7" s="360">
        <v>189.6</v>
      </c>
      <c r="P7" s="283">
        <v>165.5</v>
      </c>
      <c r="Q7" s="283">
        <v>210.4</v>
      </c>
      <c r="R7" s="283">
        <v>206.9</v>
      </c>
      <c r="S7" s="283">
        <v>233.1</v>
      </c>
      <c r="T7" s="283">
        <v>227.9</v>
      </c>
      <c r="U7" s="63">
        <v>231.5</v>
      </c>
      <c r="V7" s="283">
        <v>37.200000000000003</v>
      </c>
      <c r="W7" s="283">
        <v>43.3</v>
      </c>
      <c r="X7" s="283">
        <v>92.1</v>
      </c>
      <c r="Y7" s="283">
        <v>171</v>
      </c>
      <c r="Z7" s="15">
        <v>231.1</v>
      </c>
      <c r="AA7" s="519">
        <v>163.30000000000001</v>
      </c>
      <c r="AB7" s="323">
        <v>168.4</v>
      </c>
      <c r="AC7" s="221">
        <v>191.9</v>
      </c>
      <c r="AD7" s="221">
        <v>93.7</v>
      </c>
      <c r="AE7" s="221">
        <v>90.7</v>
      </c>
      <c r="AF7" s="221">
        <v>142.6</v>
      </c>
      <c r="AG7" s="15">
        <v>191.3</v>
      </c>
      <c r="AH7" s="15">
        <v>258.5</v>
      </c>
      <c r="AI7" s="335">
        <f t="shared" si="0"/>
        <v>5286.9</v>
      </c>
      <c r="AJ7" s="118">
        <v>49</v>
      </c>
      <c r="AK7" s="121">
        <f t="shared" si="1"/>
        <v>7.2278911564625853E-3</v>
      </c>
      <c r="AL7" s="67">
        <f t="shared" ref="AL7:BH7" si="10">IF(OR(D7="",D7="Sem monitoramento"),"VAZIO",IFERROR(D7/($AJ7*24),"-"))</f>
        <v>0.23401360544217686</v>
      </c>
      <c r="AM7" s="68">
        <f t="shared" si="10"/>
        <v>0.23129251700680273</v>
      </c>
      <c r="AN7" s="68">
        <f t="shared" si="10"/>
        <v>0.13010204081632654</v>
      </c>
      <c r="AO7" s="68">
        <f t="shared" si="10"/>
        <v>6.9047619047619052E-2</v>
      </c>
      <c r="AP7" s="68">
        <f t="shared" si="10"/>
        <v>8.9625850340136065E-2</v>
      </c>
      <c r="AQ7" s="68">
        <f t="shared" si="10"/>
        <v>0.22763605442176871</v>
      </c>
      <c r="AR7" s="68">
        <f t="shared" si="10"/>
        <v>0.22134353741496599</v>
      </c>
      <c r="AS7" s="68">
        <f t="shared" si="10"/>
        <v>0.20255102040816325</v>
      </c>
      <c r="AT7" s="68">
        <f t="shared" si="10"/>
        <v>0.18384353741496598</v>
      </c>
      <c r="AU7" s="68">
        <f t="shared" si="10"/>
        <v>6.5476190476190478E-3</v>
      </c>
      <c r="AV7" s="68">
        <f t="shared" si="10"/>
        <v>5.9523809523809521E-2</v>
      </c>
      <c r="AW7" s="68">
        <f t="shared" si="10"/>
        <v>0.16122448979591836</v>
      </c>
      <c r="AX7" s="68">
        <f t="shared" si="10"/>
        <v>0.14073129251700681</v>
      </c>
      <c r="AY7" s="68">
        <f t="shared" si="10"/>
        <v>0.17891156462585034</v>
      </c>
      <c r="AZ7" s="68">
        <f t="shared" si="10"/>
        <v>0.17593537414965987</v>
      </c>
      <c r="BA7" s="68">
        <f t="shared" si="10"/>
        <v>0.1982142857142857</v>
      </c>
      <c r="BB7" s="68">
        <f t="shared" si="10"/>
        <v>0.19379251700680272</v>
      </c>
      <c r="BC7" s="68">
        <f t="shared" si="10"/>
        <v>0.19685374149659865</v>
      </c>
      <c r="BD7" s="68">
        <f t="shared" si="10"/>
        <v>3.1632653061224494E-2</v>
      </c>
      <c r="BE7" s="68">
        <f t="shared" si="10"/>
        <v>3.6819727891156458E-2</v>
      </c>
      <c r="BF7" s="68">
        <f t="shared" si="10"/>
        <v>7.831632653061224E-2</v>
      </c>
      <c r="BG7" s="68">
        <f t="shared" si="10"/>
        <v>0.14540816326530612</v>
      </c>
      <c r="BH7" s="68">
        <f t="shared" si="10"/>
        <v>0.19651360544217686</v>
      </c>
      <c r="BI7" s="68">
        <f>IF(OR(AA11="",AA11="Sem monitoramento"),"VAZIO",IFERROR(AA11/($AJ7*24),"-"))</f>
        <v>0.21547619047619049</v>
      </c>
      <c r="BJ7" s="68">
        <f>IF(OR(AB7="",AB7="Sem monitoramento"),"VAZIO",IFERROR(AB7/($AJ7*24),"-"))</f>
        <v>0.14319727891156464</v>
      </c>
      <c r="BK7" s="68" t="e">
        <f>IF(OR(#REF!="",#REF!="Sem monitoramento"),"VAZIO",IFERROR(#REF!/($AJ7*24),"-"))</f>
        <v>#REF!</v>
      </c>
      <c r="BL7" s="68">
        <f t="shared" ref="BL7:BL19" si="11">IF(OR(AD7="",AD7="Sem monitoramento"),"VAZIO",IFERROR(AD7/($AJ7*24),"-"))</f>
        <v>7.9676870748299322E-2</v>
      </c>
      <c r="BM7" s="68">
        <f t="shared" ref="BM7:BM19" si="12">IF(OR(AE7="",AE7="Sem monitoramento"),"VAZIO",IFERROR(AE7/($AJ7*24),"-"))</f>
        <v>7.7125850340136054E-2</v>
      </c>
      <c r="BN7" s="68">
        <f t="shared" ref="BN7:BN19" si="13">IF(OR(AF7="",AF7="Sem monitoramento"),"VAZIO",IFERROR(AF7/($AJ7*24),"-"))</f>
        <v>0.12125850340136055</v>
      </c>
      <c r="BO7" s="68" t="e">
        <f>IF(OR(#REF!="",#REF!="Sem monitoramento"),"VAZIO",IFERROR(#REF!/($AJ7*24),"-"))</f>
        <v>#REF!</v>
      </c>
      <c r="BP7" s="70">
        <f t="shared" si="6"/>
        <v>0.14985544217687075</v>
      </c>
      <c r="BQ7" s="180">
        <f>'FCs estimados em PVsyst'!Y5</f>
        <v>0.17987528344671203</v>
      </c>
      <c r="BR7" s="72">
        <f t="shared" si="7"/>
        <v>8.81388888888889</v>
      </c>
      <c r="BS7" s="73">
        <f t="shared" si="8"/>
        <v>-4.9773242630385489E-2</v>
      </c>
      <c r="BT7" s="74">
        <f t="shared" si="9"/>
        <v>-3.001984126984128E-2</v>
      </c>
      <c r="BU7" s="15" t="s">
        <v>9</v>
      </c>
      <c r="BV7" s="79" t="s">
        <v>109</v>
      </c>
      <c r="BW7" s="80">
        <f>COUNTIF(BT5:BT29,"&lt;-0,01")</f>
        <v>17</v>
      </c>
      <c r="BX7" s="2"/>
    </row>
    <row r="8" spans="2:76" x14ac:dyDescent="0.3">
      <c r="B8" s="771"/>
      <c r="C8" s="326" t="s">
        <v>10</v>
      </c>
      <c r="D8" s="62">
        <v>156.69999999999999</v>
      </c>
      <c r="E8" s="319">
        <v>156.1</v>
      </c>
      <c r="F8" s="63">
        <v>86.5</v>
      </c>
      <c r="G8" s="63">
        <v>46.7</v>
      </c>
      <c r="H8" s="63">
        <v>60.7</v>
      </c>
      <c r="I8" s="63">
        <v>152.19999999999999</v>
      </c>
      <c r="J8" s="63">
        <v>148.9</v>
      </c>
      <c r="K8" s="63">
        <v>134.19999999999999</v>
      </c>
      <c r="L8" s="283">
        <v>122.1</v>
      </c>
      <c r="M8" s="282">
        <v>4.9000000000000004</v>
      </c>
      <c r="N8" s="283">
        <v>40.4</v>
      </c>
      <c r="O8" s="63">
        <v>108.5</v>
      </c>
      <c r="P8" s="63">
        <v>93.5</v>
      </c>
      <c r="Q8" s="283">
        <v>121.5</v>
      </c>
      <c r="R8" s="63">
        <v>116.7</v>
      </c>
      <c r="S8" s="63">
        <v>132.19999999999999</v>
      </c>
      <c r="T8" s="63">
        <v>126.7</v>
      </c>
      <c r="U8" s="63">
        <v>132.4</v>
      </c>
      <c r="V8" s="63">
        <v>22.8</v>
      </c>
      <c r="W8" s="283">
        <v>25.7</v>
      </c>
      <c r="X8" s="283">
        <v>52.5</v>
      </c>
      <c r="Y8" s="283">
        <v>96.3</v>
      </c>
      <c r="Z8" s="15">
        <v>130.6</v>
      </c>
      <c r="AA8" s="18">
        <v>92.3</v>
      </c>
      <c r="AB8" s="323">
        <v>94.8</v>
      </c>
      <c r="AC8" s="221">
        <v>108.1</v>
      </c>
      <c r="AD8" s="221">
        <v>53</v>
      </c>
      <c r="AE8" s="221">
        <v>52.1</v>
      </c>
      <c r="AF8" s="221">
        <v>81.2</v>
      </c>
      <c r="AG8" s="15">
        <v>107.2</v>
      </c>
      <c r="AH8" s="15">
        <v>148.1</v>
      </c>
      <c r="AI8" s="335">
        <f t="shared" si="0"/>
        <v>3005.6</v>
      </c>
      <c r="AJ8" s="118">
        <v>33</v>
      </c>
      <c r="AK8" s="121">
        <f t="shared" si="1"/>
        <v>6.0676206509539844E-3</v>
      </c>
      <c r="AL8" s="67">
        <f>IF(OR(D8="",D8="Sem monitoramento"),"VAZIO",IFERROR(D8/($AJ8*24),"-"))</f>
        <v>0.19785353535353534</v>
      </c>
      <c r="AM8" s="68">
        <f>IF(OR(E8="",E8="Sem monitoramento"),"VAZIO",IFERROR(E8/($AJ8*24),"-"))</f>
        <v>0.1970959595959596</v>
      </c>
      <c r="AN8" s="68">
        <f>IF(OR(F8="",F8="Sem monitoramento"),"VAZIO",IFERROR(F8/($AJ8*24),"-"))</f>
        <v>0.10921717171717171</v>
      </c>
      <c r="AO8" s="68">
        <f>IF(OR(G8="",G8="Sem monitoramento"),"VAZIO",IFERROR(G8/($AJ8*24),"-"))</f>
        <v>5.896464646464647E-2</v>
      </c>
      <c r="AP8" s="68">
        <f>IF(OR(H8="",H8="Sem monitoramento"),"VAZIO",IFERROR(H8/($AJ8*24),"-"))</f>
        <v>7.6641414141414149E-2</v>
      </c>
      <c r="AQ8" s="68" t="e">
        <f>IF(OR(#REF!="",#REF!="Sem monitoramento"),"VAZIO",IFERROR(#REF!/($AJ8*24),"-"))</f>
        <v>#REF!</v>
      </c>
      <c r="AR8" s="68">
        <f t="shared" ref="AR8:BI8" si="14">IF(OR(J8="",J8="Sem monitoramento"),"VAZIO",IFERROR(J8/($AJ8*24),"-"))</f>
        <v>0.18800505050505051</v>
      </c>
      <c r="AS8" s="68">
        <f t="shared" si="14"/>
        <v>0.16944444444444443</v>
      </c>
      <c r="AT8" s="68">
        <f t="shared" si="14"/>
        <v>0.15416666666666665</v>
      </c>
      <c r="AU8" s="68">
        <f t="shared" si="14"/>
        <v>6.1868686868686877E-3</v>
      </c>
      <c r="AV8" s="68">
        <f t="shared" si="14"/>
        <v>5.1010101010101006E-2</v>
      </c>
      <c r="AW8" s="68">
        <f t="shared" si="14"/>
        <v>0.1369949494949495</v>
      </c>
      <c r="AX8" s="68">
        <f t="shared" si="14"/>
        <v>0.11805555555555555</v>
      </c>
      <c r="AY8" s="68">
        <f t="shared" si="14"/>
        <v>0.15340909090909091</v>
      </c>
      <c r="AZ8" s="68">
        <f t="shared" si="14"/>
        <v>0.14734848484848484</v>
      </c>
      <c r="BA8" s="68">
        <f t="shared" si="14"/>
        <v>0.16691919191919191</v>
      </c>
      <c r="BB8" s="68">
        <f t="shared" si="14"/>
        <v>0.15997474747474749</v>
      </c>
      <c r="BC8" s="68">
        <f t="shared" si="14"/>
        <v>0.16717171717171717</v>
      </c>
      <c r="BD8" s="68">
        <f t="shared" si="14"/>
        <v>2.8787878787878789E-2</v>
      </c>
      <c r="BE8" s="68">
        <f t="shared" si="14"/>
        <v>3.244949494949495E-2</v>
      </c>
      <c r="BF8" s="68">
        <f t="shared" si="14"/>
        <v>6.6287878787878785E-2</v>
      </c>
      <c r="BG8" s="68">
        <f t="shared" si="14"/>
        <v>0.12159090909090908</v>
      </c>
      <c r="BH8" s="68">
        <f t="shared" si="14"/>
        <v>0.16489898989898988</v>
      </c>
      <c r="BI8" s="68">
        <f t="shared" si="14"/>
        <v>0.11654040404040404</v>
      </c>
      <c r="BJ8" s="68">
        <f>IF(OR(AB8="",AB8="Sem monitoramento"),"VAZIO",IFERROR(AB8/($AJ8*24),"-"))</f>
        <v>0.11969696969696969</v>
      </c>
      <c r="BK8" s="68" t="e">
        <f>IF(OR(#REF!="",#REF!="Sem monitoramento"),"VAZIO",IFERROR(#REF!/($AJ8*24),"-"))</f>
        <v>#REF!</v>
      </c>
      <c r="BL8" s="68">
        <f t="shared" si="11"/>
        <v>6.691919191919192E-2</v>
      </c>
      <c r="BM8" s="68">
        <f t="shared" si="12"/>
        <v>6.578282828282829E-2</v>
      </c>
      <c r="BN8" s="68">
        <f t="shared" si="13"/>
        <v>0.10252525252525253</v>
      </c>
      <c r="BO8" s="68" t="e">
        <f>IF(OR(#REF!="",#REF!="Sem monitoramento"),"VAZIO",IFERROR(#REF!/($AJ8*24),"-"))</f>
        <v>#REF!</v>
      </c>
      <c r="BP8" s="70">
        <f t="shared" si="6"/>
        <v>0.1264983164983165</v>
      </c>
      <c r="BQ8" s="180">
        <f>'FCs estimados em PVsyst'!Y6</f>
        <v>0.18501683501683502</v>
      </c>
      <c r="BR8" s="72">
        <f t="shared" si="7"/>
        <v>6.1055555555555561</v>
      </c>
      <c r="BS8" s="73">
        <f t="shared" si="8"/>
        <v>-7.5799663299663311E-2</v>
      </c>
      <c r="BT8" s="74">
        <f t="shared" si="9"/>
        <v>-5.8518518518518525E-2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572">
        <v>61.9</v>
      </c>
      <c r="E9" s="319">
        <v>62.1</v>
      </c>
      <c r="F9" s="63">
        <v>34.299999999999997</v>
      </c>
      <c r="G9" s="82">
        <v>18.5</v>
      </c>
      <c r="H9" s="82">
        <v>23.5</v>
      </c>
      <c r="I9" s="308">
        <v>59.9</v>
      </c>
      <c r="J9" s="316">
        <v>58.9</v>
      </c>
      <c r="K9" s="283">
        <v>55.9</v>
      </c>
      <c r="L9" s="63">
        <v>49.4</v>
      </c>
      <c r="M9" s="63">
        <v>5.6</v>
      </c>
      <c r="N9" s="63">
        <v>13.4</v>
      </c>
      <c r="O9" s="63">
        <v>41.4</v>
      </c>
      <c r="P9" s="316">
        <v>36.4</v>
      </c>
      <c r="Q9" s="283">
        <v>46.7</v>
      </c>
      <c r="R9" s="308">
        <v>45.1</v>
      </c>
      <c r="S9" s="63">
        <v>59.7</v>
      </c>
      <c r="T9" s="63">
        <v>58.7</v>
      </c>
      <c r="U9" s="316">
        <v>56.6</v>
      </c>
      <c r="V9" s="63">
        <v>7.6</v>
      </c>
      <c r="W9" s="283">
        <v>9.3000000000000007</v>
      </c>
      <c r="X9" s="63">
        <v>18.8</v>
      </c>
      <c r="Y9" s="63">
        <v>32</v>
      </c>
      <c r="Z9" s="148">
        <v>52.2</v>
      </c>
      <c r="AA9" s="18">
        <v>35.299999999999997</v>
      </c>
      <c r="AB9" s="323">
        <v>37.799999999999997</v>
      </c>
      <c r="AC9" s="489">
        <v>48.7</v>
      </c>
      <c r="AD9" s="15">
        <v>19.2</v>
      </c>
      <c r="AE9" s="15">
        <v>20.2</v>
      </c>
      <c r="AF9" s="15">
        <v>27.8</v>
      </c>
      <c r="AG9" s="15">
        <v>45.5</v>
      </c>
      <c r="AH9" s="15">
        <v>57.3</v>
      </c>
      <c r="AI9" s="335">
        <f t="shared" si="0"/>
        <v>1199.7</v>
      </c>
      <c r="AJ9" s="118">
        <v>12</v>
      </c>
      <c r="AK9" s="121">
        <f t="shared" si="1"/>
        <v>6.6165123456790121E-3</v>
      </c>
      <c r="AL9" s="67">
        <f>IF(OR(D10="",D10="Sem monitoramento"),"VAZIO",IFERROR(D10/($AJ9*24),"-"))</f>
        <v>0.44548611111111114</v>
      </c>
      <c r="AM9" s="68">
        <f>IF(OR(E9="",E9="Sem monitoramento"),"VAZIO",IFERROR(E9/($AJ9*24),"-"))</f>
        <v>0.21562500000000001</v>
      </c>
      <c r="AN9" s="68">
        <f>IF(OR(F9="",F9="Sem monitoramento"),"VAZIO",IFERROR(F9/($AJ9*24),"-"))</f>
        <v>0.11909722222222222</v>
      </c>
      <c r="AO9" s="68">
        <f>IF(OR(G9="",G9="Sem monitoramento"),"VAZIO",IFERROR(G9/($AJ9*24),"-"))</f>
        <v>6.4236111111111105E-2</v>
      </c>
      <c r="AP9" s="68">
        <f>IF(OR(H9="",H9="Sem monitoramento"),"VAZIO",IFERROR(H9/($AJ9*24),"-"))</f>
        <v>8.1597222222222224E-2</v>
      </c>
      <c r="AQ9" s="68">
        <f>IF(OR(I9="",I9="Sem monitoramento"),"VAZIO",IFERROR(I9/($AJ9*24),"-"))</f>
        <v>0.20798611111111109</v>
      </c>
      <c r="AR9" s="68">
        <f>IF(OR(J10="",J10="Sem monitoramento"),"VAZIO",IFERROR(J10/($AJ9*24),"-"))</f>
        <v>0.42256944444444444</v>
      </c>
      <c r="AS9" s="68">
        <f t="shared" ref="AS9:AW16" si="15">IF(OR(K9="",K9="Sem monitoramento"),"VAZIO",IFERROR(K9/($AJ9*24),"-"))</f>
        <v>0.19409722222222223</v>
      </c>
      <c r="AT9" s="68">
        <f t="shared" si="15"/>
        <v>0.17152777777777778</v>
      </c>
      <c r="AU9" s="68">
        <f t="shared" si="15"/>
        <v>1.9444444444444445E-2</v>
      </c>
      <c r="AV9" s="68">
        <f t="shared" si="15"/>
        <v>4.6527777777777779E-2</v>
      </c>
      <c r="AW9" s="68">
        <f t="shared" si="15"/>
        <v>0.14374999999999999</v>
      </c>
      <c r="AX9" s="68">
        <f>IF(OR(P10="",P10="Sem monitoramento"),"VAZIO",IFERROR(P10/($AJ9*24),"-"))</f>
        <v>0.25902777777777775</v>
      </c>
      <c r="AY9" s="68">
        <f t="shared" ref="AY9:BB15" si="16">IF(OR(Q9="",Q9="Sem monitoramento"),"VAZIO",IFERROR(Q9/($AJ9*24),"-"))</f>
        <v>0.16215277777777778</v>
      </c>
      <c r="AZ9" s="68">
        <f t="shared" si="16"/>
        <v>0.15659722222222222</v>
      </c>
      <c r="BA9" s="68">
        <f t="shared" si="16"/>
        <v>0.20729166666666668</v>
      </c>
      <c r="BB9" s="68">
        <f t="shared" si="16"/>
        <v>0.20381944444444444</v>
      </c>
      <c r="BC9" s="68">
        <f>IF(OR(U7="",U7="Sem monitoramento"),"VAZIO",IFERROR(U7/($AJ9*24),"-"))</f>
        <v>0.80381944444444442</v>
      </c>
      <c r="BD9" s="68">
        <f t="shared" ref="BD9:BG10" si="17">IF(OR(V9="",V9="Sem monitoramento"),"VAZIO",IFERROR(V9/($AJ9*24),"-"))</f>
        <v>2.6388888888888889E-2</v>
      </c>
      <c r="BE9" s="68">
        <f t="shared" si="17"/>
        <v>3.229166666666667E-2</v>
      </c>
      <c r="BF9" s="68">
        <f t="shared" si="17"/>
        <v>6.5277777777777782E-2</v>
      </c>
      <c r="BG9" s="68">
        <f t="shared" si="17"/>
        <v>0.1111111111111111</v>
      </c>
      <c r="BH9" s="68">
        <f>IF(OR(Z10="",Z10="Sem monitoramento"),"VAZIO",IFERROR(Z10/($AJ9*24),"-"))</f>
        <v>0.37256944444444445</v>
      </c>
      <c r="BI9" s="68">
        <f>IF(OR(AA9="",AA9="Sem monitoramento"),"VAZIO",IFERROR(AA9/($AJ9*24),"-"))</f>
        <v>0.12256944444444444</v>
      </c>
      <c r="BJ9" s="68">
        <f>IF(OR(AB9="",AB9="Sem monitoramento"),"VAZIO",IFERROR(AB9/($AJ9*24),"-"))</f>
        <v>0.13124999999999998</v>
      </c>
      <c r="BK9" s="68">
        <f>IF(OR(AC7="",AC7="Sem monitoramento"),"VAZIO",IFERROR(AC7/($AJ9*24),"-"))</f>
        <v>0.66631944444444446</v>
      </c>
      <c r="BL9" s="68">
        <f t="shared" si="11"/>
        <v>6.6666666666666666E-2</v>
      </c>
      <c r="BM9" s="68">
        <f t="shared" si="12"/>
        <v>7.013888888888889E-2</v>
      </c>
      <c r="BN9" s="68">
        <f t="shared" si="13"/>
        <v>9.6527777777777782E-2</v>
      </c>
      <c r="BO9" s="68">
        <f>IF(OR(AG7="",AG7="Sem monitoramento"),"VAZIO",IFERROR(AG7/($AJ9*24),"-"))</f>
        <v>0.66423611111111114</v>
      </c>
      <c r="BP9" s="70">
        <f t="shared" si="6"/>
        <v>0.13885416666666667</v>
      </c>
      <c r="BQ9" s="180">
        <f>'FCs estimados em PVsyst'!Y7</f>
        <v>0.18333333333333332</v>
      </c>
      <c r="BR9" s="72">
        <f t="shared" si="7"/>
        <v>2.1999999999999997</v>
      </c>
      <c r="BS9" s="73">
        <f t="shared" si="8"/>
        <v>-6.4236111111111105E-2</v>
      </c>
      <c r="BT9" s="74">
        <f t="shared" si="9"/>
        <v>-4.4479166666666653E-2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128.30000000000001</v>
      </c>
      <c r="E10" s="319">
        <v>130.1</v>
      </c>
      <c r="F10" s="63">
        <v>69.7</v>
      </c>
      <c r="G10" s="82">
        <v>38.299999999999997</v>
      </c>
      <c r="H10" s="82">
        <v>48.6</v>
      </c>
      <c r="I10" s="519">
        <v>123</v>
      </c>
      <c r="J10" s="63">
        <v>121.7</v>
      </c>
      <c r="K10" s="283">
        <v>155.19999999999999</v>
      </c>
      <c r="L10" s="63">
        <v>102.2</v>
      </c>
      <c r="M10" s="63">
        <v>12.6</v>
      </c>
      <c r="N10" s="63">
        <v>28.1</v>
      </c>
      <c r="O10" s="63">
        <v>84.3</v>
      </c>
      <c r="P10" s="63">
        <v>74.599999999999994</v>
      </c>
      <c r="Q10" s="283">
        <v>92</v>
      </c>
      <c r="R10" s="308">
        <v>91.4</v>
      </c>
      <c r="S10" s="63">
        <v>123.2</v>
      </c>
      <c r="T10" s="63">
        <v>121.8</v>
      </c>
      <c r="U10" s="63">
        <v>115.5</v>
      </c>
      <c r="V10" s="63">
        <v>16.399999999999999</v>
      </c>
      <c r="W10" s="283">
        <v>19.899999999999999</v>
      </c>
      <c r="X10" s="63">
        <v>34</v>
      </c>
      <c r="Y10" s="63">
        <v>69.7</v>
      </c>
      <c r="Z10" s="15">
        <v>107.3</v>
      </c>
      <c r="AA10" s="18">
        <v>71.900000000000006</v>
      </c>
      <c r="AB10" s="323">
        <v>75.099999999999994</v>
      </c>
      <c r="AC10" s="489">
        <v>101.3</v>
      </c>
      <c r="AD10" s="15">
        <v>39.299999999999997</v>
      </c>
      <c r="AE10" s="15">
        <v>41.4</v>
      </c>
      <c r="AF10" s="15">
        <v>19.100000000000001</v>
      </c>
      <c r="AG10" s="15">
        <v>124.9</v>
      </c>
      <c r="AH10" s="15">
        <v>113</v>
      </c>
      <c r="AI10" s="335">
        <f t="shared" si="0"/>
        <v>2493.900000000001</v>
      </c>
      <c r="AJ10" s="118">
        <v>25</v>
      </c>
      <c r="AK10" s="121">
        <f t="shared" si="1"/>
        <v>6.4537037037037037E-3</v>
      </c>
      <c r="AL10" s="67" t="e">
        <f>IF(OR(#REF!="",#REF!="Sem monitoramento"),"VAZIO",IFERROR(#REF!/($AJ10*24),"-"))</f>
        <v>#REF!</v>
      </c>
      <c r="AM10" s="68">
        <f t="shared" ref="AM10:AM25" si="18">IF(OR(E10="",E10="Sem monitoramento"),"VAZIO",IFERROR(E10/($AJ10*24),"-"))</f>
        <v>0.21683333333333332</v>
      </c>
      <c r="AN10" s="68">
        <f t="shared" ref="AN10:AN25" si="19">IF(OR(F10="",F10="Sem monitoramento"),"VAZIO",IFERROR(F10/($AJ10*24),"-"))</f>
        <v>0.11616666666666667</v>
      </c>
      <c r="AO10" s="68">
        <f t="shared" ref="AO10:AO25" si="20">IF(OR(G10="",G10="Sem monitoramento"),"VAZIO",IFERROR(G10/($AJ10*24),"-"))</f>
        <v>6.3833333333333325E-2</v>
      </c>
      <c r="AP10" s="68">
        <f t="shared" ref="AP10:AP25" si="21">IF(OR(H10="",H10="Sem monitoramento"),"VAZIO",IFERROR(H10/($AJ10*24),"-"))</f>
        <v>8.1000000000000003E-2</v>
      </c>
      <c r="AQ10" s="68">
        <f>IF(OR(I8="",I8="Sem monitoramento"),"VAZIO",IFERROR(I8/($AJ10*24),"-"))</f>
        <v>0.25366666666666665</v>
      </c>
      <c r="AR10" s="68" t="e">
        <f>IF(OR(#REF!="",#REF!="Sem monitoramento"),"VAZIO",IFERROR(#REF!/($AJ10*24),"-"))</f>
        <v>#REF!</v>
      </c>
      <c r="AS10" s="68">
        <f t="shared" si="15"/>
        <v>0.25866666666666666</v>
      </c>
      <c r="AT10" s="68">
        <f t="shared" si="15"/>
        <v>0.17033333333333334</v>
      </c>
      <c r="AU10" s="68">
        <f t="shared" si="15"/>
        <v>2.0999999999999998E-2</v>
      </c>
      <c r="AV10" s="68">
        <f t="shared" si="15"/>
        <v>4.6833333333333338E-2</v>
      </c>
      <c r="AW10" s="68">
        <f t="shared" si="15"/>
        <v>0.14049999999999999</v>
      </c>
      <c r="AX10" s="68" t="e">
        <f>IF(OR(#REF!="",#REF!="Sem monitoramento"),"VAZIO",IFERROR(#REF!/($AJ10*24),"-"))</f>
        <v>#REF!</v>
      </c>
      <c r="AY10" s="68">
        <f t="shared" si="16"/>
        <v>0.15333333333333332</v>
      </c>
      <c r="AZ10" s="68">
        <f t="shared" si="16"/>
        <v>0.15233333333333335</v>
      </c>
      <c r="BA10" s="68">
        <f t="shared" si="16"/>
        <v>0.20533333333333334</v>
      </c>
      <c r="BB10" s="68">
        <f t="shared" si="16"/>
        <v>0.20299999999999999</v>
      </c>
      <c r="BC10" s="68">
        <f>IF(OR(U8="",U8="Sem monitoramento"),"VAZIO",IFERROR(U8/($AJ10*24),"-"))</f>
        <v>0.22066666666666668</v>
      </c>
      <c r="BD10" s="68">
        <f t="shared" si="17"/>
        <v>2.7333333333333331E-2</v>
      </c>
      <c r="BE10" s="68">
        <f t="shared" si="17"/>
        <v>3.3166666666666664E-2</v>
      </c>
      <c r="BF10" s="68">
        <f t="shared" si="17"/>
        <v>5.6666666666666664E-2</v>
      </c>
      <c r="BG10" s="68">
        <f t="shared" si="17"/>
        <v>0.11616666666666667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0.11983333333333335</v>
      </c>
      <c r="BJ10" s="68">
        <f>IF(OR(AB10="",AB10="Sem monitoramento"),"VAZIO",IFERROR(AB10/($AJ10*24),"-"))</f>
        <v>0.12516666666666665</v>
      </c>
      <c r="BK10" s="68">
        <f>IF(OR(AC8="",AC8="Sem monitoramento"),"VAZIO",IFERROR(AC8/($AJ10*24),"-"))</f>
        <v>0.18016666666666667</v>
      </c>
      <c r="BL10" s="68">
        <f t="shared" si="11"/>
        <v>6.5499999999999989E-2</v>
      </c>
      <c r="BM10" s="68">
        <f t="shared" si="12"/>
        <v>6.8999999999999992E-2</v>
      </c>
      <c r="BN10" s="68">
        <f t="shared" si="13"/>
        <v>3.1833333333333338E-2</v>
      </c>
      <c r="BO10" s="68">
        <f>IF(OR(AG8="",AG8="Sem monitoramento"),"VAZIO",IFERROR(AG8/($AJ10*24),"-"))</f>
        <v>0.17866666666666667</v>
      </c>
      <c r="BP10" s="70">
        <f t="shared" si="6"/>
        <v>0.13855000000000006</v>
      </c>
      <c r="BQ10" s="180">
        <f>'FCs estimados em PVsyst'!Y8</f>
        <v>0.185</v>
      </c>
      <c r="BR10" s="72">
        <f t="shared" si="7"/>
        <v>4.625</v>
      </c>
      <c r="BS10" s="73">
        <f t="shared" si="8"/>
        <v>-6.883333333333333E-2</v>
      </c>
      <c r="BT10" s="74">
        <f t="shared" si="9"/>
        <v>-4.6449999999999936E-2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393.8</v>
      </c>
      <c r="E11" s="319">
        <v>428.5</v>
      </c>
      <c r="F11" s="63">
        <v>238.2</v>
      </c>
      <c r="G11" s="63">
        <v>100.4</v>
      </c>
      <c r="H11" s="63">
        <v>196.1</v>
      </c>
      <c r="I11" s="283">
        <v>388.4</v>
      </c>
      <c r="J11" s="283">
        <v>300.3</v>
      </c>
      <c r="K11" s="283">
        <v>367</v>
      </c>
      <c r="L11" s="63">
        <v>346.8</v>
      </c>
      <c r="M11" s="283">
        <v>65.2</v>
      </c>
      <c r="N11" s="63">
        <v>112</v>
      </c>
      <c r="O11" s="63">
        <v>286.5</v>
      </c>
      <c r="P11" s="63">
        <v>293.39999999999998</v>
      </c>
      <c r="Q11" s="283">
        <v>327.5</v>
      </c>
      <c r="R11" s="63">
        <v>351.6</v>
      </c>
      <c r="S11" s="63">
        <v>377.7</v>
      </c>
      <c r="T11" s="63">
        <v>434.7</v>
      </c>
      <c r="U11" s="63">
        <v>372.8</v>
      </c>
      <c r="V11" s="283">
        <v>66.900000000000006</v>
      </c>
      <c r="W11" s="519">
        <v>81.599999999999994</v>
      </c>
      <c r="X11" s="63">
        <v>198</v>
      </c>
      <c r="Y11" s="63">
        <v>252.3</v>
      </c>
      <c r="Z11" s="15">
        <v>380.6</v>
      </c>
      <c r="AA11" s="18">
        <v>253.4</v>
      </c>
      <c r="AB11" s="323">
        <v>278.60000000000002</v>
      </c>
      <c r="AC11" s="221">
        <v>340.7</v>
      </c>
      <c r="AD11" s="15">
        <v>154.1</v>
      </c>
      <c r="AE11" s="15">
        <v>120.4</v>
      </c>
      <c r="AF11" s="15">
        <v>243.4</v>
      </c>
      <c r="AG11" s="15">
        <v>325.60000000000002</v>
      </c>
      <c r="AH11" s="15">
        <v>404.2</v>
      </c>
      <c r="AI11" s="335">
        <f t="shared" si="0"/>
        <v>8480.7000000000007</v>
      </c>
      <c r="AJ11" s="118">
        <v>78</v>
      </c>
      <c r="AK11" s="121">
        <f t="shared" si="1"/>
        <v>7.0690883190883185E-3</v>
      </c>
      <c r="AL11" s="67">
        <f t="shared" ref="AL11:AL31" si="22">IF(OR(D11="",D11="Sem monitoramento"),"VAZIO",IFERROR(D11/($AJ11*24),"-"))</f>
        <v>0.21036324786324787</v>
      </c>
      <c r="AM11" s="68">
        <f t="shared" si="18"/>
        <v>0.22889957264957264</v>
      </c>
      <c r="AN11" s="68">
        <f t="shared" si="19"/>
        <v>0.12724358974358974</v>
      </c>
      <c r="AO11" s="68">
        <f t="shared" si="20"/>
        <v>5.3632478632478636E-2</v>
      </c>
      <c r="AP11" s="68">
        <f t="shared" si="21"/>
        <v>0.10475427350427351</v>
      </c>
      <c r="AQ11" s="68">
        <f t="shared" ref="AQ11:AQ28" si="23">IF(OR(I11="",I11="Sem monitoramento"),"VAZIO",IFERROR(I11/($AJ11*24),"-"))</f>
        <v>0.20747863247863246</v>
      </c>
      <c r="AR11" s="68">
        <f t="shared" ref="AR11:AR28" si="24">IF(OR(J11="",J11="Sem monitoramento"),"VAZIO",IFERROR(J11/($AJ11*24),"-"))</f>
        <v>0.16041666666666668</v>
      </c>
      <c r="AS11" s="68">
        <f t="shared" si="15"/>
        <v>0.19604700854700854</v>
      </c>
      <c r="AT11" s="68">
        <f t="shared" si="15"/>
        <v>0.18525641025641026</v>
      </c>
      <c r="AU11" s="68">
        <f t="shared" si="15"/>
        <v>3.482905982905983E-2</v>
      </c>
      <c r="AV11" s="68">
        <f t="shared" si="15"/>
        <v>5.9829059829059832E-2</v>
      </c>
      <c r="AW11" s="68">
        <f t="shared" si="15"/>
        <v>0.15304487179487181</v>
      </c>
      <c r="AX11" s="68">
        <f t="shared" ref="AX11:AX31" si="25">IF(OR(P11="",P11="Sem monitoramento"),"VAZIO",IFERROR(P11/($AJ11*24),"-"))</f>
        <v>0.15673076923076923</v>
      </c>
      <c r="AY11" s="68">
        <f t="shared" si="16"/>
        <v>0.17494658119658119</v>
      </c>
      <c r="AZ11" s="68">
        <f t="shared" si="16"/>
        <v>0.18782051282051282</v>
      </c>
      <c r="BA11" s="68">
        <f t="shared" si="16"/>
        <v>0.20176282051282052</v>
      </c>
      <c r="BB11" s="68">
        <f t="shared" si="16"/>
        <v>0.23221153846153847</v>
      </c>
      <c r="BC11" s="68">
        <f t="shared" ref="BC11:BD18" si="26">IF(OR(U11="",U11="Sem monitoramento"),"VAZIO",IFERROR(U11/($AJ11*24),"-"))</f>
        <v>0.19914529914529916</v>
      </c>
      <c r="BD11" s="68">
        <f t="shared" si="26"/>
        <v>3.5737179487179492E-2</v>
      </c>
      <c r="BE11" s="68">
        <f>IF(OR(W12="",W12="Sem monitoramento"),"VAZIO",IFERROR(W12/($AJ11*24),"-"))</f>
        <v>2.7243589743589744E-2</v>
      </c>
      <c r="BF11" s="68">
        <f t="shared" ref="BF11:BH14" si="27">IF(OR(X11="",X11="Sem monitoramento"),"VAZIO",IFERROR(X11/($AJ11*24),"-"))</f>
        <v>0.10576923076923077</v>
      </c>
      <c r="BG11" s="68">
        <f t="shared" si="27"/>
        <v>0.13477564102564102</v>
      </c>
      <c r="BH11" s="68">
        <f t="shared" si="27"/>
        <v>0.20331196581196581</v>
      </c>
      <c r="BI11" s="68" t="e">
        <f>IF(OR(#REF!="",#REF!="Sem monitoramento"),"VAZIO",IFERROR(#REF!/($AJ11*24),"-"))</f>
        <v>#REF!</v>
      </c>
      <c r="BJ11" s="68">
        <f>IF(OR(AB9="",AB9="Sem monitoramento"),"VAZIO",IFERROR(AB9/($AJ11*24),"-"))</f>
        <v>2.019230769230769E-2</v>
      </c>
      <c r="BK11" s="68">
        <f t="shared" ref="BK11:BK31" si="28">IF(OR(AC11="",AC11="Sem monitoramento"),"VAZIO",IFERROR(AC11/($AJ11*24),"-"))</f>
        <v>0.18199786324786324</v>
      </c>
      <c r="BL11" s="68">
        <f t="shared" si="11"/>
        <v>8.2318376068376067E-2</v>
      </c>
      <c r="BM11" s="68">
        <f t="shared" si="12"/>
        <v>6.4316239316239324E-2</v>
      </c>
      <c r="BN11" s="68">
        <f t="shared" si="13"/>
        <v>0.13002136752136753</v>
      </c>
      <c r="BO11" s="68">
        <f t="shared" ref="BO11:BO21" si="29">IF(OR(AG11="",AG11="Sem monitoramento"),"VAZIO",IFERROR(AG11/($AJ11*24),"-"))</f>
        <v>0.17393162393162395</v>
      </c>
      <c r="BP11" s="70">
        <f t="shared" si="6"/>
        <v>0.15100961538461541</v>
      </c>
      <c r="BQ11" s="198">
        <f>BQ19</f>
        <v>0.168125</v>
      </c>
      <c r="BR11" s="72">
        <f t="shared" si="7"/>
        <v>13.11375</v>
      </c>
      <c r="BS11" s="73">
        <f t="shared" si="8"/>
        <v>-4.0881410256410261E-2</v>
      </c>
      <c r="BT11" s="74">
        <f t="shared" si="9"/>
        <v>-1.7115384615384588E-2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368</v>
      </c>
      <c r="E12" s="508">
        <v>385</v>
      </c>
      <c r="F12" s="82">
        <v>190</v>
      </c>
      <c r="G12" s="82">
        <v>100</v>
      </c>
      <c r="H12" s="82">
        <v>120</v>
      </c>
      <c r="I12" s="308">
        <v>360</v>
      </c>
      <c r="J12" s="82">
        <v>370</v>
      </c>
      <c r="K12" s="308">
        <v>380</v>
      </c>
      <c r="L12" s="82">
        <v>320</v>
      </c>
      <c r="M12" s="82">
        <v>38</v>
      </c>
      <c r="N12" s="82">
        <v>85</v>
      </c>
      <c r="O12" s="82">
        <v>250</v>
      </c>
      <c r="P12" s="82">
        <v>220</v>
      </c>
      <c r="Q12" s="308">
        <v>270</v>
      </c>
      <c r="R12" s="308">
        <v>278</v>
      </c>
      <c r="S12" s="82">
        <v>380</v>
      </c>
      <c r="T12" s="82">
        <v>385</v>
      </c>
      <c r="U12" s="82">
        <v>350</v>
      </c>
      <c r="V12" s="82">
        <v>42</v>
      </c>
      <c r="W12" s="283">
        <v>51</v>
      </c>
      <c r="X12" s="82">
        <v>110</v>
      </c>
      <c r="Y12" s="82">
        <v>220</v>
      </c>
      <c r="Z12" s="16">
        <v>375</v>
      </c>
      <c r="AA12" s="17">
        <v>221</v>
      </c>
      <c r="AB12" s="324">
        <v>225</v>
      </c>
      <c r="AC12" s="489">
        <v>350</v>
      </c>
      <c r="AD12" s="16">
        <v>115</v>
      </c>
      <c r="AE12" s="16">
        <v>120</v>
      </c>
      <c r="AF12" s="16">
        <v>200</v>
      </c>
      <c r="AG12" s="16">
        <v>275</v>
      </c>
      <c r="AH12" s="16">
        <v>379</v>
      </c>
      <c r="AI12" s="335">
        <f t="shared" si="0"/>
        <v>7532</v>
      </c>
      <c r="AJ12" s="123">
        <v>61</v>
      </c>
      <c r="AK12" s="121" t="s">
        <v>31</v>
      </c>
      <c r="AL12" s="67">
        <f t="shared" si="22"/>
        <v>0.25136612021857924</v>
      </c>
      <c r="AM12" s="68">
        <f t="shared" si="18"/>
        <v>0.26297814207650272</v>
      </c>
      <c r="AN12" s="68">
        <f t="shared" si="19"/>
        <v>0.12978142076502733</v>
      </c>
      <c r="AO12" s="68">
        <f t="shared" si="20"/>
        <v>6.8306010928961755E-2</v>
      </c>
      <c r="AP12" s="68">
        <f t="shared" si="21"/>
        <v>8.1967213114754092E-2</v>
      </c>
      <c r="AQ12" s="68">
        <f t="shared" si="23"/>
        <v>0.24590163934426229</v>
      </c>
      <c r="AR12" s="68">
        <f t="shared" si="24"/>
        <v>0.25273224043715847</v>
      </c>
      <c r="AS12" s="68">
        <f t="shared" si="15"/>
        <v>0.25956284153005466</v>
      </c>
      <c r="AT12" s="68">
        <f t="shared" si="15"/>
        <v>0.21857923497267759</v>
      </c>
      <c r="AU12" s="68">
        <f t="shared" si="15"/>
        <v>2.5956284153005466E-2</v>
      </c>
      <c r="AV12" s="68">
        <f t="shared" si="15"/>
        <v>5.8060109289617488E-2</v>
      </c>
      <c r="AW12" s="68">
        <f t="shared" si="15"/>
        <v>0.17076502732240437</v>
      </c>
      <c r="AX12" s="68">
        <f t="shared" si="25"/>
        <v>0.15027322404371585</v>
      </c>
      <c r="AY12" s="68">
        <f t="shared" si="16"/>
        <v>0.18442622950819673</v>
      </c>
      <c r="AZ12" s="68">
        <f t="shared" si="16"/>
        <v>0.18989071038251365</v>
      </c>
      <c r="BA12" s="68">
        <f t="shared" si="16"/>
        <v>0.25956284153005466</v>
      </c>
      <c r="BB12" s="68">
        <f t="shared" si="16"/>
        <v>0.26297814207650272</v>
      </c>
      <c r="BC12" s="68">
        <f t="shared" si="26"/>
        <v>0.23907103825136611</v>
      </c>
      <c r="BD12" s="68">
        <f t="shared" si="26"/>
        <v>2.8688524590163935E-2</v>
      </c>
      <c r="BE12" s="68" t="e">
        <f>IF(OR(#REF!="",#REF!="Sem monitoramento"),"VAZIO",IFERROR(#REF!/($AJ12*24),"-"))</f>
        <v>#REF!</v>
      </c>
      <c r="BF12" s="68">
        <f t="shared" si="27"/>
        <v>7.5136612021857924E-2</v>
      </c>
      <c r="BG12" s="68">
        <f t="shared" si="27"/>
        <v>0.15027322404371585</v>
      </c>
      <c r="BH12" s="68">
        <f t="shared" si="27"/>
        <v>0.25614754098360654</v>
      </c>
      <c r="BI12" s="68">
        <f t="shared" ref="BI12:BI20" si="30">IF(OR(AA12="",AA12="Sem monitoramento"),"VAZIO",IFERROR(AA12/($AJ12*24),"-"))</f>
        <v>0.15095628415300547</v>
      </c>
      <c r="BJ12" s="68">
        <f t="shared" ref="BJ12:BJ20" si="31">IF(OR(AB12="",AB12="Sem monitoramento"),"VAZIO",IFERROR(AB12/($AJ12*24),"-"))</f>
        <v>0.15368852459016394</v>
      </c>
      <c r="BK12" s="68">
        <f t="shared" si="28"/>
        <v>0.23907103825136611</v>
      </c>
      <c r="BL12" s="68">
        <f t="shared" si="11"/>
        <v>7.8551912568306015E-2</v>
      </c>
      <c r="BM12" s="68">
        <f t="shared" si="12"/>
        <v>8.1967213114754092E-2</v>
      </c>
      <c r="BN12" s="68">
        <f t="shared" si="13"/>
        <v>0.13661202185792351</v>
      </c>
      <c r="BO12" s="68">
        <f t="shared" si="29"/>
        <v>0.1878415300546448</v>
      </c>
      <c r="BP12" s="70">
        <f t="shared" si="6"/>
        <v>0.17149362477231331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9"/>
        <v>-1.3160291438979954E-2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223">
        <v>487</v>
      </c>
      <c r="E13" s="355">
        <v>555.5</v>
      </c>
      <c r="F13" s="283">
        <v>287.60000000000002</v>
      </c>
      <c r="G13" s="283">
        <v>167.5</v>
      </c>
      <c r="H13" s="283">
        <v>206.3</v>
      </c>
      <c r="I13" s="283">
        <v>474.6</v>
      </c>
      <c r="J13" s="63">
        <v>493.7</v>
      </c>
      <c r="K13" s="283">
        <v>501.8</v>
      </c>
      <c r="L13" s="63">
        <v>447</v>
      </c>
      <c r="M13" s="63">
        <v>56</v>
      </c>
      <c r="N13" s="283">
        <v>130.4</v>
      </c>
      <c r="O13" s="63">
        <v>331.7</v>
      </c>
      <c r="P13" s="63">
        <v>303.3</v>
      </c>
      <c r="Q13" s="283">
        <v>367.6</v>
      </c>
      <c r="R13" s="308">
        <v>383.8</v>
      </c>
      <c r="S13" s="63">
        <v>501.2</v>
      </c>
      <c r="T13" s="63">
        <v>518.29999999999995</v>
      </c>
      <c r="U13" s="63">
        <v>469.9</v>
      </c>
      <c r="V13" s="63">
        <v>72.099999999999994</v>
      </c>
      <c r="W13" s="283">
        <v>87.7</v>
      </c>
      <c r="X13" s="63">
        <v>172.5</v>
      </c>
      <c r="Y13" s="63">
        <v>294.7</v>
      </c>
      <c r="Z13" s="15">
        <v>507.4</v>
      </c>
      <c r="AA13" s="18">
        <v>300</v>
      </c>
      <c r="AB13" s="323">
        <v>326.39999999999998</v>
      </c>
      <c r="AC13" s="489">
        <v>464.9</v>
      </c>
      <c r="AD13" s="15">
        <v>181.1</v>
      </c>
      <c r="AE13" s="15">
        <v>184.3</v>
      </c>
      <c r="AF13" s="15">
        <v>251.7</v>
      </c>
      <c r="AG13" s="15">
        <v>372.4</v>
      </c>
      <c r="AH13" s="15">
        <v>508.6</v>
      </c>
      <c r="AI13" s="335">
        <f t="shared" si="0"/>
        <v>10407</v>
      </c>
      <c r="AJ13" s="118">
        <v>100</v>
      </c>
      <c r="AK13" s="121">
        <f t="shared" ref="AK13:AK30" si="32">F13/(AJ13*432)</f>
        <v>6.6574074074074079E-3</v>
      </c>
      <c r="AL13" s="67">
        <f t="shared" si="22"/>
        <v>0.20291666666666666</v>
      </c>
      <c r="AM13" s="68">
        <f t="shared" si="18"/>
        <v>0.23145833333333332</v>
      </c>
      <c r="AN13" s="68">
        <f t="shared" si="19"/>
        <v>0.11983333333333335</v>
      </c>
      <c r="AO13" s="68">
        <f t="shared" si="20"/>
        <v>6.9791666666666669E-2</v>
      </c>
      <c r="AP13" s="68">
        <f t="shared" si="21"/>
        <v>8.5958333333333345E-2</v>
      </c>
      <c r="AQ13" s="68">
        <f t="shared" si="23"/>
        <v>0.19775000000000001</v>
      </c>
      <c r="AR13" s="68">
        <f t="shared" si="24"/>
        <v>0.20570833333333333</v>
      </c>
      <c r="AS13" s="68">
        <f t="shared" si="15"/>
        <v>0.20908333333333334</v>
      </c>
      <c r="AT13" s="68">
        <f t="shared" si="15"/>
        <v>0.18625</v>
      </c>
      <c r="AU13" s="68">
        <f t="shared" si="15"/>
        <v>2.3333333333333334E-2</v>
      </c>
      <c r="AV13" s="68">
        <f t="shared" si="15"/>
        <v>5.4333333333333338E-2</v>
      </c>
      <c r="AW13" s="68">
        <f t="shared" si="15"/>
        <v>0.13820833333333332</v>
      </c>
      <c r="AX13" s="68">
        <f t="shared" si="25"/>
        <v>0.12637500000000002</v>
      </c>
      <c r="AY13" s="68">
        <f t="shared" si="16"/>
        <v>0.15316666666666667</v>
      </c>
      <c r="AZ13" s="68">
        <f t="shared" si="16"/>
        <v>0.15991666666666668</v>
      </c>
      <c r="BA13" s="68">
        <f t="shared" si="16"/>
        <v>0.20883333333333332</v>
      </c>
      <c r="BB13" s="68">
        <f t="shared" si="16"/>
        <v>0.21595833333333331</v>
      </c>
      <c r="BC13" s="68">
        <f t="shared" si="26"/>
        <v>0.19579166666666667</v>
      </c>
      <c r="BD13" s="68">
        <f t="shared" si="26"/>
        <v>3.0041666666666664E-2</v>
      </c>
      <c r="BE13" s="68">
        <f t="shared" ref="BE13:BE20" si="33">IF(OR(W13="",W13="Sem monitoramento"),"VAZIO",IFERROR(W13/($AJ13*24),"-"))</f>
        <v>3.6541666666666667E-2</v>
      </c>
      <c r="BF13" s="68">
        <f t="shared" si="27"/>
        <v>7.1874999999999994E-2</v>
      </c>
      <c r="BG13" s="68">
        <f t="shared" si="27"/>
        <v>0.12279166666666666</v>
      </c>
      <c r="BH13" s="68">
        <f t="shared" si="27"/>
        <v>0.21141666666666667</v>
      </c>
      <c r="BI13" s="68">
        <f t="shared" si="30"/>
        <v>0.125</v>
      </c>
      <c r="BJ13" s="68">
        <f t="shared" si="31"/>
        <v>0.13599999999999998</v>
      </c>
      <c r="BK13" s="68">
        <f t="shared" si="28"/>
        <v>0.19370833333333332</v>
      </c>
      <c r="BL13" s="68">
        <f t="shared" si="11"/>
        <v>7.5458333333333336E-2</v>
      </c>
      <c r="BM13" s="68">
        <f t="shared" si="12"/>
        <v>7.6791666666666675E-2</v>
      </c>
      <c r="BN13" s="68">
        <f t="shared" si="13"/>
        <v>0.104875</v>
      </c>
      <c r="BO13" s="68">
        <f t="shared" si="29"/>
        <v>0.15516666666666665</v>
      </c>
      <c r="BP13" s="70">
        <f t="shared" si="6"/>
        <v>0.14454166666666668</v>
      </c>
      <c r="BQ13" s="198">
        <f>BQ19</f>
        <v>0.168125</v>
      </c>
      <c r="BR13" s="72">
        <f t="shared" ref="BR13:BR30" si="34">AJ13*BQ13</f>
        <v>16.8125</v>
      </c>
      <c r="BS13" s="73">
        <f t="shared" ref="BS13:BS30" si="35">AN13-BQ13</f>
        <v>-4.8291666666666649E-2</v>
      </c>
      <c r="BT13" s="74">
        <f t="shared" si="9"/>
        <v>-2.3583333333333317E-2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518.6</v>
      </c>
      <c r="E14" s="319">
        <v>568.4</v>
      </c>
      <c r="F14" s="63">
        <v>322.3</v>
      </c>
      <c r="G14" s="63">
        <v>132.9</v>
      </c>
      <c r="H14" s="63">
        <v>267.8</v>
      </c>
      <c r="I14" s="283">
        <v>490.4</v>
      </c>
      <c r="J14" s="283">
        <v>494.3</v>
      </c>
      <c r="K14" s="283">
        <v>506.6</v>
      </c>
      <c r="L14" s="63">
        <v>481.7</v>
      </c>
      <c r="M14" s="283">
        <v>80.5</v>
      </c>
      <c r="N14" s="63">
        <v>147.5</v>
      </c>
      <c r="O14" s="63">
        <v>390.8</v>
      </c>
      <c r="P14" s="63">
        <v>374.3</v>
      </c>
      <c r="Q14" s="283">
        <v>428.1</v>
      </c>
      <c r="R14" s="63">
        <v>473.8</v>
      </c>
      <c r="S14" s="63">
        <v>475.9</v>
      </c>
      <c r="T14" s="63">
        <v>571.1</v>
      </c>
      <c r="U14" s="63">
        <v>495.4</v>
      </c>
      <c r="V14" s="283">
        <v>82.3</v>
      </c>
      <c r="W14" s="283">
        <v>103.4</v>
      </c>
      <c r="X14" s="63">
        <v>272.7</v>
      </c>
      <c r="Y14" s="63">
        <v>361.1</v>
      </c>
      <c r="Z14" s="15">
        <v>515</v>
      </c>
      <c r="AA14" s="18">
        <v>337.1</v>
      </c>
      <c r="AB14" s="323">
        <v>375.7</v>
      </c>
      <c r="AC14" s="221">
        <v>462.2</v>
      </c>
      <c r="AD14" s="15">
        <v>208.5</v>
      </c>
      <c r="AE14" s="15">
        <v>159.19999999999999</v>
      </c>
      <c r="AF14" s="15">
        <v>336.4</v>
      </c>
      <c r="AG14" s="15">
        <v>425</v>
      </c>
      <c r="AH14" s="15">
        <v>547.29999999999995</v>
      </c>
      <c r="AI14" s="335">
        <f t="shared" si="0"/>
        <v>11406.300000000003</v>
      </c>
      <c r="AJ14" s="118">
        <v>100</v>
      </c>
      <c r="AK14" s="121">
        <f t="shared" si="32"/>
        <v>7.4606481481481485E-3</v>
      </c>
      <c r="AL14" s="67">
        <f t="shared" si="22"/>
        <v>0.21608333333333335</v>
      </c>
      <c r="AM14" s="68">
        <f t="shared" si="18"/>
        <v>0.23683333333333331</v>
      </c>
      <c r="AN14" s="68">
        <f t="shared" si="19"/>
        <v>0.13429166666666667</v>
      </c>
      <c r="AO14" s="68">
        <f t="shared" si="20"/>
        <v>5.5375000000000001E-2</v>
      </c>
      <c r="AP14" s="68">
        <f t="shared" si="21"/>
        <v>0.11158333333333334</v>
      </c>
      <c r="AQ14" s="68">
        <f t="shared" si="23"/>
        <v>0.20433333333333331</v>
      </c>
      <c r="AR14" s="68">
        <f t="shared" si="24"/>
        <v>0.20595833333333333</v>
      </c>
      <c r="AS14" s="68">
        <f t="shared" si="15"/>
        <v>0.21108333333333335</v>
      </c>
      <c r="AT14" s="68">
        <f t="shared" si="15"/>
        <v>0.20070833333333332</v>
      </c>
      <c r="AU14" s="68">
        <f t="shared" si="15"/>
        <v>3.3541666666666664E-2</v>
      </c>
      <c r="AV14" s="68">
        <f t="shared" si="15"/>
        <v>6.145833333333333E-2</v>
      </c>
      <c r="AW14" s="68">
        <f t="shared" si="15"/>
        <v>0.16283333333333333</v>
      </c>
      <c r="AX14" s="68">
        <f t="shared" si="25"/>
        <v>0.15595833333333334</v>
      </c>
      <c r="AY14" s="68">
        <f t="shared" si="16"/>
        <v>0.17837500000000001</v>
      </c>
      <c r="AZ14" s="68">
        <f t="shared" si="16"/>
        <v>0.19741666666666668</v>
      </c>
      <c r="BA14" s="68">
        <f t="shared" si="16"/>
        <v>0.19829166666666664</v>
      </c>
      <c r="BB14" s="68">
        <f t="shared" si="16"/>
        <v>0.23795833333333336</v>
      </c>
      <c r="BC14" s="68">
        <f t="shared" si="26"/>
        <v>0.20641666666666666</v>
      </c>
      <c r="BD14" s="68">
        <f t="shared" si="26"/>
        <v>3.4291666666666665E-2</v>
      </c>
      <c r="BE14" s="68">
        <f t="shared" si="33"/>
        <v>4.3083333333333335E-2</v>
      </c>
      <c r="BF14" s="68">
        <f t="shared" si="27"/>
        <v>0.11362499999999999</v>
      </c>
      <c r="BG14" s="68">
        <f t="shared" si="27"/>
        <v>0.15045833333333333</v>
      </c>
      <c r="BH14" s="68">
        <f t="shared" si="27"/>
        <v>0.21458333333333332</v>
      </c>
      <c r="BI14" s="68">
        <f t="shared" si="30"/>
        <v>0.14045833333333335</v>
      </c>
      <c r="BJ14" s="68">
        <f t="shared" si="31"/>
        <v>0.15654166666666666</v>
      </c>
      <c r="BK14" s="68">
        <f t="shared" si="28"/>
        <v>0.19258333333333333</v>
      </c>
      <c r="BL14" s="68">
        <f t="shared" si="11"/>
        <v>8.6874999999999994E-2</v>
      </c>
      <c r="BM14" s="68">
        <f t="shared" si="12"/>
        <v>6.6333333333333327E-2</v>
      </c>
      <c r="BN14" s="68">
        <f t="shared" si="13"/>
        <v>0.14016666666666666</v>
      </c>
      <c r="BO14" s="68">
        <f t="shared" si="29"/>
        <v>0.17708333333333334</v>
      </c>
      <c r="BP14" s="70">
        <f t="shared" si="6"/>
        <v>0.15842083333333337</v>
      </c>
      <c r="BQ14" s="198">
        <f>$BQ$19</f>
        <v>0.168125</v>
      </c>
      <c r="BR14" s="72">
        <f t="shared" si="34"/>
        <v>16.8125</v>
      </c>
      <c r="BS14" s="73">
        <f t="shared" si="35"/>
        <v>-3.3833333333333326E-2</v>
      </c>
      <c r="BT14" s="74">
        <f t="shared" si="9"/>
        <v>-9.7041666666666249E-3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152.1</v>
      </c>
      <c r="E15" s="319">
        <v>156.80000000000001</v>
      </c>
      <c r="F15" s="63">
        <v>86.9</v>
      </c>
      <c r="G15" s="63">
        <v>34.700000000000003</v>
      </c>
      <c r="H15" s="63">
        <v>71.2</v>
      </c>
      <c r="I15" s="283">
        <v>146</v>
      </c>
      <c r="J15" s="283">
        <v>143.6</v>
      </c>
      <c r="K15" s="283">
        <v>137</v>
      </c>
      <c r="L15" s="63">
        <v>127.1</v>
      </c>
      <c r="M15" s="283">
        <v>20.7</v>
      </c>
      <c r="N15" s="63">
        <v>39.200000000000003</v>
      </c>
      <c r="O15" s="63">
        <v>114.3</v>
      </c>
      <c r="P15" s="63">
        <v>107.9</v>
      </c>
      <c r="Q15" s="283">
        <v>123.6</v>
      </c>
      <c r="R15" s="63">
        <v>132</v>
      </c>
      <c r="S15" s="63">
        <v>139</v>
      </c>
      <c r="T15" s="63">
        <v>160.5</v>
      </c>
      <c r="U15" s="63">
        <v>141</v>
      </c>
      <c r="V15" s="283">
        <v>21.1</v>
      </c>
      <c r="W15" s="283">
        <v>26.9</v>
      </c>
      <c r="X15" s="63">
        <v>71.8</v>
      </c>
      <c r="Y15" s="63">
        <v>97.5</v>
      </c>
      <c r="Z15" s="31">
        <v>141.69999999999999</v>
      </c>
      <c r="AA15" s="18">
        <v>93.3</v>
      </c>
      <c r="AB15" s="323">
        <v>109.1</v>
      </c>
      <c r="AC15" s="221">
        <v>125.2</v>
      </c>
      <c r="AD15" s="221">
        <v>54.8</v>
      </c>
      <c r="AE15" s="15">
        <v>41.6</v>
      </c>
      <c r="AF15" s="15">
        <v>89.2</v>
      </c>
      <c r="AG15" s="15">
        <v>120.8</v>
      </c>
      <c r="AH15" s="15">
        <v>155.19999999999999</v>
      </c>
      <c r="AI15" s="335">
        <f t="shared" si="0"/>
        <v>3181.7999999999997</v>
      </c>
      <c r="AJ15" s="118">
        <v>29</v>
      </c>
      <c r="AK15" s="121">
        <f t="shared" si="32"/>
        <v>6.9364623243933594E-3</v>
      </c>
      <c r="AL15" s="67">
        <f t="shared" si="22"/>
        <v>0.21853448275862067</v>
      </c>
      <c r="AM15" s="68">
        <f t="shared" si="18"/>
        <v>0.22528735632183911</v>
      </c>
      <c r="AN15" s="68">
        <f t="shared" si="19"/>
        <v>0.12485632183908046</v>
      </c>
      <c r="AO15" s="68">
        <f t="shared" si="20"/>
        <v>4.9856321839080467E-2</v>
      </c>
      <c r="AP15" s="68">
        <f t="shared" si="21"/>
        <v>0.10229885057471265</v>
      </c>
      <c r="AQ15" s="68">
        <f t="shared" si="23"/>
        <v>0.20977011494252873</v>
      </c>
      <c r="AR15" s="68">
        <f t="shared" si="24"/>
        <v>0.20632183908045976</v>
      </c>
      <c r="AS15" s="68">
        <f t="shared" si="15"/>
        <v>0.19683908045977011</v>
      </c>
      <c r="AT15" s="68">
        <f t="shared" si="15"/>
        <v>0.18261494252873561</v>
      </c>
      <c r="AU15" s="68">
        <f t="shared" si="15"/>
        <v>2.9741379310344828E-2</v>
      </c>
      <c r="AV15" s="68">
        <f t="shared" si="15"/>
        <v>5.6321839080459776E-2</v>
      </c>
      <c r="AW15" s="68">
        <f t="shared" si="15"/>
        <v>0.16422413793103449</v>
      </c>
      <c r="AX15" s="68">
        <f t="shared" si="25"/>
        <v>0.15502873563218392</v>
      </c>
      <c r="AY15" s="68">
        <f t="shared" si="16"/>
        <v>0.17758620689655172</v>
      </c>
      <c r="AZ15" s="68">
        <f t="shared" si="16"/>
        <v>0.18965517241379309</v>
      </c>
      <c r="BA15" s="68">
        <f t="shared" si="16"/>
        <v>0.19971264367816091</v>
      </c>
      <c r="BB15" s="68">
        <f t="shared" si="16"/>
        <v>0.23060344827586207</v>
      </c>
      <c r="BC15" s="68">
        <f t="shared" si="26"/>
        <v>0.20258620689655171</v>
      </c>
      <c r="BD15" s="68">
        <f t="shared" si="26"/>
        <v>3.0316091954022989E-2</v>
      </c>
      <c r="BE15" s="68">
        <f t="shared" si="33"/>
        <v>3.864942528735632E-2</v>
      </c>
      <c r="BF15" s="68">
        <f>IF(OR(X15="",X15="Sem monitoramento"),"VAZIO",IFERROR(X15/($AJ15*24),"-"))</f>
        <v>0.10316091954022988</v>
      </c>
      <c r="BG15" s="68">
        <f>IF(OR(Y16="",Y16="Sem monitoramento"),"VAZIO",IFERROR(Y16/($AJ15*24),"-"))</f>
        <v>0.5031609195402299</v>
      </c>
      <c r="BH15" s="68">
        <f>IF(OR(Z16="",Z16="Sem monitoramento"),"VAZIO",IFERROR(Z16/($AJ15*24),"-"))</f>
        <v>0.67040229885057478</v>
      </c>
      <c r="BI15" s="68">
        <f t="shared" si="30"/>
        <v>0.13405172413793104</v>
      </c>
      <c r="BJ15" s="68">
        <f t="shared" si="31"/>
        <v>0.15675287356321838</v>
      </c>
      <c r="BK15" s="68">
        <f t="shared" si="28"/>
        <v>0.17988505747126438</v>
      </c>
      <c r="BL15" s="68">
        <f t="shared" si="11"/>
        <v>7.8735632183908041E-2</v>
      </c>
      <c r="BM15" s="68">
        <f t="shared" si="12"/>
        <v>5.9770114942528735E-2</v>
      </c>
      <c r="BN15" s="68">
        <f t="shared" si="13"/>
        <v>0.1281609195402299</v>
      </c>
      <c r="BO15" s="68">
        <f t="shared" si="29"/>
        <v>0.1735632183908046</v>
      </c>
      <c r="BP15" s="70">
        <f t="shared" si="6"/>
        <v>0.15238505747126435</v>
      </c>
      <c r="BQ15" s="180">
        <f>'FCs estimados em PVsyst'!Y13</f>
        <v>0.1850095785440613</v>
      </c>
      <c r="BR15" s="72">
        <f t="shared" si="34"/>
        <v>5.365277777777778</v>
      </c>
      <c r="BS15" s="73">
        <f t="shared" si="35"/>
        <v>-6.015325670498084E-2</v>
      </c>
      <c r="BT15" s="74">
        <f t="shared" si="9"/>
        <v>-3.2624521072796953E-2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562.1</v>
      </c>
      <c r="E16" s="355">
        <v>575.1</v>
      </c>
      <c r="F16" s="283">
        <v>336</v>
      </c>
      <c r="G16" s="283">
        <v>119.9</v>
      </c>
      <c r="H16" s="63">
        <v>253.7</v>
      </c>
      <c r="I16" s="63">
        <v>530.9</v>
      </c>
      <c r="J16" s="63">
        <v>502.3</v>
      </c>
      <c r="K16" s="63">
        <v>471.3</v>
      </c>
      <c r="L16" s="63">
        <v>478.9</v>
      </c>
      <c r="M16" s="63">
        <v>78.599999999999994</v>
      </c>
      <c r="N16" s="63">
        <v>167</v>
      </c>
      <c r="O16" s="63">
        <v>433.3</v>
      </c>
      <c r="P16" s="283">
        <v>328.9</v>
      </c>
      <c r="Q16" s="283">
        <v>452.4</v>
      </c>
      <c r="R16" s="283">
        <v>454</v>
      </c>
      <c r="S16" s="283">
        <v>471.7</v>
      </c>
      <c r="T16" s="141">
        <v>563</v>
      </c>
      <c r="U16" s="282">
        <v>108.2</v>
      </c>
      <c r="V16" s="283">
        <v>99.3</v>
      </c>
      <c r="W16" s="283">
        <v>87</v>
      </c>
      <c r="X16" s="63">
        <v>235.4</v>
      </c>
      <c r="Y16" s="63">
        <v>350.2</v>
      </c>
      <c r="Z16" s="15">
        <v>466.6</v>
      </c>
      <c r="AA16" s="61">
        <v>291.7</v>
      </c>
      <c r="AB16" s="323">
        <v>323.10000000000002</v>
      </c>
      <c r="AC16" s="15">
        <v>403.6</v>
      </c>
      <c r="AD16" s="15">
        <v>224.1</v>
      </c>
      <c r="AE16" s="15">
        <v>161.1</v>
      </c>
      <c r="AF16" s="15">
        <v>292.5</v>
      </c>
      <c r="AG16" s="15">
        <v>421.9</v>
      </c>
      <c r="AH16" s="15">
        <v>583.1</v>
      </c>
      <c r="AI16" s="335">
        <f t="shared" si="0"/>
        <v>10826.900000000001</v>
      </c>
      <c r="AJ16" s="118">
        <v>100</v>
      </c>
      <c r="AK16" s="121">
        <f t="shared" si="32"/>
        <v>7.7777777777777776E-3</v>
      </c>
      <c r="AL16" s="67">
        <f t="shared" si="22"/>
        <v>0.23420833333333335</v>
      </c>
      <c r="AM16" s="68">
        <f t="shared" si="18"/>
        <v>0.239625</v>
      </c>
      <c r="AN16" s="68">
        <f t="shared" si="19"/>
        <v>0.14000000000000001</v>
      </c>
      <c r="AO16" s="68">
        <f t="shared" si="20"/>
        <v>4.9958333333333334E-2</v>
      </c>
      <c r="AP16" s="68">
        <f t="shared" si="21"/>
        <v>0.10570833333333333</v>
      </c>
      <c r="AQ16" s="68">
        <f t="shared" si="23"/>
        <v>0.22120833333333331</v>
      </c>
      <c r="AR16" s="68">
        <f t="shared" si="24"/>
        <v>0.20929166666666668</v>
      </c>
      <c r="AS16" s="68">
        <f t="shared" si="15"/>
        <v>0.19637499999999999</v>
      </c>
      <c r="AT16" s="68">
        <f t="shared" si="15"/>
        <v>0.19954166666666664</v>
      </c>
      <c r="AU16" s="68">
        <f t="shared" si="15"/>
        <v>3.2749999999999994E-2</v>
      </c>
      <c r="AV16" s="68">
        <f t="shared" si="15"/>
        <v>6.958333333333333E-2</v>
      </c>
      <c r="AW16" s="68">
        <f t="shared" si="15"/>
        <v>0.18054166666666668</v>
      </c>
      <c r="AX16" s="68">
        <f t="shared" si="25"/>
        <v>0.13704166666666664</v>
      </c>
      <c r="AY16" s="68">
        <f t="shared" ref="AY16:BA17" si="36">IF(OR(Q16="",Q16="Sem monitoramento"),"VAZIO",IFERROR(Q16/($AJ16*24),"-"))</f>
        <v>0.1885</v>
      </c>
      <c r="AZ16" s="68">
        <f t="shared" si="36"/>
        <v>0.18916666666666668</v>
      </c>
      <c r="BA16" s="68">
        <f t="shared" si="36"/>
        <v>0.19654166666666667</v>
      </c>
      <c r="BB16" s="68">
        <f>IF(OR(T14="",T14="Sem monitoramento"),"VAZIO",IFERROR(T14/($AJ16*24),"-"))</f>
        <v>0.23795833333333336</v>
      </c>
      <c r="BC16" s="68">
        <f t="shared" si="26"/>
        <v>4.5083333333333336E-2</v>
      </c>
      <c r="BD16" s="68">
        <f t="shared" si="26"/>
        <v>4.1375000000000002E-2</v>
      </c>
      <c r="BE16" s="68">
        <f t="shared" si="33"/>
        <v>3.6249999999999998E-2</v>
      </c>
      <c r="BF16" s="68">
        <f>IF(OR(X16="",X16="Sem monitoramento"),"VAZIO",IFERROR(X16/($AJ16*24),"-"))</f>
        <v>9.8083333333333342E-2</v>
      </c>
      <c r="BG16" s="68" t="e">
        <f>IF(OR(#REF!="",#REF!="Sem monitoramento"),"VAZIO",IFERROR(#REF!/($AJ16*24),"-"))</f>
        <v>#REF!</v>
      </c>
      <c r="BH16" s="68" t="e">
        <f>IF(OR(#REF!="",#REF!="Sem monitoramento"),"VAZIO",IFERROR(#REF!/($AJ16*24),"-"))</f>
        <v>#REF!</v>
      </c>
      <c r="BI16" s="68">
        <f t="shared" si="30"/>
        <v>0.12154166666666666</v>
      </c>
      <c r="BJ16" s="68">
        <f t="shared" si="31"/>
        <v>0.13462500000000002</v>
      </c>
      <c r="BK16" s="68">
        <f t="shared" si="28"/>
        <v>0.16816666666666669</v>
      </c>
      <c r="BL16" s="68">
        <f t="shared" si="11"/>
        <v>9.3375E-2</v>
      </c>
      <c r="BM16" s="68">
        <f t="shared" si="12"/>
        <v>6.7125000000000004E-2</v>
      </c>
      <c r="BN16" s="68">
        <f t="shared" si="13"/>
        <v>0.121875</v>
      </c>
      <c r="BO16" s="68">
        <f t="shared" si="29"/>
        <v>0.17579166666666665</v>
      </c>
      <c r="BP16" s="70">
        <f t="shared" si="6"/>
        <v>0.15037361111111114</v>
      </c>
      <c r="BQ16" s="180">
        <f>'FCs estimados em PVsyst'!Y14</f>
        <v>0.16425000000000001</v>
      </c>
      <c r="BR16" s="72">
        <f t="shared" si="34"/>
        <v>16.425000000000001</v>
      </c>
      <c r="BS16" s="73">
        <f t="shared" si="35"/>
        <v>-2.4249999999999994E-2</v>
      </c>
      <c r="BT16" s="74">
        <f t="shared" si="9"/>
        <v>-1.3876388888888869E-2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541.5</v>
      </c>
      <c r="E17" s="319">
        <v>588.20000000000005</v>
      </c>
      <c r="F17" s="308">
        <v>399.2</v>
      </c>
      <c r="G17" s="283">
        <v>192</v>
      </c>
      <c r="H17" s="283">
        <v>344.1</v>
      </c>
      <c r="I17" s="82">
        <v>533</v>
      </c>
      <c r="J17" s="82">
        <v>526.1</v>
      </c>
      <c r="K17" s="63">
        <v>517.20000000000005</v>
      </c>
      <c r="L17" s="63">
        <v>448.3</v>
      </c>
      <c r="M17" s="63">
        <v>61.1</v>
      </c>
      <c r="N17" s="31">
        <v>139.5</v>
      </c>
      <c r="O17" s="63">
        <v>429.4</v>
      </c>
      <c r="P17" s="283">
        <v>478.9</v>
      </c>
      <c r="Q17" s="283">
        <v>491</v>
      </c>
      <c r="R17" s="63">
        <v>503</v>
      </c>
      <c r="S17" s="283">
        <v>533.1</v>
      </c>
      <c r="T17" s="63">
        <v>544.70000000000005</v>
      </c>
      <c r="U17" s="63">
        <v>499</v>
      </c>
      <c r="V17" s="63">
        <v>131.1</v>
      </c>
      <c r="W17" s="283">
        <v>103.2</v>
      </c>
      <c r="X17" s="63">
        <v>266.10000000000002</v>
      </c>
      <c r="Y17" s="592">
        <v>313.8</v>
      </c>
      <c r="Z17" s="15">
        <v>557.70000000000005</v>
      </c>
      <c r="AA17" s="18">
        <v>405</v>
      </c>
      <c r="AB17" s="20">
        <v>432.3</v>
      </c>
      <c r="AC17" s="221">
        <v>508</v>
      </c>
      <c r="AD17" s="221">
        <v>207</v>
      </c>
      <c r="AE17" s="15">
        <v>161</v>
      </c>
      <c r="AF17" s="15">
        <v>222</v>
      </c>
      <c r="AG17" s="15">
        <v>509</v>
      </c>
      <c r="AH17" s="354">
        <v>609</v>
      </c>
      <c r="AI17" s="335">
        <f t="shared" si="0"/>
        <v>12194.5</v>
      </c>
      <c r="AJ17" s="118">
        <v>100</v>
      </c>
      <c r="AK17" s="122">
        <f t="shared" si="32"/>
        <v>9.2407407407407403E-3</v>
      </c>
      <c r="AL17" s="67">
        <f t="shared" si="22"/>
        <v>0.22562499999999999</v>
      </c>
      <c r="AM17" s="68">
        <f t="shared" si="18"/>
        <v>0.24508333333333335</v>
      </c>
      <c r="AN17" s="68">
        <f t="shared" si="19"/>
        <v>0.16633333333333333</v>
      </c>
      <c r="AO17" s="68">
        <f t="shared" si="20"/>
        <v>0.08</v>
      </c>
      <c r="AP17" s="68">
        <f t="shared" si="21"/>
        <v>0.143375</v>
      </c>
      <c r="AQ17" s="68">
        <f t="shared" si="23"/>
        <v>0.22208333333333333</v>
      </c>
      <c r="AR17" s="68">
        <f t="shared" si="24"/>
        <v>0.21920833333333334</v>
      </c>
      <c r="AS17" s="68" t="e">
        <f>IF(OR(#REF!="",#REF!="Sem monitoramento"),"VAZIO",IFERROR(#REF!/($AJ17*24),"-"))</f>
        <v>#REF!</v>
      </c>
      <c r="AT17" s="68">
        <f>IF(OR(L17="",L17="Sem monitoramento"),"VAZIO",IFERROR(L17/($AJ17*24),"-"))</f>
        <v>0.18679166666666666</v>
      </c>
      <c r="AU17" s="68">
        <f>IF(OR(M17="",M17="Sem monitoramento"),"VAZIO",IFERROR(M17/($AJ17*24),"-"))</f>
        <v>2.5458333333333333E-2</v>
      </c>
      <c r="AV17" s="68">
        <f>IF(OR(N18="",N18="Sem monitoramento"),"VAZIO",IFERROR(N18/($AJ17*24),"-"))</f>
        <v>5.6499999999999995E-2</v>
      </c>
      <c r="AW17" s="68">
        <f t="shared" ref="AW17:AW22" si="37">IF(OR(O17="",O17="Sem monitoramento"),"VAZIO",IFERROR(O17/($AJ17*24),"-"))</f>
        <v>0.17891666666666667</v>
      </c>
      <c r="AX17" s="68">
        <f t="shared" si="25"/>
        <v>0.19954166666666664</v>
      </c>
      <c r="AY17" s="68">
        <f t="shared" si="36"/>
        <v>0.20458333333333334</v>
      </c>
      <c r="AZ17" s="68">
        <f t="shared" si="36"/>
        <v>0.20958333333333334</v>
      </c>
      <c r="BA17" s="68">
        <f t="shared" si="36"/>
        <v>0.22212500000000002</v>
      </c>
      <c r="BB17" s="68">
        <f t="shared" ref="BB17:BB31" si="38">IF(OR(T17="",T17="Sem monitoramento"),"VAZIO",IFERROR(T17/($AJ17*24),"-"))</f>
        <v>0.22695833333333335</v>
      </c>
      <c r="BC17" s="68">
        <f t="shared" si="26"/>
        <v>0.20791666666666667</v>
      </c>
      <c r="BD17" s="68">
        <f t="shared" si="26"/>
        <v>5.4625E-2</v>
      </c>
      <c r="BE17" s="68">
        <f t="shared" si="33"/>
        <v>4.3000000000000003E-2</v>
      </c>
      <c r="BF17" s="68">
        <f>IF(OR(X17="",X17="Sem monitoramento"),"VAZIO",IFERROR(X17/($AJ17*24),"-"))</f>
        <v>0.11087500000000002</v>
      </c>
      <c r="BG17" s="68" t="e">
        <f>IF(OR(#REF!="",#REF!="Sem monitoramento"),"VAZIO",IFERROR(#REF!/($AJ17*24),"-"))</f>
        <v>#REF!</v>
      </c>
      <c r="BH17" s="68">
        <f>IF(OR(Z17="",Z17="Sem monitoramento"),"VAZIO",IFERROR(Z17/($AJ17*24),"-"))</f>
        <v>0.23237500000000003</v>
      </c>
      <c r="BI17" s="68">
        <f t="shared" si="30"/>
        <v>0.16875000000000001</v>
      </c>
      <c r="BJ17" s="68" t="e">
        <f>IF(OR(#REF!="",#REF!="Sem monitoramento"),"VAZIO",IFERROR(#REF!/($AJ17*24),"-"))</f>
        <v>#REF!</v>
      </c>
      <c r="BK17" s="68">
        <f t="shared" si="28"/>
        <v>0.21166666666666667</v>
      </c>
      <c r="BL17" s="68">
        <f t="shared" si="11"/>
        <v>8.6249999999999993E-2</v>
      </c>
      <c r="BM17" s="68">
        <f t="shared" si="12"/>
        <v>6.7083333333333328E-2</v>
      </c>
      <c r="BN17" s="68">
        <f t="shared" si="13"/>
        <v>9.2499999999999999E-2</v>
      </c>
      <c r="BO17" s="68">
        <f t="shared" si="29"/>
        <v>0.21208333333333335</v>
      </c>
      <c r="BP17" s="70">
        <f t="shared" si="6"/>
        <v>0.16936805555555556</v>
      </c>
      <c r="BQ17" s="198">
        <f>$BQ$19</f>
        <v>0.168125</v>
      </c>
      <c r="BR17" s="90">
        <f t="shared" si="34"/>
        <v>16.8125</v>
      </c>
      <c r="BS17" s="73">
        <f t="shared" si="35"/>
        <v>-1.7916666666666636E-3</v>
      </c>
      <c r="BT17" s="74">
        <f t="shared" si="9"/>
        <v>1.2430555555555667E-3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541.4</v>
      </c>
      <c r="E18" s="319">
        <v>579.29999999999995</v>
      </c>
      <c r="F18" s="308">
        <v>393.4</v>
      </c>
      <c r="G18" s="283">
        <v>190.1</v>
      </c>
      <c r="H18" s="63">
        <v>338.3</v>
      </c>
      <c r="I18" s="63">
        <v>533.9</v>
      </c>
      <c r="J18" s="63">
        <v>524.1</v>
      </c>
      <c r="K18" s="63">
        <v>512.79999999999995</v>
      </c>
      <c r="L18" s="63">
        <v>437.8</v>
      </c>
      <c r="M18" s="316">
        <v>59.4</v>
      </c>
      <c r="N18" s="63">
        <v>135.6</v>
      </c>
      <c r="O18" s="63">
        <v>435.5</v>
      </c>
      <c r="P18" s="63">
        <v>482.9</v>
      </c>
      <c r="Q18" s="519">
        <v>505.5</v>
      </c>
      <c r="R18" s="63">
        <v>502</v>
      </c>
      <c r="S18" s="283">
        <v>533.5</v>
      </c>
      <c r="T18" s="63">
        <v>547.1</v>
      </c>
      <c r="U18" s="283">
        <v>496.1</v>
      </c>
      <c r="V18" s="283">
        <v>130.1</v>
      </c>
      <c r="W18" s="283">
        <v>102.7</v>
      </c>
      <c r="X18" s="283">
        <v>264.60000000000002</v>
      </c>
      <c r="Y18" s="282">
        <v>311.60000000000002</v>
      </c>
      <c r="Z18" s="221">
        <v>556.9</v>
      </c>
      <c r="AA18" s="18">
        <v>411.9</v>
      </c>
      <c r="AB18" s="628">
        <v>428.3</v>
      </c>
      <c r="AC18" s="221">
        <v>509</v>
      </c>
      <c r="AD18" s="221">
        <v>208</v>
      </c>
      <c r="AE18" s="15">
        <v>162</v>
      </c>
      <c r="AF18" s="15">
        <v>224</v>
      </c>
      <c r="AG18" s="15">
        <v>511</v>
      </c>
      <c r="AH18" s="354">
        <v>610</v>
      </c>
      <c r="AI18" s="335">
        <f>SUM(D18:AH18)</f>
        <v>12178.8</v>
      </c>
      <c r="AJ18" s="118">
        <v>100</v>
      </c>
      <c r="AK18" s="122">
        <f t="shared" si="32"/>
        <v>9.106481481481481E-3</v>
      </c>
      <c r="AL18" s="67">
        <f t="shared" si="22"/>
        <v>0.22558333333333333</v>
      </c>
      <c r="AM18" s="68">
        <f t="shared" si="18"/>
        <v>0.24137499999999998</v>
      </c>
      <c r="AN18" s="68">
        <f t="shared" si="19"/>
        <v>0.16391666666666665</v>
      </c>
      <c r="AO18" s="68">
        <f t="shared" si="20"/>
        <v>7.9208333333333325E-2</v>
      </c>
      <c r="AP18" s="68">
        <f t="shared" si="21"/>
        <v>0.14095833333333332</v>
      </c>
      <c r="AQ18" s="68">
        <f t="shared" si="23"/>
        <v>0.22245833333333331</v>
      </c>
      <c r="AR18" s="68">
        <f t="shared" si="24"/>
        <v>0.21837500000000001</v>
      </c>
      <c r="AS18" s="68">
        <f>IF(OR(K18="",K18="Sem monitoramento"),"VAZIO",IFERROR(K18/($AJ18*24),"-"))</f>
        <v>0.21366666666666664</v>
      </c>
      <c r="AT18" s="68">
        <f>IF(OR(L18="",L18="Sem monitoramento"),"VAZIO",IFERROR(L18/($AJ18*24),"-"))</f>
        <v>0.18241666666666667</v>
      </c>
      <c r="AU18" s="68">
        <f>IF(OR(M19="",M19="Sem monitoramento"),"VAZIO",IFERROR(M19/($AJ18*24),"-"))</f>
        <v>1.8666666666666665E-2</v>
      </c>
      <c r="AV18" s="68" t="e">
        <f>IF(OR(#REF!="",#REF!="Sem monitoramento"),"VAZIO",IFERROR(#REF!/($AJ18*24),"-"))</f>
        <v>#REF!</v>
      </c>
      <c r="AW18" s="68">
        <f t="shared" si="37"/>
        <v>0.18145833333333333</v>
      </c>
      <c r="AX18" s="68">
        <f t="shared" si="25"/>
        <v>0.20120833333333332</v>
      </c>
      <c r="AY18" s="68">
        <f>IF(OR(Q19="",Q19="Sem monitoramento"),"VAZIO",IFERROR(Q19/($AJ18*24),"-"))</f>
        <v>0.16754166666666667</v>
      </c>
      <c r="AZ18" s="68" t="e">
        <f>IF(OR(#REF!="",#REF!="Sem monitoramento"),"VAZIO",IFERROR(#REF!/($AJ18*24),"-"))</f>
        <v>#REF!</v>
      </c>
      <c r="BA18" s="68">
        <f>IF(OR(S18="",S18="Sem monitoramento"),"VAZIO",IFERROR(S18/($AJ18*24),"-"))</f>
        <v>0.22229166666666667</v>
      </c>
      <c r="BB18" s="68">
        <f t="shared" si="38"/>
        <v>0.22795833333333335</v>
      </c>
      <c r="BC18" s="68">
        <f t="shared" si="26"/>
        <v>0.20670833333333336</v>
      </c>
      <c r="BD18" s="68">
        <f t="shared" si="26"/>
        <v>5.4208333333333331E-2</v>
      </c>
      <c r="BE18" s="68">
        <f t="shared" si="33"/>
        <v>4.2791666666666665E-2</v>
      </c>
      <c r="BF18" s="68">
        <f>IF(OR(X18="",X18="Sem monitoramento"),"VAZIO",IFERROR(X18/($AJ18*24),"-"))</f>
        <v>0.11025000000000001</v>
      </c>
      <c r="BG18" s="68">
        <f>IF(OR(Y18="",Y18="Sem monitoramento"),"VAZIO",IFERROR(Y18/($AJ18*24),"-"))</f>
        <v>0.12983333333333336</v>
      </c>
      <c r="BH18" s="68">
        <f>IF(OR(Z18="",Z18="Sem monitoramento"),"VAZIO",IFERROR(Z18/($AJ18*24),"-"))</f>
        <v>0.23204166666666665</v>
      </c>
      <c r="BI18" s="68">
        <f t="shared" si="30"/>
        <v>0.171625</v>
      </c>
      <c r="BJ18" s="68">
        <f>IF(OR(AB17="",AB17="Sem monitoramento"),"VAZIO",IFERROR(AB17/($AJ18*24),"-"))</f>
        <v>0.18012500000000001</v>
      </c>
      <c r="BK18" s="68">
        <f t="shared" si="28"/>
        <v>0.21208333333333335</v>
      </c>
      <c r="BL18" s="68">
        <f t="shared" si="11"/>
        <v>8.666666666666667E-2</v>
      </c>
      <c r="BM18" s="68">
        <f t="shared" si="12"/>
        <v>6.7500000000000004E-2</v>
      </c>
      <c r="BN18" s="68">
        <f t="shared" si="13"/>
        <v>9.3333333333333338E-2</v>
      </c>
      <c r="BO18" s="68">
        <f t="shared" si="29"/>
        <v>0.21291666666666667</v>
      </c>
      <c r="BP18" s="70">
        <f t="shared" si="6"/>
        <v>0.16914999999999999</v>
      </c>
      <c r="BQ18" s="198">
        <f>$BQ$19</f>
        <v>0.168125</v>
      </c>
      <c r="BR18" s="90">
        <f t="shared" si="34"/>
        <v>16.8125</v>
      </c>
      <c r="BS18" s="73">
        <f t="shared" si="35"/>
        <v>-4.2083333333333417E-3</v>
      </c>
      <c r="BT18" s="74">
        <f t="shared" si="9"/>
        <v>1.0249999999999981E-3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416</v>
      </c>
      <c r="E19" s="319">
        <v>467.5</v>
      </c>
      <c r="F19" s="63">
        <v>305.5</v>
      </c>
      <c r="G19" s="283">
        <v>151.30000000000001</v>
      </c>
      <c r="H19" s="283">
        <v>279.89999999999998</v>
      </c>
      <c r="I19" s="63">
        <v>424.9</v>
      </c>
      <c r="J19" s="283">
        <v>445.2</v>
      </c>
      <c r="K19" s="63">
        <v>420.4</v>
      </c>
      <c r="L19" s="63">
        <v>334.2</v>
      </c>
      <c r="M19" s="63">
        <v>44.8</v>
      </c>
      <c r="N19" s="63">
        <v>111.6</v>
      </c>
      <c r="O19" s="63">
        <v>356.3</v>
      </c>
      <c r="P19" s="63">
        <v>399.6</v>
      </c>
      <c r="Q19" s="283">
        <v>402.1</v>
      </c>
      <c r="R19" s="63">
        <v>406.4</v>
      </c>
      <c r="S19" s="63">
        <v>462.7</v>
      </c>
      <c r="T19" s="63">
        <v>477.8</v>
      </c>
      <c r="U19" s="63">
        <v>417.1</v>
      </c>
      <c r="V19" s="283">
        <v>102</v>
      </c>
      <c r="W19" s="283">
        <v>80.099999999999994</v>
      </c>
      <c r="X19" s="316">
        <v>207.4</v>
      </c>
      <c r="Y19" s="316">
        <v>304.60000000000002</v>
      </c>
      <c r="Z19" s="63">
        <v>436.1</v>
      </c>
      <c r="AA19" s="18">
        <v>323.2</v>
      </c>
      <c r="AB19" s="323">
        <v>223.5</v>
      </c>
      <c r="AC19" s="15">
        <v>440</v>
      </c>
      <c r="AD19" s="283">
        <v>152.6</v>
      </c>
      <c r="AE19" s="221">
        <v>114.5</v>
      </c>
      <c r="AF19" s="15">
        <v>198.2</v>
      </c>
      <c r="AG19" s="15">
        <v>409.3</v>
      </c>
      <c r="AH19" s="15">
        <v>514.79999999999995</v>
      </c>
      <c r="AI19" s="335">
        <f t="shared" si="0"/>
        <v>9829.6</v>
      </c>
      <c r="AJ19" s="118">
        <v>80</v>
      </c>
      <c r="AK19" s="121">
        <f t="shared" si="32"/>
        <v>8.8396990740740745E-3</v>
      </c>
      <c r="AL19" s="67">
        <f t="shared" si="22"/>
        <v>0.21666666666666667</v>
      </c>
      <c r="AM19" s="68">
        <f t="shared" si="18"/>
        <v>0.24348958333333334</v>
      </c>
      <c r="AN19" s="68">
        <f t="shared" si="19"/>
        <v>0.15911458333333334</v>
      </c>
      <c r="AO19" s="68">
        <f t="shared" si="20"/>
        <v>7.8802083333333342E-2</v>
      </c>
      <c r="AP19" s="68">
        <f t="shared" si="21"/>
        <v>0.14578125</v>
      </c>
      <c r="AQ19" s="68">
        <f t="shared" si="23"/>
        <v>0.22130208333333332</v>
      </c>
      <c r="AR19" s="68">
        <f t="shared" si="24"/>
        <v>0.231875</v>
      </c>
      <c r="AS19" s="68">
        <f>IF(OR(K19="",K19="Sem monitoramento"),"VAZIO",IFERROR(K19/($AJ19*24),"-"))</f>
        <v>0.21895833333333331</v>
      </c>
      <c r="AT19" s="68">
        <f>IF(OR(L21="",L21="Sem monitoramento"),"VAZIO",IFERROR(L21/($AJ19*24),"-"))</f>
        <v>0.20786458333333335</v>
      </c>
      <c r="AU19" s="68" t="e">
        <f>IF(OR(#REF!="",#REF!="Sem monitoramento"),"VAZIO",IFERROR(#REF!/($AJ19*24),"-"))</f>
        <v>#REF!</v>
      </c>
      <c r="AV19" s="68">
        <f>IF(OR(N19="",N19="Sem monitoramento"),"VAZIO",IFERROR(N19/($AJ19*24),"-"))</f>
        <v>5.8124999999999996E-2</v>
      </c>
      <c r="AW19" s="68">
        <f t="shared" si="37"/>
        <v>0.18557291666666667</v>
      </c>
      <c r="AX19" s="68">
        <f t="shared" si="25"/>
        <v>0.208125</v>
      </c>
      <c r="AY19" s="68" t="e">
        <f>IF(OR(#REF!="",#REF!="Sem monitoramento"),"VAZIO",IFERROR(#REF!/($AJ19*24),"-"))</f>
        <v>#REF!</v>
      </c>
      <c r="AZ19" s="68">
        <f>IF(OR(R19="",R19="Sem monitoramento"),"VAZIO",IFERROR(R19/($AJ19*24),"-"))</f>
        <v>0.21166666666666664</v>
      </c>
      <c r="BA19" s="68">
        <f>IF(OR(S19="",S19="Sem monitoramento"),"VAZIO",IFERROR(S19/($AJ19*24),"-"))</f>
        <v>0.24098958333333334</v>
      </c>
      <c r="BB19" s="68">
        <f t="shared" si="38"/>
        <v>0.24885416666666668</v>
      </c>
      <c r="BC19" s="68">
        <f t="shared" ref="BC19:BC31" si="39">IF(OR(U19="",U19="Sem monitoramento"),"VAZIO",IFERROR(U19/($AJ19*24),"-"))</f>
        <v>0.21723958333333335</v>
      </c>
      <c r="BD19" s="68" t="e">
        <f>IF(OR(#REF!="",#REF!="Sem monitoramento"),"VAZIO",IFERROR(#REF!/($AJ19*24),"-"))</f>
        <v>#REF!</v>
      </c>
      <c r="BE19" s="68">
        <f t="shared" si="33"/>
        <v>4.1718749999999999E-2</v>
      </c>
      <c r="BF19" s="68">
        <f>IF(OR(X21="",X21="Sem monitoramento"),"VAZIO",IFERROR(X21/($AJ19*24),"-"))</f>
        <v>0.11963541666666666</v>
      </c>
      <c r="BG19" s="68" t="e">
        <f>IF(OR(#REF!="",#REF!="Sem monitoramento"),"VAZIO",IFERROR(#REF!/($AJ19*24),"-"))</f>
        <v>#REF!</v>
      </c>
      <c r="BH19" s="68">
        <f t="shared" ref="BH19:BH24" si="40">IF(OR(Z19="",Z19="Sem monitoramento"),"VAZIO",IFERROR(Z19/($AJ19*24),"-"))</f>
        <v>0.22713541666666667</v>
      </c>
      <c r="BI19" s="68">
        <f t="shared" si="30"/>
        <v>0.16833333333333333</v>
      </c>
      <c r="BJ19" s="68">
        <f t="shared" si="31"/>
        <v>0.11640625</v>
      </c>
      <c r="BK19" s="68">
        <f t="shared" si="28"/>
        <v>0.22916666666666666</v>
      </c>
      <c r="BL19" s="68">
        <f t="shared" si="11"/>
        <v>7.947916666666667E-2</v>
      </c>
      <c r="BM19" s="68">
        <f t="shared" si="12"/>
        <v>5.963541666666667E-2</v>
      </c>
      <c r="BN19" s="68">
        <f t="shared" si="13"/>
        <v>0.10322916666666666</v>
      </c>
      <c r="BO19" s="68">
        <f t="shared" si="29"/>
        <v>0.21317708333333335</v>
      </c>
      <c r="BP19" s="70">
        <f t="shared" si="6"/>
        <v>0.17065277777777779</v>
      </c>
      <c r="BQ19" s="180">
        <f>'FCs estimados em PVsyst'!Y17</f>
        <v>0.168125</v>
      </c>
      <c r="BR19" s="72">
        <f t="shared" si="34"/>
        <v>13.45</v>
      </c>
      <c r="BS19" s="73">
        <f t="shared" si="35"/>
        <v>-9.0104166666666596E-3</v>
      </c>
      <c r="BT19" s="74">
        <f t="shared" si="9"/>
        <v>2.5277777777777954E-3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223">
        <v>498.8</v>
      </c>
      <c r="E20" s="319">
        <v>608</v>
      </c>
      <c r="F20" s="63">
        <v>417.8</v>
      </c>
      <c r="G20" s="63">
        <v>203.1</v>
      </c>
      <c r="H20" s="283">
        <v>357.5</v>
      </c>
      <c r="I20" s="63">
        <v>512.29999999999995</v>
      </c>
      <c r="J20" s="283">
        <v>530.1</v>
      </c>
      <c r="K20" s="316">
        <v>559.20000000000005</v>
      </c>
      <c r="L20" s="63">
        <v>469.1</v>
      </c>
      <c r="M20" s="63">
        <v>61</v>
      </c>
      <c r="N20" s="316">
        <v>151.80000000000001</v>
      </c>
      <c r="O20" s="63">
        <v>427.8</v>
      </c>
      <c r="P20" s="63">
        <v>491.9</v>
      </c>
      <c r="Q20" s="283">
        <v>480.7</v>
      </c>
      <c r="R20" s="316">
        <v>532.5</v>
      </c>
      <c r="S20" s="63">
        <v>556.1</v>
      </c>
      <c r="T20" s="63">
        <v>610.5</v>
      </c>
      <c r="U20" s="63">
        <v>528.20000000000005</v>
      </c>
      <c r="V20" s="519">
        <v>139.4</v>
      </c>
      <c r="W20" s="283">
        <v>109.9</v>
      </c>
      <c r="X20" s="283">
        <v>280.10000000000002</v>
      </c>
      <c r="Y20" s="63">
        <v>406.1</v>
      </c>
      <c r="Z20" s="316">
        <v>546.4</v>
      </c>
      <c r="AA20" s="18">
        <v>425.1</v>
      </c>
      <c r="AB20" s="323">
        <v>298.8</v>
      </c>
      <c r="AC20" s="283">
        <v>571.6</v>
      </c>
      <c r="AD20" s="283">
        <v>208.4</v>
      </c>
      <c r="AE20" s="283">
        <v>155.69999999999999</v>
      </c>
      <c r="AF20" s="283">
        <v>265.39999999999998</v>
      </c>
      <c r="AG20" s="221">
        <v>513.1</v>
      </c>
      <c r="AH20" s="221">
        <v>626.79999999999995</v>
      </c>
      <c r="AI20" s="335">
        <f t="shared" si="0"/>
        <v>12543.2</v>
      </c>
      <c r="AJ20" s="118">
        <v>100</v>
      </c>
      <c r="AK20" s="121">
        <f t="shared" si="32"/>
        <v>9.6712962962962959E-3</v>
      </c>
      <c r="AL20" s="67">
        <f t="shared" si="22"/>
        <v>0.20783333333333334</v>
      </c>
      <c r="AM20" s="68">
        <f t="shared" si="18"/>
        <v>0.25333333333333335</v>
      </c>
      <c r="AN20" s="68">
        <f t="shared" si="19"/>
        <v>0.17408333333333334</v>
      </c>
      <c r="AO20" s="68">
        <f t="shared" si="20"/>
        <v>8.4624999999999992E-2</v>
      </c>
      <c r="AP20" s="68">
        <f t="shared" si="21"/>
        <v>0.14895833333333333</v>
      </c>
      <c r="AQ20" s="68">
        <f t="shared" si="23"/>
        <v>0.21345833333333331</v>
      </c>
      <c r="AR20" s="68">
        <f t="shared" si="24"/>
        <v>0.22087500000000002</v>
      </c>
      <c r="AS20" s="68">
        <f>IF(OR(K17="",K17="Sem monitoramento"),"VAZIO",IFERROR(K17/($AJ20*24),"-"))</f>
        <v>0.21550000000000002</v>
      </c>
      <c r="AT20" s="68">
        <f>IF(OR(L20="",L20="Sem monitoramento"),"VAZIO",IFERROR(L20/($AJ20*24),"-"))</f>
        <v>0.19545833333333335</v>
      </c>
      <c r="AU20" s="68">
        <f>IF(OR(M20="",M20="Sem monitoramento"),"VAZIO",IFERROR(M20/($AJ20*24),"-"))</f>
        <v>2.5416666666666667E-2</v>
      </c>
      <c r="AV20" s="68">
        <f>IF(OR(N21="",N21="Sem monitoramento"),"VAZIO",IFERROR(N21/($AJ20*24),"-"))</f>
        <v>5.2083333333333336E-2</v>
      </c>
      <c r="AW20" s="68">
        <f t="shared" si="37"/>
        <v>0.17824999999999999</v>
      </c>
      <c r="AX20" s="68">
        <f t="shared" si="25"/>
        <v>0.20495833333333333</v>
      </c>
      <c r="AY20" s="68">
        <f t="shared" ref="AY20:AY31" si="41">IF(OR(Q20="",Q20="Sem monitoramento"),"VAZIO",IFERROR(Q20/($AJ20*24),"-"))</f>
        <v>0.20029166666666667</v>
      </c>
      <c r="AZ20" s="68">
        <f>IF(OR(R18="",R18="Sem monitoramento"),"VAZIO",IFERROR(R18/($AJ20*24),"-"))</f>
        <v>0.20916666666666667</v>
      </c>
      <c r="BA20" s="68">
        <f>IF(OR(S21="",S21="Sem monitoramento"),"VAZIO",IFERROR(S21/($AJ20*24),"-"))</f>
        <v>0.21266666666666667</v>
      </c>
      <c r="BB20" s="68">
        <f t="shared" si="38"/>
        <v>0.25437500000000002</v>
      </c>
      <c r="BC20" s="68">
        <f t="shared" si="39"/>
        <v>0.22008333333333335</v>
      </c>
      <c r="BD20" s="68">
        <f>IF(OR(V19="",V19="Sem monitoramento"),"VAZIO",IFERROR(V19/($AJ20*24),"-"))</f>
        <v>4.2500000000000003E-2</v>
      </c>
      <c r="BE20" s="68">
        <f t="shared" si="33"/>
        <v>4.5791666666666668E-2</v>
      </c>
      <c r="BF20" s="68">
        <f>IF(OR(X22="",X22="Sem monitoramento"),"VAZIO",IFERROR(X22/($AJ20*24),"-"))</f>
        <v>0.13079166666666667</v>
      </c>
      <c r="BG20" s="68">
        <f>IF(OR(Y18="",Y18="Sem monitoramento"),"VAZIO",IFERROR(Y18/($AJ20*24),"-"))</f>
        <v>0.12983333333333336</v>
      </c>
      <c r="BH20" s="68">
        <f t="shared" si="40"/>
        <v>0.22766666666666666</v>
      </c>
      <c r="BI20" s="68">
        <f t="shared" si="30"/>
        <v>0.177125</v>
      </c>
      <c r="BJ20" s="68">
        <f t="shared" si="31"/>
        <v>0.1245</v>
      </c>
      <c r="BK20" s="68">
        <f t="shared" si="28"/>
        <v>0.23816666666666667</v>
      </c>
      <c r="BL20" s="68">
        <f>IF(OR(AD21="",AD21="Sem monitoramento"),"VAZIO",IFERROR(AD21/($AJ20*24),"-"))</f>
        <v>6.9874999999999993E-2</v>
      </c>
      <c r="BM20" s="68">
        <f t="shared" ref="BM20:BM31" si="42">IF(OR(AE20="",AE20="Sem monitoramento"),"VAZIO",IFERROR(AE20/($AJ20*24),"-"))</f>
        <v>6.4875000000000002E-2</v>
      </c>
      <c r="BN20" s="68">
        <f t="shared" ref="BN20:BN31" si="43">IF(OR(AF20="",AF20="Sem monitoramento"),"VAZIO",IFERROR(AF20/($AJ20*24),"-"))</f>
        <v>0.11058333333333333</v>
      </c>
      <c r="BO20" s="68">
        <f t="shared" si="29"/>
        <v>0.21379166666666669</v>
      </c>
      <c r="BP20" s="70">
        <f t="shared" si="6"/>
        <v>0.17421111111111112</v>
      </c>
      <c r="BQ20" s="198">
        <f t="shared" ref="BQ20:BQ30" si="44">$BQ$19</f>
        <v>0.168125</v>
      </c>
      <c r="BR20" s="72">
        <f t="shared" si="34"/>
        <v>16.8125</v>
      </c>
      <c r="BS20" s="73">
        <f t="shared" si="35"/>
        <v>5.9583333333333433E-3</v>
      </c>
      <c r="BT20" s="74">
        <f t="shared" si="9"/>
        <v>6.0861111111111255E-3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223">
        <v>444.9</v>
      </c>
      <c r="E21" s="355">
        <v>546.79999999999995</v>
      </c>
      <c r="F21" s="283">
        <v>347.6</v>
      </c>
      <c r="G21" s="283">
        <v>169.7</v>
      </c>
      <c r="H21" s="283">
        <v>314.7</v>
      </c>
      <c r="I21" s="63">
        <v>451.2</v>
      </c>
      <c r="J21" s="283">
        <v>480.2</v>
      </c>
      <c r="K21" s="63">
        <v>491.2</v>
      </c>
      <c r="L21" s="283">
        <v>399.1</v>
      </c>
      <c r="M21" s="316">
        <v>50.6</v>
      </c>
      <c r="N21" s="63">
        <v>125</v>
      </c>
      <c r="O21" s="63">
        <v>380.1</v>
      </c>
      <c r="P21" s="63">
        <v>427.8</v>
      </c>
      <c r="Q21" s="283">
        <v>420</v>
      </c>
      <c r="R21" s="63">
        <v>459.5</v>
      </c>
      <c r="S21" s="63">
        <v>510.4</v>
      </c>
      <c r="T21" s="283">
        <v>547.9</v>
      </c>
      <c r="U21" s="283">
        <v>460.1</v>
      </c>
      <c r="V21" s="283">
        <v>113.9</v>
      </c>
      <c r="W21" s="283">
        <v>89.3</v>
      </c>
      <c r="X21" s="283">
        <v>229.7</v>
      </c>
      <c r="Y21" s="283">
        <v>335.3</v>
      </c>
      <c r="Z21" s="63">
        <v>486.4</v>
      </c>
      <c r="AA21" s="320">
        <v>351.3</v>
      </c>
      <c r="AB21" s="323">
        <v>254.8</v>
      </c>
      <c r="AC21" s="221">
        <v>513.29999999999995</v>
      </c>
      <c r="AD21" s="283">
        <v>167.7</v>
      </c>
      <c r="AE21" s="221">
        <v>125.2</v>
      </c>
      <c r="AF21" s="221">
        <v>213.2</v>
      </c>
      <c r="AG21" s="221">
        <v>429.9</v>
      </c>
      <c r="AH21" s="221">
        <v>566</v>
      </c>
      <c r="AI21" s="335">
        <f t="shared" si="0"/>
        <v>10902.8</v>
      </c>
      <c r="AJ21" s="118">
        <v>100</v>
      </c>
      <c r="AK21" s="121">
        <f t="shared" si="32"/>
        <v>8.0462962962962962E-3</v>
      </c>
      <c r="AL21" s="67">
        <f t="shared" si="22"/>
        <v>0.18537499999999998</v>
      </c>
      <c r="AM21" s="68">
        <f t="shared" si="18"/>
        <v>0.2278333333333333</v>
      </c>
      <c r="AN21" s="68">
        <f t="shared" si="19"/>
        <v>0.14483333333333334</v>
      </c>
      <c r="AO21" s="68">
        <f t="shared" si="20"/>
        <v>7.0708333333333331E-2</v>
      </c>
      <c r="AP21" s="68">
        <f t="shared" si="21"/>
        <v>0.13112499999999999</v>
      </c>
      <c r="AQ21" s="68">
        <f t="shared" si="23"/>
        <v>0.188</v>
      </c>
      <c r="AR21" s="68">
        <f t="shared" si="24"/>
        <v>0.20008333333333334</v>
      </c>
      <c r="AS21" s="68">
        <f t="shared" ref="AS21:AS31" si="45">IF(OR(K21="",K21="Sem monitoramento"),"VAZIO",IFERROR(K21/($AJ21*24),"-"))</f>
        <v>0.20466666666666666</v>
      </c>
      <c r="AT21" s="68">
        <f t="shared" ref="AT21:AT31" si="46">IF(OR(L21="",L21="Sem monitoramento"),"VAZIO",IFERROR(L21/($AJ21*24),"-"))</f>
        <v>0.16629166666666667</v>
      </c>
      <c r="AU21" s="68">
        <f>IF(OR(M19="",M19="Sem monitoramento"),"VAZIO",IFERROR(M19/($AJ21*24),"-"))</f>
        <v>1.8666666666666665E-2</v>
      </c>
      <c r="AV21" s="68">
        <f>IF(OR(N22="",N22="Sem monitoramento"),"VAZIO",IFERROR(N22/($AJ21*24),"-"))</f>
        <v>6.7333333333333328E-2</v>
      </c>
      <c r="AW21" s="68">
        <f t="shared" si="37"/>
        <v>0.15837500000000002</v>
      </c>
      <c r="AX21" s="68">
        <f t="shared" si="25"/>
        <v>0.17824999999999999</v>
      </c>
      <c r="AY21" s="68">
        <f t="shared" si="41"/>
        <v>0.17499999999999999</v>
      </c>
      <c r="AZ21" s="68">
        <f t="shared" ref="AZ21:AZ31" si="47">IF(OR(R21="",R21="Sem monitoramento"),"VAZIO",IFERROR(R21/($AJ21*24),"-"))</f>
        <v>0.19145833333333334</v>
      </c>
      <c r="BA21" s="68">
        <f>IF(OR(S22="",S22="Sem monitoramento"),"VAZIO",IFERROR(S22/($AJ21*24),"-"))</f>
        <v>0.21695833333333336</v>
      </c>
      <c r="BB21" s="68">
        <f t="shared" si="38"/>
        <v>0.22829166666666667</v>
      </c>
      <c r="BC21" s="68">
        <f t="shared" si="39"/>
        <v>0.19170833333333334</v>
      </c>
      <c r="BD21" s="68">
        <f>IF(OR(V21="",V21="Sem monitoramento"),"VAZIO",IFERROR(V21/($AJ21*24),"-"))</f>
        <v>4.7458333333333338E-2</v>
      </c>
      <c r="BE21" s="68">
        <f>IF(OR(W21="",W21="Sem monitoramento"),"VAZIO",IFERROR(W21/($AJ21*24),"-"))</f>
        <v>3.7208333333333329E-2</v>
      </c>
      <c r="BF21" s="68">
        <f>IF(OR(X23="",X23="Sem monitoramento"),"VAZIO",IFERROR(X23/($AJ21*24),"-"))</f>
        <v>0.11379166666666668</v>
      </c>
      <c r="BG21" s="68">
        <f t="shared" ref="BG21:BG31" si="48">IF(OR(Y21="",Y21="Sem monitoramento"),"VAZIO",IFERROR(Y21/($AJ21*24),"-"))</f>
        <v>0.13970833333333335</v>
      </c>
      <c r="BH21" s="68">
        <f t="shared" si="40"/>
        <v>0.20266666666666666</v>
      </c>
      <c r="BI21" s="68">
        <f t="shared" ref="BI21:BI26" si="49">IF(OR(AA21="",AA21="Sem monitoramento"),"VAZIO",IFERROR(AA21/($AJ21*24),"-"))</f>
        <v>0.14637500000000001</v>
      </c>
      <c r="BJ21" s="68">
        <f>IF(OR(AB20="",AB20="Sem monitoramento"),"VAZIO",IFERROR(AB20/($AJ21*24),"-"))</f>
        <v>0.1245</v>
      </c>
      <c r="BK21" s="68">
        <f t="shared" si="28"/>
        <v>0.21387499999999998</v>
      </c>
      <c r="BL21" s="68" t="e">
        <f>IF(OR(#REF!="",#REF!="Sem monitoramento"),"VAZIO",IFERROR(#REF!/($AJ21*24),"-"))</f>
        <v>#REF!</v>
      </c>
      <c r="BM21" s="68">
        <f t="shared" si="42"/>
        <v>5.2166666666666667E-2</v>
      </c>
      <c r="BN21" s="68">
        <f t="shared" si="43"/>
        <v>8.8833333333333334E-2</v>
      </c>
      <c r="BO21" s="68">
        <f t="shared" si="29"/>
        <v>0.17912499999999998</v>
      </c>
      <c r="BP21" s="70">
        <f t="shared" si="6"/>
        <v>0.15142777777777777</v>
      </c>
      <c r="BQ21" s="198">
        <f t="shared" si="44"/>
        <v>0.168125</v>
      </c>
      <c r="BR21" s="72">
        <f t="shared" si="34"/>
        <v>16.8125</v>
      </c>
      <c r="BS21" s="73">
        <f t="shared" si="35"/>
        <v>-2.3291666666666655E-2</v>
      </c>
      <c r="BT21" s="74">
        <f t="shared" si="9"/>
        <v>-1.6697222222222224E-2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62">
        <v>539.4</v>
      </c>
      <c r="E22" s="319">
        <v>590.29999999999995</v>
      </c>
      <c r="F22" s="63">
        <v>343.4</v>
      </c>
      <c r="G22" s="63">
        <v>111.3</v>
      </c>
      <c r="H22" s="283">
        <v>364.1</v>
      </c>
      <c r="I22" s="63">
        <v>567.5</v>
      </c>
      <c r="J22" s="63">
        <v>481</v>
      </c>
      <c r="K22" s="63">
        <v>528</v>
      </c>
      <c r="L22" s="63">
        <v>488.7</v>
      </c>
      <c r="M22" s="63">
        <v>95.1</v>
      </c>
      <c r="N22" s="63">
        <v>161.6</v>
      </c>
      <c r="O22" s="283">
        <v>447.2</v>
      </c>
      <c r="P22" s="63">
        <v>435.1</v>
      </c>
      <c r="Q22" s="283">
        <v>500.6</v>
      </c>
      <c r="R22" s="283">
        <v>541.4</v>
      </c>
      <c r="S22" s="283">
        <v>520.70000000000005</v>
      </c>
      <c r="T22" s="63">
        <v>553.79999999999995</v>
      </c>
      <c r="U22" s="63">
        <v>511.5</v>
      </c>
      <c r="V22" s="63">
        <v>111.9</v>
      </c>
      <c r="W22" s="283">
        <v>92</v>
      </c>
      <c r="X22" s="63">
        <v>313.89999999999998</v>
      </c>
      <c r="Y22" s="63">
        <v>395.6</v>
      </c>
      <c r="Z22" s="15">
        <v>554</v>
      </c>
      <c r="AA22" s="18">
        <v>336.8</v>
      </c>
      <c r="AB22" s="20">
        <v>358</v>
      </c>
      <c r="AC22" s="15">
        <v>481.4</v>
      </c>
      <c r="AD22" s="221">
        <v>308.10000000000002</v>
      </c>
      <c r="AE22" s="15">
        <v>237.2</v>
      </c>
      <c r="AF22" s="15">
        <v>400.8</v>
      </c>
      <c r="AG22" s="148">
        <v>496.1</v>
      </c>
      <c r="AH22" s="148">
        <v>600.5</v>
      </c>
      <c r="AI22" s="335">
        <f t="shared" si="0"/>
        <v>12467</v>
      </c>
      <c r="AJ22" s="118">
        <v>100</v>
      </c>
      <c r="AK22" s="121">
        <f t="shared" si="32"/>
        <v>7.9490740740740737E-3</v>
      </c>
      <c r="AL22" s="67">
        <f t="shared" si="22"/>
        <v>0.22474999999999998</v>
      </c>
      <c r="AM22" s="68">
        <f t="shared" si="18"/>
        <v>0.24595833333333331</v>
      </c>
      <c r="AN22" s="68">
        <f t="shared" si="19"/>
        <v>0.14308333333333331</v>
      </c>
      <c r="AO22" s="68">
        <f t="shared" si="20"/>
        <v>4.6375E-2</v>
      </c>
      <c r="AP22" s="68">
        <f t="shared" si="21"/>
        <v>0.15170833333333333</v>
      </c>
      <c r="AQ22" s="68">
        <f t="shared" si="23"/>
        <v>0.23645833333333333</v>
      </c>
      <c r="AR22" s="68">
        <f t="shared" si="24"/>
        <v>0.20041666666666666</v>
      </c>
      <c r="AS22" s="68">
        <f t="shared" si="45"/>
        <v>0.22</v>
      </c>
      <c r="AT22" s="68">
        <f t="shared" si="46"/>
        <v>0.203625</v>
      </c>
      <c r="AU22" s="68" t="e">
        <f>IF(OR(#REF!="",#REF!="Sem monitoramento"),"VAZIO",IFERROR(#REF!/($AJ22*24),"-"))</f>
        <v>#REF!</v>
      </c>
      <c r="AV22" s="68">
        <f>IF(OR(N22="",N22="Sem monitoramento"),"VAZIO",IFERROR(N22/($AJ22*24),"-"))</f>
        <v>6.7333333333333328E-2</v>
      </c>
      <c r="AW22" s="68">
        <f t="shared" si="37"/>
        <v>0.18633333333333332</v>
      </c>
      <c r="AX22" s="68">
        <f t="shared" si="25"/>
        <v>0.18129166666666668</v>
      </c>
      <c r="AY22" s="68">
        <f t="shared" si="41"/>
        <v>0.20858333333333334</v>
      </c>
      <c r="AZ22" s="68">
        <f t="shared" si="47"/>
        <v>0.22558333333333333</v>
      </c>
      <c r="BA22" s="68">
        <f t="shared" ref="BA22:BA31" si="50">IF(OR(S22="",S22="Sem monitoramento"),"VAZIO",IFERROR(S22/($AJ22*24),"-"))</f>
        <v>0.21695833333333336</v>
      </c>
      <c r="BB22" s="68">
        <f t="shared" si="38"/>
        <v>0.23074999999999998</v>
      </c>
      <c r="BC22" s="68">
        <f t="shared" si="39"/>
        <v>0.21312500000000001</v>
      </c>
      <c r="BD22" s="68">
        <f>IF(OR(V22="",V22="Sem monitoramento"),"VAZIO",IFERROR(V22/($AJ22*24),"-"))</f>
        <v>4.6625E-2</v>
      </c>
      <c r="BE22" s="68">
        <f>IF(OR(W22="",W22="Sem monitoramento"),"VAZIO",IFERROR(W22/($AJ22*24),"-"))</f>
        <v>3.833333333333333E-2</v>
      </c>
      <c r="BF22" s="68">
        <f>IF(OR(X22="",X22="Sem monitoramento"),"VAZIO",IFERROR(X22/($AJ22*24),"-"))</f>
        <v>0.13079166666666667</v>
      </c>
      <c r="BG22" s="68">
        <f t="shared" si="48"/>
        <v>0.16483333333333333</v>
      </c>
      <c r="BH22" s="68">
        <f t="shared" si="40"/>
        <v>0.23083333333333333</v>
      </c>
      <c r="BI22" s="68">
        <f t="shared" si="49"/>
        <v>0.14033333333333334</v>
      </c>
      <c r="BJ22" s="68">
        <f>IF(OR(AB21="",AB21="Sem monitoramento"),"VAZIO",IFERROR(AB21/($AJ22*24),"-"))</f>
        <v>0.10616666666666667</v>
      </c>
      <c r="BK22" s="68">
        <f t="shared" si="28"/>
        <v>0.20058333333333334</v>
      </c>
      <c r="BL22" s="68">
        <f t="shared" ref="BL22:BL31" si="51">IF(OR(AD22="",AD22="Sem monitoramento"),"VAZIO",IFERROR(AD22/($AJ22*24),"-"))</f>
        <v>0.12837500000000002</v>
      </c>
      <c r="BM22" s="68">
        <f t="shared" si="42"/>
        <v>9.8833333333333329E-2</v>
      </c>
      <c r="BN22" s="68">
        <f t="shared" si="43"/>
        <v>0.16700000000000001</v>
      </c>
      <c r="BO22" s="68">
        <f>IF(OR(AG23="",AG23="Sem monitoramento"),"VAZIO",IFERROR(AG23/($AJ22*24),"-"))</f>
        <v>0.18754166666666669</v>
      </c>
      <c r="BP22" s="70">
        <f t="shared" si="6"/>
        <v>0.17315277777777777</v>
      </c>
      <c r="BQ22" s="198">
        <f t="shared" si="44"/>
        <v>0.168125</v>
      </c>
      <c r="BR22" s="72">
        <f t="shared" si="34"/>
        <v>16.8125</v>
      </c>
      <c r="BS22" s="73">
        <f t="shared" si="35"/>
        <v>-2.5041666666666684E-2</v>
      </c>
      <c r="BT22" s="74">
        <f t="shared" si="9"/>
        <v>5.0277777777777699E-3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497.5</v>
      </c>
      <c r="E23" s="319">
        <v>531.29999999999995</v>
      </c>
      <c r="F23" s="283">
        <v>297.5</v>
      </c>
      <c r="G23" s="63">
        <v>116.2</v>
      </c>
      <c r="H23" s="283">
        <v>336.9</v>
      </c>
      <c r="I23" s="63">
        <v>525.6</v>
      </c>
      <c r="J23" s="63">
        <v>435.3</v>
      </c>
      <c r="K23" s="63">
        <v>469</v>
      </c>
      <c r="L23" s="63">
        <v>425</v>
      </c>
      <c r="M23" s="316">
        <v>81.3</v>
      </c>
      <c r="N23" s="63">
        <v>138.80000000000001</v>
      </c>
      <c r="O23" s="519">
        <v>404.2</v>
      </c>
      <c r="P23" s="63">
        <v>378.5</v>
      </c>
      <c r="Q23" s="283">
        <v>455.8</v>
      </c>
      <c r="R23" s="63">
        <v>492.5</v>
      </c>
      <c r="S23" s="63">
        <v>478.5</v>
      </c>
      <c r="T23" s="63">
        <v>492.3</v>
      </c>
      <c r="U23" s="63">
        <v>456.6</v>
      </c>
      <c r="V23" s="63">
        <v>97.2</v>
      </c>
      <c r="W23" s="519">
        <v>79.599999999999994</v>
      </c>
      <c r="X23" s="63">
        <v>273.10000000000002</v>
      </c>
      <c r="Y23" s="63">
        <v>346</v>
      </c>
      <c r="Z23" s="15">
        <v>512.6</v>
      </c>
      <c r="AA23" s="18">
        <v>299</v>
      </c>
      <c r="AB23" s="20">
        <v>316.60000000000002</v>
      </c>
      <c r="AC23" s="15">
        <v>447.1</v>
      </c>
      <c r="AD23" s="15">
        <v>277.5</v>
      </c>
      <c r="AE23" s="15">
        <v>207.2</v>
      </c>
      <c r="AF23" s="15">
        <v>351.4</v>
      </c>
      <c r="AG23" s="15">
        <v>450.1</v>
      </c>
      <c r="AH23" s="15">
        <v>562.9</v>
      </c>
      <c r="AI23" s="335">
        <f t="shared" si="0"/>
        <v>11233.100000000002</v>
      </c>
      <c r="AJ23" s="118">
        <v>100</v>
      </c>
      <c r="AK23" s="121">
        <f t="shared" si="32"/>
        <v>6.8865740740740745E-3</v>
      </c>
      <c r="AL23" s="67">
        <f t="shared" si="22"/>
        <v>0.20729166666666668</v>
      </c>
      <c r="AM23" s="68">
        <f t="shared" si="18"/>
        <v>0.22137499999999999</v>
      </c>
      <c r="AN23" s="68">
        <f t="shared" si="19"/>
        <v>0.12395833333333334</v>
      </c>
      <c r="AO23" s="68">
        <f t="shared" si="20"/>
        <v>4.841666666666667E-2</v>
      </c>
      <c r="AP23" s="68">
        <f t="shared" si="21"/>
        <v>0.140375</v>
      </c>
      <c r="AQ23" s="68">
        <f t="shared" si="23"/>
        <v>0.219</v>
      </c>
      <c r="AR23" s="68">
        <f t="shared" si="24"/>
        <v>0.18137500000000001</v>
      </c>
      <c r="AS23" s="68">
        <f t="shared" si="45"/>
        <v>0.19541666666666666</v>
      </c>
      <c r="AT23" s="68">
        <f t="shared" si="46"/>
        <v>0.17708333333333334</v>
      </c>
      <c r="AU23" s="68">
        <f>IF(OR(M22="",M22="Sem monitoramento"),"VAZIO",IFERROR(M22/($AJ23*24),"-"))</f>
        <v>3.9625E-2</v>
      </c>
      <c r="AV23" s="68">
        <f>IF(OR(N23="",N23="Sem monitoramento"),"VAZIO",IFERROR(N23/($AJ23*24),"-"))</f>
        <v>5.7833333333333341E-2</v>
      </c>
      <c r="AW23" s="68">
        <f>IF(OR(O20="",O20="Sem monitoramento"),"VAZIO",IFERROR(O20/($AJ23*24),"-"))</f>
        <v>0.17824999999999999</v>
      </c>
      <c r="AX23" s="68">
        <f t="shared" si="25"/>
        <v>0.15770833333333334</v>
      </c>
      <c r="AY23" s="68">
        <f t="shared" si="41"/>
        <v>0.18991666666666668</v>
      </c>
      <c r="AZ23" s="68">
        <f t="shared" si="47"/>
        <v>0.20520833333333333</v>
      </c>
      <c r="BA23" s="68">
        <f t="shared" si="50"/>
        <v>0.199375</v>
      </c>
      <c r="BB23" s="68">
        <f t="shared" si="38"/>
        <v>0.205125</v>
      </c>
      <c r="BC23" s="68">
        <f t="shared" si="39"/>
        <v>0.19025</v>
      </c>
      <c r="BD23" s="68">
        <f>IF(OR(V23="",V23="Sem monitoramento"),"VAZIO",IFERROR(V23/($AJ23*24),"-"))</f>
        <v>4.0500000000000001E-2</v>
      </c>
      <c r="BE23" s="68">
        <f>IF(OR(W24="",W24="Sem monitoramento"),"VAZIO",IFERROR(W24/($AJ23*24),"-"))</f>
        <v>0.13200000000000001</v>
      </c>
      <c r="BF23" s="68">
        <f>IF(OR(X23="",X23="Sem monitoramento"),"VAZIO",IFERROR(X23/($AJ23*24),"-"))</f>
        <v>0.11379166666666668</v>
      </c>
      <c r="BG23" s="68">
        <f t="shared" si="48"/>
        <v>0.14416666666666667</v>
      </c>
      <c r="BH23" s="68">
        <f t="shared" si="40"/>
        <v>0.21358333333333335</v>
      </c>
      <c r="BI23" s="68">
        <f t="shared" si="49"/>
        <v>0.12458333333333334</v>
      </c>
      <c r="BJ23" s="68">
        <f t="shared" ref="BJ23:BJ31" si="52">IF(OR(AB23="",AB23="Sem monitoramento"),"VAZIO",IFERROR(AB23/($AJ23*24),"-"))</f>
        <v>0.13191666666666668</v>
      </c>
      <c r="BK23" s="68">
        <f t="shared" si="28"/>
        <v>0.18629166666666669</v>
      </c>
      <c r="BL23" s="68">
        <f t="shared" si="51"/>
        <v>0.11562500000000001</v>
      </c>
      <c r="BM23" s="68">
        <f t="shared" si="42"/>
        <v>8.6333333333333331E-2</v>
      </c>
      <c r="BN23" s="68">
        <f t="shared" si="43"/>
        <v>0.14641666666666667</v>
      </c>
      <c r="BO23" s="68" t="e">
        <f>IF(OR(#REF!="",#REF!="Sem monitoramento"),"VAZIO",IFERROR(#REF!/($AJ23*24),"-"))</f>
        <v>#REF!</v>
      </c>
      <c r="BP23" s="70">
        <f t="shared" si="6"/>
        <v>0.15601527777777779</v>
      </c>
      <c r="BQ23" s="198">
        <f t="shared" si="44"/>
        <v>0.168125</v>
      </c>
      <c r="BR23" s="72">
        <f t="shared" si="34"/>
        <v>16.8125</v>
      </c>
      <c r="BS23" s="73">
        <f t="shared" si="35"/>
        <v>-4.416666666666666E-2</v>
      </c>
      <c r="BT23" s="74">
        <f t="shared" si="9"/>
        <v>-1.2109722222222202E-2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1924.1</v>
      </c>
      <c r="E24" s="319">
        <v>2030</v>
      </c>
      <c r="F24" s="63">
        <v>1189.9000000000001</v>
      </c>
      <c r="G24" s="63">
        <v>461.6</v>
      </c>
      <c r="H24" s="283">
        <v>1321.4</v>
      </c>
      <c r="I24" s="63">
        <v>2052</v>
      </c>
      <c r="J24" s="316">
        <v>1720.8</v>
      </c>
      <c r="K24" s="63">
        <v>1864.9</v>
      </c>
      <c r="L24" s="63">
        <v>1681.1</v>
      </c>
      <c r="M24" s="63">
        <v>330</v>
      </c>
      <c r="N24" s="283">
        <v>552.1</v>
      </c>
      <c r="O24" s="283">
        <v>1570</v>
      </c>
      <c r="P24" s="283">
        <v>1516.3</v>
      </c>
      <c r="Q24" s="283">
        <v>1758.4</v>
      </c>
      <c r="R24" s="63">
        <v>1943.3</v>
      </c>
      <c r="S24" s="63">
        <v>1866.1</v>
      </c>
      <c r="T24" s="63">
        <v>1929.2</v>
      </c>
      <c r="U24" s="63">
        <v>1808.9</v>
      </c>
      <c r="V24" s="31">
        <v>386.2</v>
      </c>
      <c r="W24" s="283">
        <v>316.8</v>
      </c>
      <c r="X24" s="316">
        <v>1080.3</v>
      </c>
      <c r="Y24" s="63">
        <v>1374.5</v>
      </c>
      <c r="Z24" s="15">
        <f>688.4+533.5+714.8</f>
        <v>1936.7</v>
      </c>
      <c r="AA24" s="18">
        <f>428.2+320.5+421.3</f>
        <v>1170</v>
      </c>
      <c r="AB24" s="323">
        <v>1245.5</v>
      </c>
      <c r="AC24" s="221">
        <v>1668.3</v>
      </c>
      <c r="AD24" s="15">
        <v>1090</v>
      </c>
      <c r="AE24" s="15">
        <v>817.7</v>
      </c>
      <c r="AF24" s="15">
        <v>1387</v>
      </c>
      <c r="AG24" s="15">
        <v>1763.5</v>
      </c>
      <c r="AH24" s="15">
        <v>2121.6999999999998</v>
      </c>
      <c r="AI24" s="335">
        <f t="shared" si="0"/>
        <v>43878.3</v>
      </c>
      <c r="AJ24" s="118">
        <v>383</v>
      </c>
      <c r="AK24" s="121">
        <f t="shared" si="32"/>
        <v>7.1916400734938603E-3</v>
      </c>
      <c r="AL24" s="67">
        <f t="shared" si="22"/>
        <v>0.20932332463011313</v>
      </c>
      <c r="AM24" s="68">
        <f t="shared" si="18"/>
        <v>0.22084421235857268</v>
      </c>
      <c r="AN24" s="68">
        <f t="shared" si="19"/>
        <v>0.12944952132288948</v>
      </c>
      <c r="AO24" s="68">
        <f t="shared" si="20"/>
        <v>5.0217580504786773E-2</v>
      </c>
      <c r="AP24" s="68">
        <f t="shared" si="21"/>
        <v>0.14375543951261968</v>
      </c>
      <c r="AQ24" s="68">
        <f t="shared" si="23"/>
        <v>0.22323759791122716</v>
      </c>
      <c r="AR24" s="68">
        <f>IF(OR(J29="",J29="Sem monitoramento"),"VAZIO",IFERROR(J29/($AJ24*24),"-"))</f>
        <v>5.1327241079199303E-2</v>
      </c>
      <c r="AS24" s="68">
        <f t="shared" si="45"/>
        <v>0.20288294168842472</v>
      </c>
      <c r="AT24" s="68">
        <f t="shared" si="46"/>
        <v>0.18288729329852044</v>
      </c>
      <c r="AU24" s="68">
        <f t="shared" ref="AU24:AU31" si="53">IF(OR(M24="",M24="Sem monitoramento"),"VAZIO",IFERROR(M24/($AJ24*24),"-"))</f>
        <v>3.5900783289817231E-2</v>
      </c>
      <c r="AV24" s="68">
        <f>IF(OR(N24="",N24="Sem monitoramento"),"VAZIO",IFERROR(N24/($AJ24*24),"-"))</f>
        <v>6.0063098346388163E-2</v>
      </c>
      <c r="AW24" s="68">
        <f t="shared" ref="AW24:AW31" si="54">IF(OR(O24="",O24="Sem monitoramento"),"VAZIO",IFERROR(O24/($AJ24*24),"-"))</f>
        <v>0.17080069625761532</v>
      </c>
      <c r="AX24" s="68">
        <f t="shared" si="25"/>
        <v>0.16495865970409052</v>
      </c>
      <c r="AY24" s="68">
        <f t="shared" si="41"/>
        <v>0.19129677980852916</v>
      </c>
      <c r="AZ24" s="68">
        <f t="shared" si="47"/>
        <v>0.21141209747606615</v>
      </c>
      <c r="BA24" s="68">
        <f t="shared" si="50"/>
        <v>0.20301348999129676</v>
      </c>
      <c r="BB24" s="68">
        <f t="shared" si="38"/>
        <v>0.20987815491731943</v>
      </c>
      <c r="BC24" s="68">
        <f t="shared" si="39"/>
        <v>0.19679068755439513</v>
      </c>
      <c r="BD24" s="68" t="e">
        <f>IF(OR(#REF!="",#REF!="Sem monitoramento"),"VAZIO",IFERROR(#REF!/($AJ24*24),"-"))</f>
        <v>#REF!</v>
      </c>
      <c r="BE24" s="68" t="e">
        <f>IF(OR(#REF!="",#REF!="Sem monitoramento"),"VAZIO",IFERROR(#REF!/($AJ24*24),"-"))</f>
        <v>#REF!</v>
      </c>
      <c r="BF24" s="68" t="e">
        <f>IF(OR(#REF!="",#REF!="Sem monitoramento"),"VAZIO",IFERROR(#REF!/($AJ24*24),"-"))</f>
        <v>#REF!</v>
      </c>
      <c r="BG24" s="68">
        <f t="shared" si="48"/>
        <v>0.14953220191470845</v>
      </c>
      <c r="BH24" s="68">
        <f t="shared" si="40"/>
        <v>0.2106940818102698</v>
      </c>
      <c r="BI24" s="68">
        <f t="shared" si="49"/>
        <v>0.12728459530026109</v>
      </c>
      <c r="BJ24" s="68">
        <f t="shared" si="52"/>
        <v>0.13549825935596171</v>
      </c>
      <c r="BK24" s="68">
        <f t="shared" si="28"/>
        <v>0.18149477806788511</v>
      </c>
      <c r="BL24" s="68">
        <f t="shared" si="51"/>
        <v>0.11858137510879026</v>
      </c>
      <c r="BM24" s="68">
        <f t="shared" si="42"/>
        <v>8.895778938207137E-2</v>
      </c>
      <c r="BN24" s="68">
        <f t="shared" si="43"/>
        <v>0.15089208006962576</v>
      </c>
      <c r="BO24" s="68">
        <f>IF(OR(AG24="",AG24="Sem monitoramento"),"VAZIO",IFERROR(AG24/($AJ24*24),"-"))</f>
        <v>0.19185161009573543</v>
      </c>
      <c r="BP24" s="70">
        <f t="shared" si="6"/>
        <v>0.15911771105308967</v>
      </c>
      <c r="BQ24" s="198">
        <f t="shared" si="44"/>
        <v>0.168125</v>
      </c>
      <c r="BR24" s="72">
        <f>AJ24*BQ24</f>
        <v>64.391874999999999</v>
      </c>
      <c r="BS24" s="73">
        <f t="shared" si="35"/>
        <v>-3.867547867711052E-2</v>
      </c>
      <c r="BT24" s="74">
        <f t="shared" si="9"/>
        <v>-9.0072889469103301E-3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619">
        <v>611.20000000000005</v>
      </c>
      <c r="E25" s="319">
        <v>595.29999999999995</v>
      </c>
      <c r="F25" s="63">
        <v>294.7</v>
      </c>
      <c r="G25" s="63">
        <v>294.7</v>
      </c>
      <c r="H25" s="63">
        <v>185.6</v>
      </c>
      <c r="I25" s="63">
        <v>527.79999999999995</v>
      </c>
      <c r="J25" s="63">
        <v>490.9</v>
      </c>
      <c r="K25" s="63">
        <v>523</v>
      </c>
      <c r="L25" s="63">
        <v>454.2</v>
      </c>
      <c r="M25" s="63">
        <v>105</v>
      </c>
      <c r="N25" s="63">
        <v>316.3</v>
      </c>
      <c r="O25" s="63">
        <v>406.5</v>
      </c>
      <c r="P25" s="63">
        <v>283.3</v>
      </c>
      <c r="Q25" s="283">
        <v>260.3</v>
      </c>
      <c r="R25" s="63">
        <v>538.5</v>
      </c>
      <c r="S25" s="63">
        <v>475</v>
      </c>
      <c r="T25" s="316">
        <v>573.4</v>
      </c>
      <c r="U25" s="63">
        <v>496.9</v>
      </c>
      <c r="V25" s="283">
        <v>161.1</v>
      </c>
      <c r="W25" s="283">
        <v>133.4</v>
      </c>
      <c r="X25" s="63">
        <v>188.4</v>
      </c>
      <c r="Y25" s="63">
        <v>558.29999999999995</v>
      </c>
      <c r="Z25" s="148">
        <v>454</v>
      </c>
      <c r="AA25" s="18">
        <v>256.8</v>
      </c>
      <c r="AB25" s="20">
        <v>304.8</v>
      </c>
      <c r="AC25" s="15">
        <v>426.9</v>
      </c>
      <c r="AD25" s="15">
        <v>163.1</v>
      </c>
      <c r="AE25" s="15">
        <v>130.5</v>
      </c>
      <c r="AF25" s="15">
        <v>294</v>
      </c>
      <c r="AG25" s="354">
        <v>510</v>
      </c>
      <c r="AH25" s="354">
        <v>548.20000000000005</v>
      </c>
      <c r="AI25" s="335">
        <f t="shared" si="0"/>
        <v>11562.099999999999</v>
      </c>
      <c r="AJ25" s="118">
        <v>100</v>
      </c>
      <c r="AK25" s="121">
        <f t="shared" si="32"/>
        <v>6.8217592592592592E-3</v>
      </c>
      <c r="AL25" s="67">
        <f t="shared" si="22"/>
        <v>0.25466666666666671</v>
      </c>
      <c r="AM25" s="68">
        <f t="shared" si="18"/>
        <v>0.24804166666666666</v>
      </c>
      <c r="AN25" s="68">
        <f t="shared" si="19"/>
        <v>0.12279166666666666</v>
      </c>
      <c r="AO25" s="68">
        <f t="shared" si="20"/>
        <v>0.12279166666666666</v>
      </c>
      <c r="AP25" s="68">
        <f t="shared" si="21"/>
        <v>7.7333333333333337E-2</v>
      </c>
      <c r="AQ25" s="68">
        <f t="shared" si="23"/>
        <v>0.21991666666666665</v>
      </c>
      <c r="AR25" s="68">
        <f t="shared" si="24"/>
        <v>0.20454166666666665</v>
      </c>
      <c r="AS25" s="68">
        <f t="shared" si="45"/>
        <v>0.21791666666666668</v>
      </c>
      <c r="AT25" s="68">
        <f t="shared" si="46"/>
        <v>0.18925</v>
      </c>
      <c r="AU25" s="68">
        <f t="shared" si="53"/>
        <v>4.3749999999999997E-2</v>
      </c>
      <c r="AV25" s="68" t="e">
        <f>IF(OR(#REF!="",#REF!="Sem monitoramento"),"VAZIO",IFERROR(#REF!/($AJ25*24),"-"))</f>
        <v>#REF!</v>
      </c>
      <c r="AW25" s="68">
        <f t="shared" si="54"/>
        <v>0.169375</v>
      </c>
      <c r="AX25" s="68">
        <f t="shared" si="25"/>
        <v>0.11804166666666667</v>
      </c>
      <c r="AY25" s="68">
        <f t="shared" si="41"/>
        <v>0.10845833333333334</v>
      </c>
      <c r="AZ25" s="68">
        <f t="shared" si="47"/>
        <v>0.22437499999999999</v>
      </c>
      <c r="BA25" s="68">
        <f t="shared" si="50"/>
        <v>0.19791666666666666</v>
      </c>
      <c r="BB25" s="68">
        <f>IF(OR(T26="",T26="Sem monitoramento"),"VAZIO",IFERROR(T26/($AJ25*24),"-"))</f>
        <v>0.22712500000000002</v>
      </c>
      <c r="BC25" s="68">
        <f t="shared" si="39"/>
        <v>0.20704166666666665</v>
      </c>
      <c r="BD25" s="68">
        <f t="shared" ref="BD25:BD31" si="55">IF(OR(V25="",V25="Sem monitoramento"),"VAZIO",IFERROR(V25/($AJ25*24),"-"))</f>
        <v>6.7125000000000004E-2</v>
      </c>
      <c r="BE25" s="68" t="e">
        <f>IF(OR(#REF!="",#REF!="Sem monitoramento"),"VAZIO",IFERROR(#REF!/($AJ25*24),"-"))</f>
        <v>#REF!</v>
      </c>
      <c r="BF25" s="68">
        <f t="shared" ref="BF25:BF31" si="56">IF(OR(X25="",X25="Sem monitoramento"),"VAZIO",IFERROR(X25/($AJ25*24),"-"))</f>
        <v>7.85E-2</v>
      </c>
      <c r="BG25" s="68">
        <f t="shared" si="48"/>
        <v>0.23262499999999997</v>
      </c>
      <c r="BH25" s="68">
        <f>IF(OR(Z26="",Z26="Sem monitoramento"),"VAZIO",IFERROR(Z26/($AJ25*24),"-"))</f>
        <v>0.21266666666666667</v>
      </c>
      <c r="BI25" s="68">
        <f t="shared" si="49"/>
        <v>0.107</v>
      </c>
      <c r="BJ25" s="68">
        <f t="shared" si="52"/>
        <v>0.127</v>
      </c>
      <c r="BK25" s="68">
        <f t="shared" si="28"/>
        <v>0.17787499999999998</v>
      </c>
      <c r="BL25" s="68">
        <f t="shared" si="51"/>
        <v>6.7958333333333329E-2</v>
      </c>
      <c r="BM25" s="68">
        <f t="shared" si="42"/>
        <v>5.4375E-2</v>
      </c>
      <c r="BN25" s="68">
        <f t="shared" si="43"/>
        <v>0.1225</v>
      </c>
      <c r="BO25" s="68">
        <f>IF(OR(AG25="",AG25="Sem monitoramento"),"VAZIO",IFERROR(AG25/($AJ25*24),"-"))</f>
        <v>0.21249999999999999</v>
      </c>
      <c r="BP25" s="70">
        <f t="shared" si="6"/>
        <v>0.1605847222222222</v>
      </c>
      <c r="BQ25" s="198">
        <f t="shared" si="44"/>
        <v>0.168125</v>
      </c>
      <c r="BR25" s="72">
        <f t="shared" si="34"/>
        <v>16.8125</v>
      </c>
      <c r="BS25" s="73">
        <f t="shared" si="35"/>
        <v>-4.5333333333333337E-2</v>
      </c>
      <c r="BT25" s="74">
        <f t="shared" si="9"/>
        <v>-7.5402777777777985E-3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536.1</v>
      </c>
      <c r="E26" s="355">
        <v>543.70000000000005</v>
      </c>
      <c r="F26" s="63">
        <v>321.2</v>
      </c>
      <c r="G26" s="63">
        <v>109</v>
      </c>
      <c r="H26" s="63">
        <v>305.10000000000002</v>
      </c>
      <c r="I26" s="283">
        <v>556.29999999999995</v>
      </c>
      <c r="J26" s="63">
        <v>498.3</v>
      </c>
      <c r="K26" s="63">
        <v>492.9</v>
      </c>
      <c r="L26" s="63">
        <v>463.1</v>
      </c>
      <c r="M26" s="63">
        <v>91.7</v>
      </c>
      <c r="N26" s="316">
        <v>153.30000000000001</v>
      </c>
      <c r="O26" s="63">
        <v>418.8</v>
      </c>
      <c r="P26" s="63">
        <v>329.6</v>
      </c>
      <c r="Q26" s="283">
        <v>388</v>
      </c>
      <c r="R26" s="63">
        <v>509.5</v>
      </c>
      <c r="S26" s="63">
        <v>439.6</v>
      </c>
      <c r="T26" s="63">
        <v>545.1</v>
      </c>
      <c r="U26" s="63">
        <v>489.8</v>
      </c>
      <c r="V26" s="283">
        <v>117.3</v>
      </c>
      <c r="W26" s="519">
        <v>79.099999999999994</v>
      </c>
      <c r="X26" s="63">
        <v>230.9</v>
      </c>
      <c r="Y26" s="63">
        <v>453.9</v>
      </c>
      <c r="Z26" s="221">
        <v>510.4</v>
      </c>
      <c r="AA26" s="320">
        <v>327.7</v>
      </c>
      <c r="AB26" s="323">
        <v>343.1</v>
      </c>
      <c r="AC26" s="15">
        <v>378.5</v>
      </c>
      <c r="AD26" s="221">
        <v>193.8</v>
      </c>
      <c r="AE26" s="15">
        <v>214.8</v>
      </c>
      <c r="AF26" s="283">
        <v>231.4</v>
      </c>
      <c r="AG26" s="221">
        <v>478.8</v>
      </c>
      <c r="AH26" s="221">
        <v>528</v>
      </c>
      <c r="AI26" s="335">
        <f>SUM(D26:AG26)</f>
        <v>10750.800000000001</v>
      </c>
      <c r="AJ26" s="118">
        <v>100</v>
      </c>
      <c r="AK26" s="121">
        <f t="shared" si="32"/>
        <v>7.4351851851851853E-3</v>
      </c>
      <c r="AL26" s="67">
        <f t="shared" si="22"/>
        <v>0.22337500000000002</v>
      </c>
      <c r="AM26" s="68">
        <f t="shared" ref="AM26:AO31" si="57">IF(OR(E26="",E26="Sem monitoramento"),"VAZIO",IFERROR(E26/($AJ26*24),"-"))</f>
        <v>0.2265416666666667</v>
      </c>
      <c r="AN26" s="68">
        <f t="shared" si="57"/>
        <v>0.13383333333333333</v>
      </c>
      <c r="AO26" s="68">
        <f t="shared" si="57"/>
        <v>4.5416666666666668E-2</v>
      </c>
      <c r="AP26" s="68" t="e">
        <f>IF(OR(#REF!="",#REF!="Sem monitoramento"),"VAZIO",IFERROR(#REF!/($AJ26*24),"-"))</f>
        <v>#REF!</v>
      </c>
      <c r="AQ26" s="68">
        <f t="shared" si="23"/>
        <v>0.23179166666666665</v>
      </c>
      <c r="AR26" s="68">
        <f t="shared" si="24"/>
        <v>0.207625</v>
      </c>
      <c r="AS26" s="68">
        <f t="shared" si="45"/>
        <v>0.205375</v>
      </c>
      <c r="AT26" s="68">
        <f t="shared" si="46"/>
        <v>0.19295833333333334</v>
      </c>
      <c r="AU26" s="68">
        <f t="shared" si="53"/>
        <v>3.8208333333333337E-2</v>
      </c>
      <c r="AV26" s="68">
        <f>IF(OR(N25="",N25="Sem monitoramento"),"VAZIO",IFERROR(N25/($AJ26*24),"-"))</f>
        <v>0.13179166666666667</v>
      </c>
      <c r="AW26" s="68">
        <f t="shared" si="54"/>
        <v>0.17450000000000002</v>
      </c>
      <c r="AX26" s="68">
        <f t="shared" si="25"/>
        <v>0.13733333333333334</v>
      </c>
      <c r="AY26" s="68">
        <f t="shared" si="41"/>
        <v>0.16166666666666665</v>
      </c>
      <c r="AZ26" s="68">
        <f t="shared" si="47"/>
        <v>0.21229166666666666</v>
      </c>
      <c r="BA26" s="68">
        <f t="shared" si="50"/>
        <v>0.18316666666666667</v>
      </c>
      <c r="BB26" s="68" t="e">
        <f>IF(OR(#REF!="",#REF!="Sem monitoramento"),"VAZIO",IFERROR(#REF!/($AJ26*24),"-"))</f>
        <v>#REF!</v>
      </c>
      <c r="BC26" s="68">
        <f t="shared" si="39"/>
        <v>0.20408333333333334</v>
      </c>
      <c r="BD26" s="68">
        <f t="shared" si="55"/>
        <v>4.8875000000000002E-2</v>
      </c>
      <c r="BE26" s="68">
        <f>IF(OR(W25="",W25="Sem monitoramento"),"VAZIO",IFERROR(W25/($AJ26*24),"-"))</f>
        <v>5.5583333333333339E-2</v>
      </c>
      <c r="BF26" s="68">
        <f t="shared" si="56"/>
        <v>9.620833333333334E-2</v>
      </c>
      <c r="BG26" s="68">
        <f t="shared" si="48"/>
        <v>0.18912499999999999</v>
      </c>
      <c r="BH26" s="68" t="e">
        <f>IF(OR(#REF!="",#REF!="Sem monitoramento"),"VAZIO",IFERROR(#REF!/($AJ26*24),"-"))</f>
        <v>#REF!</v>
      </c>
      <c r="BI26" s="68">
        <f t="shared" si="49"/>
        <v>0.13654166666666667</v>
      </c>
      <c r="BJ26" s="68">
        <f t="shared" si="52"/>
        <v>0.14295833333333335</v>
      </c>
      <c r="BK26" s="68">
        <f t="shared" si="28"/>
        <v>0.15770833333333334</v>
      </c>
      <c r="BL26" s="68">
        <f t="shared" si="51"/>
        <v>8.0750000000000002E-2</v>
      </c>
      <c r="BM26" s="68">
        <f t="shared" si="42"/>
        <v>8.950000000000001E-2</v>
      </c>
      <c r="BN26" s="68">
        <f t="shared" si="43"/>
        <v>9.6416666666666664E-2</v>
      </c>
      <c r="BO26" s="68">
        <f>IF(OR(AG26="",AG26="Sem monitoramento"),"VAZIO",IFERROR(AG26/($AJ26*24),"-"))</f>
        <v>0.19950000000000001</v>
      </c>
      <c r="BP26" s="70">
        <f t="shared" si="6"/>
        <v>0.14931666666666668</v>
      </c>
      <c r="BQ26" s="198">
        <f t="shared" si="44"/>
        <v>0.168125</v>
      </c>
      <c r="BR26" s="72">
        <f t="shared" si="34"/>
        <v>16.8125</v>
      </c>
      <c r="BS26" s="73">
        <f t="shared" si="35"/>
        <v>-3.4291666666666665E-2</v>
      </c>
      <c r="BT26" s="74">
        <f t="shared" si="9"/>
        <v>-1.8808333333333316E-2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619">
        <v>572.70000000000005</v>
      </c>
      <c r="E27" s="319">
        <v>550.1</v>
      </c>
      <c r="F27" s="63">
        <v>198.9</v>
      </c>
      <c r="G27" s="308">
        <v>92.7</v>
      </c>
      <c r="H27" s="316">
        <v>331.4</v>
      </c>
      <c r="I27" s="283">
        <v>538.29999999999995</v>
      </c>
      <c r="J27" s="283">
        <v>496.6</v>
      </c>
      <c r="K27" s="282">
        <v>278.3</v>
      </c>
      <c r="L27" s="282">
        <v>160.9</v>
      </c>
      <c r="M27" s="283">
        <v>67.099999999999994</v>
      </c>
      <c r="N27" s="283">
        <v>324.89999999999998</v>
      </c>
      <c r="O27" s="283">
        <v>174</v>
      </c>
      <c r="P27" s="63">
        <v>386.7</v>
      </c>
      <c r="Q27" s="283">
        <v>452.8</v>
      </c>
      <c r="R27" s="283">
        <v>534.5</v>
      </c>
      <c r="S27" s="63">
        <v>463.2</v>
      </c>
      <c r="T27" s="283">
        <v>518.70000000000005</v>
      </c>
      <c r="U27" s="283">
        <v>430.7</v>
      </c>
      <c r="V27" s="283">
        <v>75</v>
      </c>
      <c r="W27" s="283">
        <v>107.7</v>
      </c>
      <c r="X27" s="283">
        <v>212.5</v>
      </c>
      <c r="Y27" s="283">
        <v>484.7</v>
      </c>
      <c r="Z27" s="221">
        <v>491.2</v>
      </c>
      <c r="AA27" s="283">
        <v>339.4</v>
      </c>
      <c r="AB27" s="323">
        <v>294.5</v>
      </c>
      <c r="AC27" s="283">
        <v>467.6</v>
      </c>
      <c r="AD27" s="282">
        <v>79.599999999999994</v>
      </c>
      <c r="AE27" s="283">
        <v>127.3</v>
      </c>
      <c r="AF27" s="283">
        <v>391.1</v>
      </c>
      <c r="AG27" s="221">
        <v>576.9</v>
      </c>
      <c r="AH27" s="221">
        <v>572</v>
      </c>
      <c r="AI27" s="335">
        <f>SUM(D27:AH27)</f>
        <v>10792</v>
      </c>
      <c r="AJ27" s="118">
        <v>100</v>
      </c>
      <c r="AK27" s="121">
        <f t="shared" si="32"/>
        <v>4.604166666666667E-3</v>
      </c>
      <c r="AL27" s="67">
        <f t="shared" si="22"/>
        <v>0.23862500000000003</v>
      </c>
      <c r="AM27" s="68">
        <f t="shared" si="57"/>
        <v>0.22920833333333335</v>
      </c>
      <c r="AN27" s="68">
        <f t="shared" si="57"/>
        <v>8.2875000000000004E-2</v>
      </c>
      <c r="AO27" s="68">
        <f t="shared" si="57"/>
        <v>3.8625E-2</v>
      </c>
      <c r="AP27" s="68">
        <f>IF(OR(H26="",H26="Sem monitoramento"),"VAZIO",IFERROR(H26/($AJ27*24),"-"))</f>
        <v>0.12712500000000002</v>
      </c>
      <c r="AQ27" s="68">
        <f t="shared" si="23"/>
        <v>0.22429166666666664</v>
      </c>
      <c r="AR27" s="68">
        <f t="shared" si="24"/>
        <v>0.20691666666666667</v>
      </c>
      <c r="AS27" s="68">
        <f t="shared" si="45"/>
        <v>0.11595833333333334</v>
      </c>
      <c r="AT27" s="68">
        <f t="shared" si="46"/>
        <v>6.7041666666666666E-2</v>
      </c>
      <c r="AU27" s="68">
        <f t="shared" si="53"/>
        <v>2.7958333333333332E-2</v>
      </c>
      <c r="AV27" s="68">
        <f>IF(OR(N27="",N27="Sem monitoramento"),"VAZIO",IFERROR(N27/($AJ27*24),"-"))</f>
        <v>0.135375</v>
      </c>
      <c r="AW27" s="68">
        <f t="shared" si="54"/>
        <v>7.2499999999999995E-2</v>
      </c>
      <c r="AX27" s="68">
        <f t="shared" si="25"/>
        <v>0.16112499999999999</v>
      </c>
      <c r="AY27" s="68">
        <f t="shared" si="41"/>
        <v>0.18866666666666668</v>
      </c>
      <c r="AZ27" s="68">
        <f t="shared" si="47"/>
        <v>0.22270833333333334</v>
      </c>
      <c r="BA27" s="68">
        <f t="shared" si="50"/>
        <v>0.193</v>
      </c>
      <c r="BB27" s="68">
        <f t="shared" si="38"/>
        <v>0.21612500000000001</v>
      </c>
      <c r="BC27" s="68">
        <f t="shared" si="39"/>
        <v>0.17945833333333333</v>
      </c>
      <c r="BD27" s="68">
        <f t="shared" si="55"/>
        <v>3.125E-2</v>
      </c>
      <c r="BE27" s="68">
        <f>IF(OR(W27="",W27="Sem monitoramento"),"VAZIO",IFERROR(W27/($AJ27*24),"-"))</f>
        <v>4.4874999999999998E-2</v>
      </c>
      <c r="BF27" s="68">
        <f t="shared" si="56"/>
        <v>8.8541666666666671E-2</v>
      </c>
      <c r="BG27" s="68">
        <f t="shared" si="48"/>
        <v>0.20195833333333332</v>
      </c>
      <c r="BH27" s="68">
        <f>IF(OR(Z27="",Z27="Sem monitoramento"),"VAZIO",IFERROR(Z27/($AJ27*24),"-"))</f>
        <v>0.20466666666666666</v>
      </c>
      <c r="BI27" s="68" t="e">
        <f>IF(OR(#REF!="",#REF!="Sem monitoramento"),"VAZIO",IFERROR(#REF!/($AJ27*24),"-"))</f>
        <v>#REF!</v>
      </c>
      <c r="BJ27" s="68">
        <f t="shared" si="52"/>
        <v>0.12270833333333334</v>
      </c>
      <c r="BK27" s="68">
        <f t="shared" si="28"/>
        <v>0.19483333333333333</v>
      </c>
      <c r="BL27" s="68">
        <f t="shared" si="51"/>
        <v>3.3166666666666664E-2</v>
      </c>
      <c r="BM27" s="68">
        <f t="shared" si="42"/>
        <v>5.3041666666666668E-2</v>
      </c>
      <c r="BN27" s="68">
        <f t="shared" si="43"/>
        <v>0.16295833333333334</v>
      </c>
      <c r="BO27" s="68">
        <f>IF(OR(AG27="",AG27="Sem monitoramento"),"VAZIO",IFERROR(AG27/($AJ27*24),"-"))</f>
        <v>0.24037499999999998</v>
      </c>
      <c r="BP27" s="70">
        <f t="shared" si="6"/>
        <v>0.14988888888888888</v>
      </c>
      <c r="BQ27" s="198">
        <f t="shared" si="44"/>
        <v>0.168125</v>
      </c>
      <c r="BR27" s="72">
        <f t="shared" si="34"/>
        <v>16.8125</v>
      </c>
      <c r="BS27" s="73">
        <f t="shared" si="35"/>
        <v>-8.5249999999999992E-2</v>
      </c>
      <c r="BT27" s="74">
        <f t="shared" si="9"/>
        <v>-1.823611111111112E-2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619">
        <v>582.29999999999995</v>
      </c>
      <c r="E28" s="504">
        <f>30.6+165.3</f>
        <v>195.9</v>
      </c>
      <c r="F28" s="63">
        <v>197.1</v>
      </c>
      <c r="G28" s="308">
        <v>97.5</v>
      </c>
      <c r="H28" s="63">
        <v>322.10000000000002</v>
      </c>
      <c r="I28" s="283">
        <v>488.8</v>
      </c>
      <c r="J28" s="283">
        <v>436</v>
      </c>
      <c r="K28" s="282">
        <v>305.5</v>
      </c>
      <c r="L28" s="282">
        <v>165</v>
      </c>
      <c r="M28" s="63">
        <v>73.2</v>
      </c>
      <c r="N28" s="63">
        <v>288.7</v>
      </c>
      <c r="O28" s="283">
        <v>162.80000000000001</v>
      </c>
      <c r="P28" s="63">
        <v>357.1</v>
      </c>
      <c r="Q28" s="283">
        <v>404.9</v>
      </c>
      <c r="R28" s="283">
        <v>508.9</v>
      </c>
      <c r="S28" s="63">
        <v>502</v>
      </c>
      <c r="T28" s="283">
        <v>473.8</v>
      </c>
      <c r="U28" s="283">
        <v>446</v>
      </c>
      <c r="V28" s="283">
        <v>78.3</v>
      </c>
      <c r="W28" s="283">
        <v>109</v>
      </c>
      <c r="X28" s="283">
        <v>208.8</v>
      </c>
      <c r="Y28" s="283">
        <v>370.9</v>
      </c>
      <c r="Z28" s="283">
        <v>420</v>
      </c>
      <c r="AA28" s="519">
        <v>280.5</v>
      </c>
      <c r="AB28" s="323">
        <v>294</v>
      </c>
      <c r="AC28" s="283">
        <v>464.6</v>
      </c>
      <c r="AD28" s="282">
        <v>78.400000000000006</v>
      </c>
      <c r="AE28" s="221">
        <v>123.3</v>
      </c>
      <c r="AF28" s="354">
        <v>146.80000000000001</v>
      </c>
      <c r="AG28" s="221">
        <v>440.4</v>
      </c>
      <c r="AH28" s="221">
        <v>487.7</v>
      </c>
      <c r="AI28" s="335">
        <f>SUM(D28:AG28)</f>
        <v>9022.5999999999967</v>
      </c>
      <c r="AJ28" s="301">
        <v>100</v>
      </c>
      <c r="AK28" s="121">
        <f t="shared" si="32"/>
        <v>4.5624999999999997E-3</v>
      </c>
      <c r="AL28" s="302">
        <f t="shared" si="22"/>
        <v>0.24262499999999998</v>
      </c>
      <c r="AM28" s="303">
        <f t="shared" si="57"/>
        <v>8.1625000000000003E-2</v>
      </c>
      <c r="AN28" s="303">
        <f t="shared" si="57"/>
        <v>8.2125000000000004E-2</v>
      </c>
      <c r="AO28" s="303">
        <f t="shared" si="57"/>
        <v>4.0625000000000001E-2</v>
      </c>
      <c r="AP28" s="303">
        <f>IF(OR(H28="",H28="Sem monitoramento"),"VAZIO",IFERROR(H28/($AJ28*24),"-"))</f>
        <v>0.13420833333333335</v>
      </c>
      <c r="AQ28" s="303">
        <f t="shared" si="23"/>
        <v>0.20366666666666666</v>
      </c>
      <c r="AR28" s="303">
        <f t="shared" si="24"/>
        <v>0.18166666666666667</v>
      </c>
      <c r="AS28" s="303">
        <f t="shared" si="45"/>
        <v>0.12729166666666666</v>
      </c>
      <c r="AT28" s="303">
        <f t="shared" si="46"/>
        <v>6.8750000000000006E-2</v>
      </c>
      <c r="AU28" s="303">
        <f t="shared" si="53"/>
        <v>3.0500000000000003E-2</v>
      </c>
      <c r="AV28" s="303">
        <f>IF(OR(N28="",N28="Sem monitoramento"),"VAZIO",IFERROR(N28/($AJ28*24),"-"))</f>
        <v>0.12029166666666666</v>
      </c>
      <c r="AW28" s="303">
        <f t="shared" si="54"/>
        <v>6.7833333333333343E-2</v>
      </c>
      <c r="AX28" s="303">
        <f t="shared" si="25"/>
        <v>0.14879166666666668</v>
      </c>
      <c r="AY28" s="303">
        <f t="shared" si="41"/>
        <v>0.16870833333333332</v>
      </c>
      <c r="AZ28" s="303">
        <f t="shared" si="47"/>
        <v>0.21204166666666666</v>
      </c>
      <c r="BA28" s="303">
        <f t="shared" si="50"/>
        <v>0.20916666666666667</v>
      </c>
      <c r="BB28" s="303">
        <f t="shared" si="38"/>
        <v>0.19741666666666668</v>
      </c>
      <c r="BC28" s="303">
        <f t="shared" si="39"/>
        <v>0.18583333333333332</v>
      </c>
      <c r="BD28" s="303">
        <f t="shared" si="55"/>
        <v>3.2625000000000001E-2</v>
      </c>
      <c r="BE28" s="303">
        <f>IF(OR(W28="",W28="Sem monitoramento"),"VAZIO",IFERROR(W28/($AJ28*24),"-"))</f>
        <v>4.5416666666666668E-2</v>
      </c>
      <c r="BF28" s="303">
        <f t="shared" si="56"/>
        <v>8.7000000000000008E-2</v>
      </c>
      <c r="BG28" s="303">
        <f t="shared" si="48"/>
        <v>0.15454166666666666</v>
      </c>
      <c r="BH28" s="303">
        <f>IF(OR(Z28="",Z28="Sem monitoramento"),"VAZIO",IFERROR(Z28/($AJ28*24),"-"))</f>
        <v>0.17499999999999999</v>
      </c>
      <c r="BI28" s="303">
        <f>IF(OR(AA27="",AA27="Sem monitoramento"),"VAZIO",IFERROR(AA27/($AJ28*24),"-"))</f>
        <v>0.14141666666666666</v>
      </c>
      <c r="BJ28" s="303">
        <f t="shared" si="52"/>
        <v>0.1225</v>
      </c>
      <c r="BK28" s="303">
        <f t="shared" si="28"/>
        <v>0.19358333333333333</v>
      </c>
      <c r="BL28" s="303">
        <f t="shared" si="51"/>
        <v>3.266666666666667E-2</v>
      </c>
      <c r="BM28" s="303">
        <f t="shared" si="42"/>
        <v>5.1374999999999997E-2</v>
      </c>
      <c r="BN28" s="303">
        <f t="shared" si="43"/>
        <v>6.1166666666666675E-2</v>
      </c>
      <c r="BO28" s="303" t="e">
        <f>IF(OR(#REF!="",#REF!="Sem monitoramento"),"VAZIO",IFERROR(#REF!/($AJ28*24),"-"))</f>
        <v>#REF!</v>
      </c>
      <c r="BP28" s="304">
        <f t="shared" si="6"/>
        <v>0.12531388888888884</v>
      </c>
      <c r="BQ28" s="198">
        <f t="shared" si="44"/>
        <v>0.168125</v>
      </c>
      <c r="BR28" s="72">
        <f t="shared" si="34"/>
        <v>16.8125</v>
      </c>
      <c r="BS28" s="73">
        <f t="shared" si="35"/>
        <v>-8.5999999999999993E-2</v>
      </c>
      <c r="BT28" s="74">
        <f>BP28-BQ28</f>
        <v>-4.2811111111111161E-2</v>
      </c>
      <c r="BU28" s="15" t="s">
        <v>440</v>
      </c>
      <c r="BV28" s="3"/>
      <c r="BW28" s="2"/>
      <c r="BX28" s="2"/>
    </row>
    <row r="29" spans="2:76" ht="15" thickBot="1" x14ac:dyDescent="0.35">
      <c r="B29" s="775"/>
      <c r="C29" s="326" t="s">
        <v>289</v>
      </c>
      <c r="D29" s="619">
        <v>569.79999999999995</v>
      </c>
      <c r="E29" s="355">
        <v>550.6</v>
      </c>
      <c r="F29" s="283">
        <v>196.1</v>
      </c>
      <c r="G29" s="308">
        <v>84.4</v>
      </c>
      <c r="H29" s="283">
        <v>327.10000000000002</v>
      </c>
      <c r="I29" s="308">
        <v>515.29999999999995</v>
      </c>
      <c r="J29" s="63">
        <v>471.8</v>
      </c>
      <c r="K29" s="282">
        <v>293</v>
      </c>
      <c r="L29" s="282">
        <v>157.9</v>
      </c>
      <c r="M29" s="283">
        <v>64.7</v>
      </c>
      <c r="N29" s="283">
        <v>307.60000000000002</v>
      </c>
      <c r="O29" s="283">
        <v>176.4</v>
      </c>
      <c r="P29" s="283">
        <v>371.5</v>
      </c>
      <c r="Q29" s="283">
        <v>429.7</v>
      </c>
      <c r="R29" s="283">
        <v>520.29999999999995</v>
      </c>
      <c r="S29" s="283">
        <v>480.5</v>
      </c>
      <c r="T29" s="283">
        <v>480.9</v>
      </c>
      <c r="U29" s="283">
        <v>437.7</v>
      </c>
      <c r="V29" s="283">
        <v>69.3</v>
      </c>
      <c r="W29" s="283">
        <v>101.4</v>
      </c>
      <c r="X29" s="283">
        <v>207.8</v>
      </c>
      <c r="Y29" s="283">
        <v>476.9</v>
      </c>
      <c r="Z29" s="221">
        <v>485.3</v>
      </c>
      <c r="AA29" s="320">
        <v>300</v>
      </c>
      <c r="AB29" s="323">
        <v>269.10000000000002</v>
      </c>
      <c r="AC29" s="283">
        <v>479.2</v>
      </c>
      <c r="AD29" s="282">
        <v>71.900000000000006</v>
      </c>
      <c r="AE29" s="221">
        <v>120</v>
      </c>
      <c r="AF29" s="221">
        <v>359.9</v>
      </c>
      <c r="AG29" s="221">
        <v>531.29999999999995</v>
      </c>
      <c r="AH29" s="221">
        <v>535.79999999999995</v>
      </c>
      <c r="AI29" s="335">
        <f>SUM(D29:AH29)</f>
        <v>10443.199999999999</v>
      </c>
      <c r="AJ29" s="119">
        <v>100</v>
      </c>
      <c r="AK29" s="121">
        <f t="shared" si="32"/>
        <v>4.5393518518518517E-3</v>
      </c>
      <c r="AL29" s="98">
        <f t="shared" si="22"/>
        <v>0.23741666666666664</v>
      </c>
      <c r="AM29" s="99">
        <f t="shared" si="57"/>
        <v>0.22941666666666669</v>
      </c>
      <c r="AN29" s="99">
        <f t="shared" si="57"/>
        <v>8.1708333333333327E-2</v>
      </c>
      <c r="AO29" s="99">
        <f t="shared" si="57"/>
        <v>3.5166666666666672E-2</v>
      </c>
      <c r="AP29" s="99">
        <f>IF(OR(H29="",H29="Sem monitoramento"),"VAZIO",IFERROR(H29/($AJ29*24),"-"))</f>
        <v>0.13629166666666667</v>
      </c>
      <c r="AQ29" s="99">
        <f>IF(OR(I29="",I29="Sem monitoramento"),"VAZIO",IFERROR(I29/($AJ29*24),"-"))</f>
        <v>0.21470833333333331</v>
      </c>
      <c r="AR29" s="99">
        <f>IF(OR(J30="",J30="Sem monitoramento"),"VAZIO",IFERROR(J30/($AJ29*24),"-"))</f>
        <v>0.16633333333333333</v>
      </c>
      <c r="AS29" s="99">
        <f t="shared" si="45"/>
        <v>0.12208333333333334</v>
      </c>
      <c r="AT29" s="99">
        <f t="shared" si="46"/>
        <v>6.5791666666666665E-2</v>
      </c>
      <c r="AU29" s="99">
        <f t="shared" si="53"/>
        <v>2.6958333333333334E-2</v>
      </c>
      <c r="AV29" s="99">
        <f>IF(OR(N29="",N29="Sem monitoramento"),"VAZIO",IFERROR(N29/($AJ29*24),"-"))</f>
        <v>0.12816666666666668</v>
      </c>
      <c r="AW29" s="99">
        <f t="shared" si="54"/>
        <v>7.3499999999999996E-2</v>
      </c>
      <c r="AX29" s="99">
        <f t="shared" si="25"/>
        <v>0.15479166666666666</v>
      </c>
      <c r="AY29" s="99">
        <f t="shared" si="41"/>
        <v>0.17904166666666665</v>
      </c>
      <c r="AZ29" s="99">
        <f t="shared" si="47"/>
        <v>0.21679166666666666</v>
      </c>
      <c r="BA29" s="99">
        <f t="shared" si="50"/>
        <v>0.20020833333333332</v>
      </c>
      <c r="BB29" s="99">
        <f t="shared" si="38"/>
        <v>0.200375</v>
      </c>
      <c r="BC29" s="99">
        <f t="shared" si="39"/>
        <v>0.18237499999999998</v>
      </c>
      <c r="BD29" s="99">
        <f t="shared" si="55"/>
        <v>2.8874999999999998E-2</v>
      </c>
      <c r="BE29" s="99">
        <f>IF(OR(W29="",W29="Sem monitoramento"),"VAZIO",IFERROR(W29/($AJ29*24),"-"))</f>
        <v>4.2250000000000003E-2</v>
      </c>
      <c r="BF29" s="99">
        <f t="shared" si="56"/>
        <v>8.6583333333333332E-2</v>
      </c>
      <c r="BG29" s="99">
        <f t="shared" si="48"/>
        <v>0.19870833333333332</v>
      </c>
      <c r="BH29" s="99">
        <f>IF(OR(Z29="",Z29="Sem monitoramento"),"VAZIO",IFERROR(Z29/($AJ29*24),"-"))</f>
        <v>0.20220833333333335</v>
      </c>
      <c r="BI29" s="99">
        <f>IF(OR(AA29="",AA29="Sem monitoramento"),"VAZIO",IFERROR(AA29/($AJ29*24),"-"))</f>
        <v>0.125</v>
      </c>
      <c r="BJ29" s="99">
        <f t="shared" si="52"/>
        <v>0.11212500000000002</v>
      </c>
      <c r="BK29" s="99">
        <f t="shared" si="28"/>
        <v>0.19966666666666666</v>
      </c>
      <c r="BL29" s="99">
        <f t="shared" si="51"/>
        <v>2.9958333333333337E-2</v>
      </c>
      <c r="BM29" s="99">
        <f t="shared" si="42"/>
        <v>0.05</v>
      </c>
      <c r="BN29" s="99">
        <f t="shared" si="43"/>
        <v>0.14995833333333333</v>
      </c>
      <c r="BO29" s="99">
        <f>IF(OR(AG28="",AG28="Sem monitoramento"),"VAZIO",IFERROR(AG28/($AJ29*24),"-"))</f>
        <v>0.1835</v>
      </c>
      <c r="BP29" s="101">
        <f t="shared" si="6"/>
        <v>0.14504444444444442</v>
      </c>
      <c r="BQ29" s="198">
        <f t="shared" si="44"/>
        <v>0.168125</v>
      </c>
      <c r="BR29" s="72">
        <f t="shared" si="34"/>
        <v>16.8125</v>
      </c>
      <c r="BS29" s="73">
        <f t="shared" si="35"/>
        <v>-8.6416666666666669E-2</v>
      </c>
      <c r="BT29" s="74">
        <f t="shared" si="9"/>
        <v>-2.3080555555555576E-2</v>
      </c>
      <c r="BU29" s="15" t="s">
        <v>112</v>
      </c>
      <c r="BV29" s="3"/>
      <c r="BW29" s="2"/>
      <c r="BX29" s="2"/>
    </row>
    <row r="30" spans="2:76" ht="15" thickBot="1" x14ac:dyDescent="0.35">
      <c r="B30" s="773" t="s">
        <v>290</v>
      </c>
      <c r="C30" s="326" t="s">
        <v>291</v>
      </c>
      <c r="D30" s="223">
        <v>476.1</v>
      </c>
      <c r="E30" s="378">
        <v>505.3</v>
      </c>
      <c r="F30" s="63">
        <v>295.8</v>
      </c>
      <c r="G30" s="63">
        <v>146.69999999999999</v>
      </c>
      <c r="H30" s="283">
        <v>262.7</v>
      </c>
      <c r="I30" s="470">
        <v>451.3</v>
      </c>
      <c r="J30" s="308">
        <v>399.2</v>
      </c>
      <c r="K30" s="283">
        <v>427.3</v>
      </c>
      <c r="L30" s="283">
        <v>393.2</v>
      </c>
      <c r="M30" s="283">
        <v>98.9</v>
      </c>
      <c r="N30" s="283">
        <v>133.30000000000001</v>
      </c>
      <c r="O30" s="283">
        <v>344.8</v>
      </c>
      <c r="P30" s="283">
        <v>313</v>
      </c>
      <c r="Q30" s="283">
        <v>406.8</v>
      </c>
      <c r="R30" s="283">
        <v>473.8</v>
      </c>
      <c r="S30" s="283">
        <v>508.9</v>
      </c>
      <c r="T30" s="283">
        <v>503</v>
      </c>
      <c r="U30" s="283">
        <v>436.1</v>
      </c>
      <c r="V30" s="283">
        <v>108</v>
      </c>
      <c r="W30" s="283">
        <v>95.2</v>
      </c>
      <c r="X30" s="283">
        <v>227.4</v>
      </c>
      <c r="Y30" s="320">
        <v>335.4</v>
      </c>
      <c r="Z30" s="320">
        <v>493.6</v>
      </c>
      <c r="AA30" s="320">
        <v>336</v>
      </c>
      <c r="AB30" s="323">
        <v>344</v>
      </c>
      <c r="AC30" s="15">
        <v>421.9</v>
      </c>
      <c r="AD30" s="221">
        <v>196.4</v>
      </c>
      <c r="AE30" s="221">
        <v>146.9</v>
      </c>
      <c r="AF30" s="15">
        <v>332.9</v>
      </c>
      <c r="AG30" s="578">
        <v>306.7</v>
      </c>
      <c r="AH30" s="15">
        <v>531.9</v>
      </c>
      <c r="AI30" s="335">
        <f>SUM(D30:AG30)</f>
        <v>9920.5999999999985</v>
      </c>
      <c r="AJ30" s="2">
        <v>100</v>
      </c>
      <c r="AK30" s="285">
        <f t="shared" si="32"/>
        <v>6.8472222222222224E-3</v>
      </c>
      <c r="AL30" s="98">
        <f t="shared" si="22"/>
        <v>0.198375</v>
      </c>
      <c r="AM30" s="99">
        <f t="shared" si="57"/>
        <v>0.21054166666666668</v>
      </c>
      <c r="AN30" s="99">
        <f t="shared" si="57"/>
        <v>0.12325</v>
      </c>
      <c r="AO30" s="99">
        <f t="shared" si="57"/>
        <v>6.1124999999999992E-2</v>
      </c>
      <c r="AP30" s="99">
        <f>IF(OR(H30="",H30="Sem monitoramento"),"VAZIO",IFERROR(H30/($AJ30*24),"-"))</f>
        <v>0.10945833333333332</v>
      </c>
      <c r="AQ30" s="99">
        <f>IF(OR(I30="",I30="Sem monitoramento"),"VAZIO",IFERROR(I30/($AJ30*24),"-"))</f>
        <v>0.18804166666666666</v>
      </c>
      <c r="AR30" s="99" t="e">
        <f>IF(OR(#REF!="",#REF!="Sem monitoramento"),"VAZIO",IFERROR(#REF!/($AJ30*24),"-"))</f>
        <v>#REF!</v>
      </c>
      <c r="AS30" s="99">
        <f t="shared" si="45"/>
        <v>0.17804166666666668</v>
      </c>
      <c r="AT30" s="99">
        <f t="shared" si="46"/>
        <v>0.16383333333333333</v>
      </c>
      <c r="AU30" s="99">
        <f t="shared" si="53"/>
        <v>4.1208333333333333E-2</v>
      </c>
      <c r="AV30" s="99">
        <f>IF(OR(N30="",N30="Sem monitoramento"),"VAZIO",IFERROR(N30/($AJ30*24),"-"))</f>
        <v>5.554166666666667E-2</v>
      </c>
      <c r="AW30" s="99">
        <f t="shared" si="54"/>
        <v>0.14366666666666666</v>
      </c>
      <c r="AX30" s="99">
        <f t="shared" si="25"/>
        <v>0.13041666666666665</v>
      </c>
      <c r="AY30" s="99">
        <f t="shared" si="41"/>
        <v>0.16950000000000001</v>
      </c>
      <c r="AZ30" s="99">
        <f t="shared" si="47"/>
        <v>0.19741666666666668</v>
      </c>
      <c r="BA30" s="99">
        <f t="shared" si="50"/>
        <v>0.21204166666666666</v>
      </c>
      <c r="BB30" s="99">
        <f t="shared" si="38"/>
        <v>0.20958333333333334</v>
      </c>
      <c r="BC30" s="99">
        <f t="shared" si="39"/>
        <v>0.18170833333333333</v>
      </c>
      <c r="BD30" s="99">
        <f t="shared" si="55"/>
        <v>4.4999999999999998E-2</v>
      </c>
      <c r="BE30" s="99">
        <f>IF(OR(W30="",W30="Sem monitoramento"),"VAZIO",IFERROR(W30/($AJ30*24),"-"))</f>
        <v>3.966666666666667E-2</v>
      </c>
      <c r="BF30" s="99">
        <f t="shared" si="56"/>
        <v>9.4750000000000001E-2</v>
      </c>
      <c r="BG30" s="99">
        <f t="shared" si="48"/>
        <v>0.13974999999999999</v>
      </c>
      <c r="BH30" s="99">
        <f>IF(OR(Z30="",Z30="Sem monitoramento"),"VAZIO",IFERROR(Z30/($AJ30*24),"-"))</f>
        <v>0.20566666666666666</v>
      </c>
      <c r="BI30" s="99">
        <f>IF(OR(AA30="",AA30="Sem monitoramento"),"VAZIO",IFERROR(AA30/($AJ30*24),"-"))</f>
        <v>0.14000000000000001</v>
      </c>
      <c r="BJ30" s="99">
        <f t="shared" si="52"/>
        <v>0.14333333333333334</v>
      </c>
      <c r="BK30" s="99">
        <f t="shared" si="28"/>
        <v>0.17579166666666665</v>
      </c>
      <c r="BL30" s="99">
        <f t="shared" si="51"/>
        <v>8.1833333333333341E-2</v>
      </c>
      <c r="BM30" s="99">
        <f t="shared" si="42"/>
        <v>6.1208333333333337E-2</v>
      </c>
      <c r="BN30" s="286">
        <f t="shared" si="43"/>
        <v>0.13870833333333332</v>
      </c>
      <c r="BO30" s="286">
        <f>IF(OR(AG30="",AG30="Sem monitoramento"),"VAZIO",IFERROR(AG30/($AJ30*24),"-"))</f>
        <v>0.12779166666666666</v>
      </c>
      <c r="BP30" s="286">
        <f t="shared" si="6"/>
        <v>0.13778611111111108</v>
      </c>
      <c r="BQ30" s="198">
        <f t="shared" si="44"/>
        <v>0.168125</v>
      </c>
      <c r="BR30" s="72">
        <f t="shared" si="34"/>
        <v>16.8125</v>
      </c>
      <c r="BS30" s="73">
        <f t="shared" si="35"/>
        <v>-4.4874999999999998E-2</v>
      </c>
      <c r="BT30" s="74">
        <f t="shared" si="9"/>
        <v>-3.0338888888888915E-2</v>
      </c>
      <c r="BU30" s="2"/>
      <c r="BV30" s="3"/>
      <c r="BW30" s="2"/>
      <c r="BX30" s="2"/>
    </row>
    <row r="31" spans="2:76" ht="15" thickBot="1" x14ac:dyDescent="0.35">
      <c r="B31" s="777"/>
      <c r="C31" s="329" t="s">
        <v>563</v>
      </c>
      <c r="D31" s="224">
        <v>452.8</v>
      </c>
      <c r="E31" s="558">
        <v>512.4</v>
      </c>
      <c r="F31" s="93">
        <v>302.2</v>
      </c>
      <c r="G31" s="115">
        <v>118.2</v>
      </c>
      <c r="H31" s="532">
        <v>302.3</v>
      </c>
      <c r="I31" s="115">
        <v>462.5</v>
      </c>
      <c r="J31" s="115">
        <v>401.4</v>
      </c>
      <c r="K31" s="93">
        <v>419.1</v>
      </c>
      <c r="L31" s="93">
        <v>361</v>
      </c>
      <c r="M31" s="93">
        <v>87.41</v>
      </c>
      <c r="N31" s="93">
        <v>98.58</v>
      </c>
      <c r="O31" s="93">
        <v>315</v>
      </c>
      <c r="P31" s="93">
        <v>307.60000000000002</v>
      </c>
      <c r="Q31" s="318">
        <v>368.6</v>
      </c>
      <c r="R31" s="93">
        <v>456.7</v>
      </c>
      <c r="S31" s="93">
        <v>506.7</v>
      </c>
      <c r="T31" s="622">
        <v>342.1</v>
      </c>
      <c r="U31" s="22">
        <v>372.3</v>
      </c>
      <c r="V31" s="22">
        <v>92.1</v>
      </c>
      <c r="W31" s="622">
        <v>43.6</v>
      </c>
      <c r="X31" s="277">
        <v>235.7</v>
      </c>
      <c r="Y31" s="93">
        <v>259.2</v>
      </c>
      <c r="Z31" s="22">
        <v>422.3</v>
      </c>
      <c r="AA31" s="322">
        <v>308.8</v>
      </c>
      <c r="AB31" s="21">
        <v>316.60000000000002</v>
      </c>
      <c r="AC31" s="22">
        <v>438.3</v>
      </c>
      <c r="AD31" s="277">
        <v>250.6</v>
      </c>
      <c r="AE31" s="22">
        <v>118.99</v>
      </c>
      <c r="AF31" s="22">
        <v>298.3</v>
      </c>
      <c r="AG31" s="578">
        <v>230.3</v>
      </c>
      <c r="AH31" s="22">
        <v>514.9</v>
      </c>
      <c r="AI31" s="335">
        <f>SUM(D31:AH31)</f>
        <v>9716.58</v>
      </c>
      <c r="AJ31" s="2"/>
      <c r="AK31" s="285"/>
      <c r="AL31" s="286" t="str">
        <f t="shared" si="22"/>
        <v>-</v>
      </c>
      <c r="AM31" s="286" t="str">
        <f t="shared" si="57"/>
        <v>-</v>
      </c>
      <c r="AN31" s="286" t="str">
        <f t="shared" si="57"/>
        <v>-</v>
      </c>
      <c r="AO31" s="286" t="str">
        <f t="shared" si="57"/>
        <v>-</v>
      </c>
      <c r="AP31" s="286" t="str">
        <f>IF(OR(H31="",H31="Sem monitoramento"),"VAZIO",IFERROR(H31/($AJ31*24),"-"))</f>
        <v>-</v>
      </c>
      <c r="AQ31" s="286" t="str">
        <f>IF(OR(I31="",I31="Sem monitoramento"),"VAZIO",IFERROR(I31/($AJ31*24),"-"))</f>
        <v>-</v>
      </c>
      <c r="AR31" s="286" t="str">
        <f>IF(OR(J31="",J31="Sem monitoramento"),"VAZIO",IFERROR(J31/($AJ31*24),"-"))</f>
        <v>-</v>
      </c>
      <c r="AS31" s="286" t="str">
        <f t="shared" si="45"/>
        <v>-</v>
      </c>
      <c r="AT31" s="286" t="str">
        <f t="shared" si="46"/>
        <v>-</v>
      </c>
      <c r="AU31" s="286" t="str">
        <f t="shared" si="53"/>
        <v>-</v>
      </c>
      <c r="AV31" s="286" t="str">
        <f>IF(OR(N31="",N31="Sem monitoramento"),"VAZIO",IFERROR(N31/($AJ31*24),"-"))</f>
        <v>-</v>
      </c>
      <c r="AW31" s="286" t="str">
        <f t="shared" si="54"/>
        <v>-</v>
      </c>
      <c r="AX31" s="286" t="str">
        <f t="shared" si="25"/>
        <v>-</v>
      </c>
      <c r="AY31" s="286" t="str">
        <f t="shared" si="41"/>
        <v>-</v>
      </c>
      <c r="AZ31" s="286" t="str">
        <f t="shared" si="47"/>
        <v>-</v>
      </c>
      <c r="BA31" s="286" t="str">
        <f t="shared" si="50"/>
        <v>-</v>
      </c>
      <c r="BB31" s="286" t="str">
        <f t="shared" si="38"/>
        <v>-</v>
      </c>
      <c r="BC31" s="286" t="str">
        <f t="shared" si="39"/>
        <v>-</v>
      </c>
      <c r="BD31" s="286" t="str">
        <f t="shared" si="55"/>
        <v>-</v>
      </c>
      <c r="BE31" s="286" t="str">
        <f>IF(OR(W31="",W31="Sem monitoramento"),"VAZIO",IFERROR(W31/($AJ31*24),"-"))</f>
        <v>-</v>
      </c>
      <c r="BF31" s="286" t="str">
        <f t="shared" si="56"/>
        <v>-</v>
      </c>
      <c r="BG31" s="286" t="str">
        <f t="shared" si="48"/>
        <v>-</v>
      </c>
      <c r="BH31" s="286" t="str">
        <f>IF(OR(Z31="",Z31="Sem monitoramento"),"VAZIO",IFERROR(Z31/($AJ31*24),"-"))</f>
        <v>-</v>
      </c>
      <c r="BI31" s="286" t="str">
        <f>IF(OR(AA31="",AA31="Sem monitoramento"),"VAZIO",IFERROR(AA31/($AJ31*24),"-"))</f>
        <v>-</v>
      </c>
      <c r="BJ31" s="286" t="str">
        <f t="shared" si="52"/>
        <v>-</v>
      </c>
      <c r="BK31" s="286" t="str">
        <f t="shared" si="28"/>
        <v>-</v>
      </c>
      <c r="BL31" s="286" t="str">
        <f t="shared" si="51"/>
        <v>-</v>
      </c>
      <c r="BM31" s="286" t="str">
        <f t="shared" si="42"/>
        <v>-</v>
      </c>
      <c r="BN31" s="286" t="str">
        <f t="shared" si="43"/>
        <v>-</v>
      </c>
      <c r="BO31" s="286" t="str">
        <f>IF(OR(AG31="",AG31="Sem monitoramento"),"VAZIO",IFERROR(AG31/($AJ31*24),"-"))</f>
        <v>-</v>
      </c>
      <c r="BP31" s="286" t="e">
        <f t="shared" si="6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12729.099999999999</v>
      </c>
      <c r="E32" s="103">
        <f>SUM(E5:E31)</f>
        <v>13127.8</v>
      </c>
      <c r="F32" s="103">
        <f>SUM(F5:F31)</f>
        <v>7536.1</v>
      </c>
      <c r="G32" s="103">
        <f>SUM(G5:G31)</f>
        <v>3506.4999999999991</v>
      </c>
      <c r="H32" s="103">
        <f t="shared" ref="H32:AG32" si="58">SUM(H5:H31)</f>
        <v>7208.6000000000013</v>
      </c>
      <c r="I32" s="103">
        <f t="shared" si="58"/>
        <v>12554.699999999995</v>
      </c>
      <c r="J32" s="103">
        <f t="shared" si="58"/>
        <v>11628.4</v>
      </c>
      <c r="K32" s="103">
        <f t="shared" si="58"/>
        <v>11434.499999999998</v>
      </c>
      <c r="L32" s="103">
        <f t="shared" si="58"/>
        <v>9822.7000000000007</v>
      </c>
      <c r="M32" s="103">
        <f t="shared" si="58"/>
        <v>1780.1100000000001</v>
      </c>
      <c r="N32" s="103">
        <f t="shared" si="58"/>
        <v>4063.2799999999997</v>
      </c>
      <c r="O32" s="103">
        <f t="shared" si="58"/>
        <v>8960.7000000000007</v>
      </c>
      <c r="P32" s="103">
        <f t="shared" si="58"/>
        <v>9202.0000000000018</v>
      </c>
      <c r="Q32" s="103">
        <f t="shared" si="58"/>
        <v>10507.7</v>
      </c>
      <c r="R32" s="103">
        <f t="shared" si="58"/>
        <v>11776.499999999998</v>
      </c>
      <c r="S32" s="103">
        <f t="shared" si="58"/>
        <v>12118.400000000001</v>
      </c>
      <c r="T32" s="103">
        <f t="shared" si="58"/>
        <v>12699.5</v>
      </c>
      <c r="U32" s="103">
        <f>SUM(U5:U31)</f>
        <v>11243.9</v>
      </c>
      <c r="V32" s="103">
        <f t="shared" si="58"/>
        <v>2438.0000000000005</v>
      </c>
      <c r="W32" s="103">
        <f t="shared" si="58"/>
        <v>2238.9999999999995</v>
      </c>
      <c r="X32" s="103">
        <f t="shared" si="58"/>
        <v>5819.7999999999993</v>
      </c>
      <c r="Y32" s="103">
        <f t="shared" si="58"/>
        <v>8929.1</v>
      </c>
      <c r="Z32" s="103">
        <f t="shared" si="58"/>
        <v>12176.4</v>
      </c>
      <c r="AA32" s="103">
        <f t="shared" si="58"/>
        <v>7980</v>
      </c>
      <c r="AB32" s="103">
        <f>SUM(AB5:AB31)</f>
        <v>8013.4000000000024</v>
      </c>
      <c r="AC32" s="103">
        <f t="shared" si="58"/>
        <v>11164.9</v>
      </c>
      <c r="AD32" s="103">
        <f t="shared" si="58"/>
        <v>4935.3999999999987</v>
      </c>
      <c r="AE32" s="103">
        <f t="shared" si="58"/>
        <v>4092.8900000000008</v>
      </c>
      <c r="AF32" s="103">
        <f t="shared" si="58"/>
        <v>7088.2</v>
      </c>
      <c r="AG32" s="103">
        <f t="shared" si="58"/>
        <v>10824.899999999998</v>
      </c>
      <c r="AH32" s="103">
        <f>SUM(AH5:AH31)</f>
        <v>13512.099999999999</v>
      </c>
      <c r="AI32" s="189">
        <f>SUM(AI5:AI31)</f>
        <v>269566.98000000004</v>
      </c>
      <c r="AJ32" s="104">
        <f>SUM(AJ5:AJ31)</f>
        <v>2329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269,567 MWh</v>
      </c>
      <c r="AJ33" s="2"/>
      <c r="AN33" s="778">
        <v>12</v>
      </c>
      <c r="AW33">
        <v>1000</v>
      </c>
      <c r="AX33">
        <v>1000</v>
      </c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8985,566 kWh</v>
      </c>
      <c r="AJ34" s="2"/>
      <c r="AK34" s="2"/>
      <c r="AL34" s="2"/>
      <c r="AM34" s="2"/>
      <c r="AN34" s="779"/>
      <c r="AV34">
        <v>900</v>
      </c>
      <c r="AW34">
        <v>100</v>
      </c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269566,98 kWh</v>
      </c>
      <c r="AJ35" s="2"/>
      <c r="AK35" s="2"/>
      <c r="AL35" s="2"/>
      <c r="AM35" s="2"/>
      <c r="AN35" s="780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269,567 MWh</v>
      </c>
      <c r="AN36" s="778">
        <v>67</v>
      </c>
    </row>
    <row r="37" spans="2:76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  <c r="AN37" s="779"/>
    </row>
    <row r="38" spans="2:76" x14ac:dyDescent="0.3">
      <c r="AC38">
        <v>60.6</v>
      </c>
      <c r="AN38" s="780"/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  <c r="AN39" s="778">
        <v>49</v>
      </c>
    </row>
    <row r="40" spans="2:76" x14ac:dyDescent="0.3">
      <c r="N40">
        <v>91151.5</v>
      </c>
      <c r="O40">
        <f>N41-N40</f>
        <v>734</v>
      </c>
      <c r="X40" s="102"/>
      <c r="AF40">
        <f>AF39-20.4</f>
        <v>53905.2</v>
      </c>
      <c r="AN40" s="779"/>
    </row>
    <row r="41" spans="2:76" x14ac:dyDescent="0.3">
      <c r="N41">
        <v>91885.5</v>
      </c>
      <c r="X41" s="102"/>
      <c r="AF41">
        <f>AF40-AD39</f>
        <v>263.19999999999709</v>
      </c>
      <c r="AN41" s="780"/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  <c r="AN42" s="778">
        <v>33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  <c r="AN43" s="779"/>
    </row>
    <row r="44" spans="2:76" x14ac:dyDescent="0.3">
      <c r="B44" s="751" t="s">
        <v>6</v>
      </c>
      <c r="C44" s="18" t="s">
        <v>7</v>
      </c>
      <c r="D44" s="163">
        <f>D5+Agosto23!AF41</f>
        <v>48907.200000000004</v>
      </c>
      <c r="E44" s="164">
        <f t="shared" ref="E44:F59" si="59">D44+E5</f>
        <v>48971.100000000006</v>
      </c>
      <c r="F44" s="164">
        <f t="shared" si="59"/>
        <v>49005.8</v>
      </c>
      <c r="G44" s="165">
        <v>49036.4</v>
      </c>
      <c r="H44" s="166">
        <v>49076</v>
      </c>
      <c r="I44" s="163">
        <f t="shared" ref="I44:V59" si="60">H44+I5</f>
        <v>49139.4</v>
      </c>
      <c r="J44" s="163">
        <f t="shared" si="60"/>
        <v>49202.700000000004</v>
      </c>
      <c r="K44" s="163">
        <f t="shared" si="60"/>
        <v>49258.9</v>
      </c>
      <c r="L44" s="163">
        <f t="shared" si="60"/>
        <v>49310.400000000001</v>
      </c>
      <c r="M44" s="163">
        <f t="shared" si="60"/>
        <v>49316.6</v>
      </c>
      <c r="N44" s="163">
        <f t="shared" si="60"/>
        <v>49332.9</v>
      </c>
      <c r="O44" s="163">
        <f t="shared" si="60"/>
        <v>49375.700000000004</v>
      </c>
      <c r="P44" s="163">
        <f t="shared" si="60"/>
        <v>49411.700000000004</v>
      </c>
      <c r="Q44" s="163">
        <f t="shared" si="60"/>
        <v>49462.8</v>
      </c>
      <c r="R44" s="163">
        <f t="shared" si="60"/>
        <v>49510.8</v>
      </c>
      <c r="S44" s="163">
        <f t="shared" si="60"/>
        <v>49567.4</v>
      </c>
      <c r="T44" s="163">
        <f t="shared" si="60"/>
        <v>49621.4</v>
      </c>
      <c r="U44" s="163">
        <f t="shared" si="60"/>
        <v>49677.1</v>
      </c>
      <c r="V44" s="163">
        <f t="shared" si="60"/>
        <v>49686.299999999996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  <c r="AN44" s="780"/>
    </row>
    <row r="45" spans="2:76" x14ac:dyDescent="0.3">
      <c r="B45" s="752"/>
      <c r="C45" s="18" t="s">
        <v>8</v>
      </c>
      <c r="D45" s="163">
        <f>D6+Agosto23!AF42</f>
        <v>99126.6</v>
      </c>
      <c r="E45" s="164">
        <f t="shared" si="59"/>
        <v>99506.200000000012</v>
      </c>
      <c r="F45" s="164">
        <f t="shared" si="59"/>
        <v>99702.800000000017</v>
      </c>
      <c r="G45" s="165">
        <f>21775+78123.8</f>
        <v>99898.8</v>
      </c>
      <c r="H45" s="166">
        <f>21823+78322.8</f>
        <v>100145.8</v>
      </c>
      <c r="I45" s="163">
        <f t="shared" si="60"/>
        <v>100503.3</v>
      </c>
      <c r="J45" s="163">
        <f t="shared" si="60"/>
        <v>100837.40000000001</v>
      </c>
      <c r="K45" s="163">
        <f t="shared" si="60"/>
        <v>101166.70000000001</v>
      </c>
      <c r="L45" s="163">
        <f t="shared" si="60"/>
        <v>101407.90000000001</v>
      </c>
      <c r="M45" s="163">
        <f t="shared" si="60"/>
        <v>101440.70000000001</v>
      </c>
      <c r="N45" s="163">
        <f t="shared" si="60"/>
        <v>101516.00000000001</v>
      </c>
      <c r="O45" s="163">
        <f t="shared" si="60"/>
        <v>101754.70000000001</v>
      </c>
      <c r="P45" s="163">
        <f t="shared" si="60"/>
        <v>101963.1</v>
      </c>
      <c r="Q45" s="163">
        <f t="shared" si="60"/>
        <v>102254.70000000001</v>
      </c>
      <c r="R45" s="163">
        <f t="shared" si="60"/>
        <v>102527.1</v>
      </c>
      <c r="S45" s="163">
        <f t="shared" si="60"/>
        <v>102858.20000000001</v>
      </c>
      <c r="T45" s="163">
        <f t="shared" si="60"/>
        <v>103195.70000000001</v>
      </c>
      <c r="U45" s="163">
        <f t="shared" si="60"/>
        <v>103623.6</v>
      </c>
      <c r="V45" s="163">
        <f t="shared" si="60"/>
        <v>103671.8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  <c r="AN45" s="778">
        <v>12</v>
      </c>
    </row>
    <row r="46" spans="2:76" x14ac:dyDescent="0.3">
      <c r="B46" s="752"/>
      <c r="C46" s="18" t="s">
        <v>9</v>
      </c>
      <c r="D46" s="163">
        <f>D7+Agosto23!AF43</f>
        <v>69940.7</v>
      </c>
      <c r="E46" s="164">
        <f t="shared" si="59"/>
        <v>70212.7</v>
      </c>
      <c r="F46" s="164">
        <f t="shared" si="59"/>
        <v>70365.7</v>
      </c>
      <c r="G46" s="165">
        <v>70458.2</v>
      </c>
      <c r="H46" s="166">
        <v>70615.5</v>
      </c>
      <c r="I46" s="163">
        <f t="shared" si="60"/>
        <v>70883.199999999997</v>
      </c>
      <c r="J46" s="163">
        <f t="shared" si="60"/>
        <v>71143.5</v>
      </c>
      <c r="K46" s="163">
        <f t="shared" si="60"/>
        <v>71381.7</v>
      </c>
      <c r="L46" s="163">
        <f t="shared" si="60"/>
        <v>71597.899999999994</v>
      </c>
      <c r="M46" s="163">
        <f t="shared" si="60"/>
        <v>71605.599999999991</v>
      </c>
      <c r="N46" s="163">
        <f t="shared" si="60"/>
        <v>71675.599999999991</v>
      </c>
      <c r="O46" s="163">
        <f t="shared" si="60"/>
        <v>71865.2</v>
      </c>
      <c r="P46" s="163">
        <f t="shared" si="60"/>
        <v>72030.7</v>
      </c>
      <c r="Q46" s="163">
        <f t="shared" si="60"/>
        <v>72241.099999999991</v>
      </c>
      <c r="R46" s="163">
        <f t="shared" si="60"/>
        <v>72447.999999999985</v>
      </c>
      <c r="S46" s="163">
        <f t="shared" si="60"/>
        <v>72681.099999999991</v>
      </c>
      <c r="T46" s="163">
        <f t="shared" si="60"/>
        <v>72908.999999999985</v>
      </c>
      <c r="U46" s="163" t="e">
        <f>T46+#REF!</f>
        <v>#REF!</v>
      </c>
      <c r="V46" s="163" t="e">
        <f t="shared" si="60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  <c r="AN46" s="779"/>
    </row>
    <row r="47" spans="2:76" x14ac:dyDescent="0.3">
      <c r="B47" s="752"/>
      <c r="C47" s="18" t="s">
        <v>10</v>
      </c>
      <c r="D47" s="163">
        <f>D8+Agosto23!AF44</f>
        <v>95778.4</v>
      </c>
      <c r="E47" s="164">
        <f t="shared" si="59"/>
        <v>95934.5</v>
      </c>
      <c r="F47" s="164">
        <f t="shared" si="59"/>
        <v>96021</v>
      </c>
      <c r="G47" s="165">
        <v>96154</v>
      </c>
      <c r="H47" s="166">
        <v>96261.9</v>
      </c>
      <c r="I47" s="163" t="e">
        <f>H47+#REF!</f>
        <v>#REF!</v>
      </c>
      <c r="J47" s="163" t="e">
        <f t="shared" si="60"/>
        <v>#REF!</v>
      </c>
      <c r="K47" s="163" t="e">
        <f t="shared" si="60"/>
        <v>#REF!</v>
      </c>
      <c r="L47" s="163" t="e">
        <f t="shared" si="60"/>
        <v>#REF!</v>
      </c>
      <c r="M47" s="163" t="e">
        <f t="shared" si="60"/>
        <v>#REF!</v>
      </c>
      <c r="N47" s="163" t="e">
        <f t="shared" si="60"/>
        <v>#REF!</v>
      </c>
      <c r="O47" s="163" t="e">
        <f t="shared" si="60"/>
        <v>#REF!</v>
      </c>
      <c r="P47" s="163" t="e">
        <f t="shared" si="60"/>
        <v>#REF!</v>
      </c>
      <c r="Q47" s="163" t="e">
        <f t="shared" si="60"/>
        <v>#REF!</v>
      </c>
      <c r="R47" s="163" t="e">
        <f t="shared" si="60"/>
        <v>#REF!</v>
      </c>
      <c r="S47" s="163" t="e">
        <f t="shared" si="60"/>
        <v>#REF!</v>
      </c>
      <c r="T47" s="163" t="e">
        <f t="shared" si="60"/>
        <v>#REF!</v>
      </c>
      <c r="U47" s="163" t="e">
        <f>T47+#REF!</f>
        <v>#REF!</v>
      </c>
      <c r="V47" s="163" t="e">
        <f t="shared" si="60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  <c r="AN47" s="780"/>
    </row>
    <row r="48" spans="2:76" x14ac:dyDescent="0.3">
      <c r="B48" s="752"/>
      <c r="C48" s="18" t="s">
        <v>11</v>
      </c>
      <c r="D48" s="163">
        <f>D10+Agosto23!AF45</f>
        <v>18883.8</v>
      </c>
      <c r="E48" s="164">
        <f t="shared" si="59"/>
        <v>18945.899999999998</v>
      </c>
      <c r="F48" s="164">
        <f t="shared" si="59"/>
        <v>18980.199999999997</v>
      </c>
      <c r="G48" s="165">
        <v>18957</v>
      </c>
      <c r="H48" s="166">
        <v>18998</v>
      </c>
      <c r="I48" s="163">
        <f t="shared" si="60"/>
        <v>19057.900000000001</v>
      </c>
      <c r="J48" s="163">
        <f>I48+J10</f>
        <v>19179.600000000002</v>
      </c>
      <c r="K48" s="163">
        <f t="shared" si="60"/>
        <v>19235.500000000004</v>
      </c>
      <c r="L48" s="163">
        <f t="shared" si="60"/>
        <v>19284.900000000005</v>
      </c>
      <c r="M48" s="163">
        <f t="shared" si="60"/>
        <v>19290.500000000004</v>
      </c>
      <c r="N48" s="163">
        <f t="shared" si="60"/>
        <v>19303.900000000005</v>
      </c>
      <c r="O48" s="163">
        <f t="shared" si="60"/>
        <v>19345.300000000007</v>
      </c>
      <c r="P48" s="163">
        <f>O48+P10</f>
        <v>19419.900000000005</v>
      </c>
      <c r="Q48" s="163">
        <f t="shared" si="60"/>
        <v>19466.600000000006</v>
      </c>
      <c r="R48" s="163">
        <f t="shared" si="60"/>
        <v>19511.700000000004</v>
      </c>
      <c r="S48" s="163">
        <f t="shared" si="60"/>
        <v>19571.400000000005</v>
      </c>
      <c r="T48" s="163">
        <f t="shared" si="60"/>
        <v>19630.100000000006</v>
      </c>
      <c r="U48" s="163">
        <f>T48+U7</f>
        <v>19861.600000000006</v>
      </c>
      <c r="V48" s="163">
        <f t="shared" si="60"/>
        <v>19869.200000000004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  <c r="AN48" s="778">
        <v>25</v>
      </c>
    </row>
    <row r="49" spans="2:40" x14ac:dyDescent="0.3">
      <c r="B49" s="752"/>
      <c r="C49" s="18" t="s">
        <v>12</v>
      </c>
      <c r="D49" s="163" t="e">
        <f>#REF!+Agosto23!AF46</f>
        <v>#REF!</v>
      </c>
      <c r="E49" s="164" t="e">
        <f t="shared" si="59"/>
        <v>#REF!</v>
      </c>
      <c r="F49" s="164" t="e">
        <f t="shared" si="59"/>
        <v>#REF!</v>
      </c>
      <c r="G49" s="165">
        <v>58550</v>
      </c>
      <c r="H49" s="166">
        <v>58640</v>
      </c>
      <c r="I49" s="163">
        <f>H49+I8</f>
        <v>58792.2</v>
      </c>
      <c r="J49" s="163" t="e">
        <f>I49+#REF!</f>
        <v>#REF!</v>
      </c>
      <c r="K49" s="163" t="e">
        <f t="shared" si="60"/>
        <v>#REF!</v>
      </c>
      <c r="L49" s="163" t="e">
        <f t="shared" si="60"/>
        <v>#REF!</v>
      </c>
      <c r="M49" s="163" t="e">
        <f t="shared" si="60"/>
        <v>#REF!</v>
      </c>
      <c r="N49" s="163" t="e">
        <f t="shared" si="60"/>
        <v>#REF!</v>
      </c>
      <c r="O49" s="163" t="e">
        <f t="shared" si="60"/>
        <v>#REF!</v>
      </c>
      <c r="P49" s="163" t="e">
        <f>O49+#REF!</f>
        <v>#REF!</v>
      </c>
      <c r="Q49" s="163" t="e">
        <f t="shared" si="60"/>
        <v>#REF!</v>
      </c>
      <c r="R49" s="163" t="e">
        <f t="shared" si="60"/>
        <v>#REF!</v>
      </c>
      <c r="S49" s="163" t="e">
        <f t="shared" si="60"/>
        <v>#REF!</v>
      </c>
      <c r="T49" s="163" t="e">
        <f t="shared" si="60"/>
        <v>#REF!</v>
      </c>
      <c r="U49" s="163" t="e">
        <f>T49+U8</f>
        <v>#REF!</v>
      </c>
      <c r="V49" s="163" t="e">
        <f t="shared" si="60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  <c r="AN49" s="779"/>
    </row>
    <row r="50" spans="2:40" x14ac:dyDescent="0.3">
      <c r="B50" s="752"/>
      <c r="C50" s="18" t="s">
        <v>13</v>
      </c>
      <c r="D50" s="163">
        <f>D11+Agosto23!AF47</f>
        <v>230349</v>
      </c>
      <c r="E50" s="164">
        <f t="shared" si="59"/>
        <v>230777.5</v>
      </c>
      <c r="F50" s="164">
        <f t="shared" si="59"/>
        <v>231015.7</v>
      </c>
      <c r="G50" s="165">
        <v>231148.9</v>
      </c>
      <c r="H50" s="166">
        <v>231319.5</v>
      </c>
      <c r="I50" s="163">
        <f t="shared" si="60"/>
        <v>231707.9</v>
      </c>
      <c r="J50" s="163">
        <f t="shared" si="60"/>
        <v>232008.19999999998</v>
      </c>
      <c r="K50" s="163">
        <f t="shared" si="60"/>
        <v>232375.19999999998</v>
      </c>
      <c r="L50" s="163">
        <f t="shared" si="60"/>
        <v>232721.99999999997</v>
      </c>
      <c r="M50" s="163">
        <f t="shared" si="60"/>
        <v>232787.19999999998</v>
      </c>
      <c r="N50" s="163">
        <f t="shared" si="60"/>
        <v>232899.19999999998</v>
      </c>
      <c r="O50" s="163">
        <f t="shared" si="60"/>
        <v>233185.69999999998</v>
      </c>
      <c r="P50" s="163">
        <f t="shared" si="60"/>
        <v>233479.09999999998</v>
      </c>
      <c r="Q50" s="163">
        <f t="shared" si="60"/>
        <v>233806.59999999998</v>
      </c>
      <c r="R50" s="163">
        <f t="shared" si="60"/>
        <v>234158.19999999998</v>
      </c>
      <c r="S50" s="163">
        <f t="shared" si="60"/>
        <v>234535.9</v>
      </c>
      <c r="T50" s="163">
        <f t="shared" si="60"/>
        <v>234970.6</v>
      </c>
      <c r="U50" s="163">
        <f t="shared" si="60"/>
        <v>235343.4</v>
      </c>
      <c r="V50" s="163">
        <f t="shared" si="60"/>
        <v>235410.3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  <c r="AN50" s="780"/>
    </row>
    <row r="51" spans="2:40" x14ac:dyDescent="0.3">
      <c r="B51" s="753"/>
      <c r="C51" s="18" t="s">
        <v>14</v>
      </c>
      <c r="D51" s="163">
        <f>D12+Agosto23!AF48</f>
        <v>972</v>
      </c>
      <c r="E51" s="164">
        <f t="shared" si="59"/>
        <v>1357</v>
      </c>
      <c r="F51" s="164">
        <f t="shared" si="59"/>
        <v>1547</v>
      </c>
      <c r="G51" s="165">
        <v>1440</v>
      </c>
      <c r="H51" s="166">
        <v>1620</v>
      </c>
      <c r="I51" s="163">
        <f t="shared" si="60"/>
        <v>1980</v>
      </c>
      <c r="J51" s="163">
        <f t="shared" si="60"/>
        <v>2350</v>
      </c>
      <c r="K51" s="163">
        <f t="shared" si="60"/>
        <v>2730</v>
      </c>
      <c r="L51" s="163">
        <f t="shared" si="60"/>
        <v>3050</v>
      </c>
      <c r="M51" s="163">
        <f t="shared" si="60"/>
        <v>3088</v>
      </c>
      <c r="N51" s="163">
        <f t="shared" si="60"/>
        <v>3173</v>
      </c>
      <c r="O51" s="163">
        <f t="shared" si="60"/>
        <v>3423</v>
      </c>
      <c r="P51" s="163">
        <f t="shared" si="60"/>
        <v>3643</v>
      </c>
      <c r="Q51" s="163">
        <f t="shared" si="60"/>
        <v>3913</v>
      </c>
      <c r="R51" s="163">
        <f t="shared" si="60"/>
        <v>4191</v>
      </c>
      <c r="S51" s="163">
        <f t="shared" si="60"/>
        <v>4571</v>
      </c>
      <c r="T51" s="163">
        <f t="shared" si="60"/>
        <v>4956</v>
      </c>
      <c r="U51" s="163">
        <f t="shared" si="60"/>
        <v>5306</v>
      </c>
      <c r="V51" s="163">
        <f t="shared" si="60"/>
        <v>5348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  <c r="AN51" s="778">
        <v>78</v>
      </c>
    </row>
    <row r="52" spans="2:40" x14ac:dyDescent="0.3">
      <c r="B52" s="751" t="s">
        <v>16</v>
      </c>
      <c r="C52" s="18" t="s">
        <v>17</v>
      </c>
      <c r="D52" s="163">
        <f>D13+Agosto23!AF49</f>
        <v>137419.6</v>
      </c>
      <c r="E52" s="164">
        <f t="shared" si="59"/>
        <v>137975.1</v>
      </c>
      <c r="F52" s="164">
        <f t="shared" si="59"/>
        <v>138262.70000000001</v>
      </c>
      <c r="G52" s="165">
        <v>138545</v>
      </c>
      <c r="H52" s="166">
        <v>138937</v>
      </c>
      <c r="I52" s="163">
        <f t="shared" si="60"/>
        <v>139411.6</v>
      </c>
      <c r="J52" s="163">
        <f t="shared" si="60"/>
        <v>139905.30000000002</v>
      </c>
      <c r="K52" s="163">
        <f t="shared" si="60"/>
        <v>140407.1</v>
      </c>
      <c r="L52" s="163">
        <f t="shared" si="60"/>
        <v>140854.1</v>
      </c>
      <c r="M52" s="163">
        <f t="shared" si="60"/>
        <v>140910.1</v>
      </c>
      <c r="N52" s="163">
        <f t="shared" si="60"/>
        <v>141040.5</v>
      </c>
      <c r="O52" s="163">
        <f t="shared" si="60"/>
        <v>141372.20000000001</v>
      </c>
      <c r="P52" s="163">
        <f t="shared" si="60"/>
        <v>141675.5</v>
      </c>
      <c r="Q52" s="163">
        <f t="shared" si="60"/>
        <v>142043.1</v>
      </c>
      <c r="R52" s="163">
        <f t="shared" si="60"/>
        <v>142426.9</v>
      </c>
      <c r="S52" s="163">
        <f t="shared" si="60"/>
        <v>142928.1</v>
      </c>
      <c r="T52" s="163">
        <f t="shared" si="60"/>
        <v>143446.39999999999</v>
      </c>
      <c r="U52" s="163">
        <f t="shared" si="60"/>
        <v>143916.29999999999</v>
      </c>
      <c r="V52" s="163">
        <f t="shared" si="60"/>
        <v>143988.4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  <c r="AN52" s="779"/>
    </row>
    <row r="53" spans="2:40" x14ac:dyDescent="0.3">
      <c r="B53" s="752"/>
      <c r="C53" s="18" t="s">
        <v>18</v>
      </c>
      <c r="D53" s="163">
        <f>D14+Agosto23!AF50</f>
        <v>127783.70000000001</v>
      </c>
      <c r="E53" s="164">
        <f t="shared" si="59"/>
        <v>128352.1</v>
      </c>
      <c r="F53" s="164">
        <f t="shared" si="59"/>
        <v>128674.40000000001</v>
      </c>
      <c r="G53" s="165">
        <v>128878</v>
      </c>
      <c r="H53" s="166">
        <v>129112</v>
      </c>
      <c r="I53" s="163">
        <f t="shared" si="60"/>
        <v>129602.4</v>
      </c>
      <c r="J53" s="163">
        <f t="shared" si="60"/>
        <v>130096.7</v>
      </c>
      <c r="K53" s="163">
        <f t="shared" si="60"/>
        <v>130603.3</v>
      </c>
      <c r="L53" s="163">
        <f t="shared" si="60"/>
        <v>131085</v>
      </c>
      <c r="M53" s="163">
        <f t="shared" si="60"/>
        <v>131165.5</v>
      </c>
      <c r="N53" s="163">
        <f t="shared" si="60"/>
        <v>131313</v>
      </c>
      <c r="O53" s="163">
        <f>N53+O14</f>
        <v>131703.79999999999</v>
      </c>
      <c r="P53" s="163">
        <f t="shared" si="60"/>
        <v>132078.09999999998</v>
      </c>
      <c r="Q53" s="163">
        <f t="shared" si="60"/>
        <v>132506.19999999998</v>
      </c>
      <c r="R53" s="163">
        <f t="shared" si="60"/>
        <v>132979.99999999997</v>
      </c>
      <c r="S53" s="163">
        <f t="shared" si="60"/>
        <v>133455.89999999997</v>
      </c>
      <c r="T53" s="163" t="e">
        <f>S53+#REF!</f>
        <v>#REF!</v>
      </c>
      <c r="U53" s="163" t="e">
        <f>T53+U14</f>
        <v>#REF!</v>
      </c>
      <c r="V53" s="163" t="e">
        <f t="shared" si="60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  <c r="AN53" s="780"/>
    </row>
    <row r="54" spans="2:40" x14ac:dyDescent="0.3">
      <c r="B54" s="752"/>
      <c r="C54" s="18" t="s">
        <v>19</v>
      </c>
      <c r="D54" s="163">
        <f>D15+Agosto23!AF51</f>
        <v>37852</v>
      </c>
      <c r="E54" s="164">
        <f t="shared" si="59"/>
        <v>38008.800000000003</v>
      </c>
      <c r="F54" s="164">
        <f t="shared" si="59"/>
        <v>38095.700000000004</v>
      </c>
      <c r="G54" s="165">
        <v>38160</v>
      </c>
      <c r="H54" s="166">
        <v>38222</v>
      </c>
      <c r="I54" s="163">
        <f t="shared" si="60"/>
        <v>38368</v>
      </c>
      <c r="J54" s="163">
        <f t="shared" si="60"/>
        <v>38511.599999999999</v>
      </c>
      <c r="K54" s="163">
        <f t="shared" si="60"/>
        <v>38648.6</v>
      </c>
      <c r="L54" s="163">
        <f t="shared" si="60"/>
        <v>38775.699999999997</v>
      </c>
      <c r="M54" s="163">
        <f t="shared" si="60"/>
        <v>38796.399999999994</v>
      </c>
      <c r="N54" s="163">
        <f t="shared" si="60"/>
        <v>38835.599999999991</v>
      </c>
      <c r="O54" s="163">
        <f>N54+O15</f>
        <v>38949.899999999994</v>
      </c>
      <c r="P54" s="163">
        <f t="shared" si="60"/>
        <v>39057.799999999996</v>
      </c>
      <c r="Q54" s="163">
        <f t="shared" si="60"/>
        <v>39181.399999999994</v>
      </c>
      <c r="R54" s="163">
        <f t="shared" si="60"/>
        <v>39313.399999999994</v>
      </c>
      <c r="S54" s="163">
        <f t="shared" si="60"/>
        <v>39452.399999999994</v>
      </c>
      <c r="T54" s="163">
        <f>S54+T15</f>
        <v>39612.899999999994</v>
      </c>
      <c r="U54" s="163">
        <f>T54+U15</f>
        <v>39753.899999999994</v>
      </c>
      <c r="V54" s="163">
        <f t="shared" si="60"/>
        <v>39774.999999999993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  <c r="AN54" s="778">
        <v>60</v>
      </c>
    </row>
    <row r="55" spans="2:40" x14ac:dyDescent="0.3">
      <c r="B55" s="753"/>
      <c r="C55" s="18" t="s">
        <v>20</v>
      </c>
      <c r="D55" s="163">
        <f>D16+Agosto23!AF52</f>
        <v>97464</v>
      </c>
      <c r="E55" s="164">
        <f t="shared" si="59"/>
        <v>98039.1</v>
      </c>
      <c r="F55" s="164">
        <f t="shared" si="59"/>
        <v>98375.1</v>
      </c>
      <c r="G55" s="165">
        <v>98510</v>
      </c>
      <c r="H55" s="166">
        <v>98809</v>
      </c>
      <c r="I55" s="163">
        <f t="shared" si="60"/>
        <v>99339.9</v>
      </c>
      <c r="J55" s="163">
        <f t="shared" si="60"/>
        <v>99842.2</v>
      </c>
      <c r="K55" s="163">
        <f t="shared" si="60"/>
        <v>100313.5</v>
      </c>
      <c r="L55" s="163">
        <f t="shared" si="60"/>
        <v>100792.4</v>
      </c>
      <c r="M55" s="163">
        <f t="shared" si="60"/>
        <v>100871</v>
      </c>
      <c r="N55" s="163">
        <f t="shared" si="60"/>
        <v>101038</v>
      </c>
      <c r="O55" s="163">
        <f t="shared" si="60"/>
        <v>101471.3</v>
      </c>
      <c r="P55" s="163">
        <f t="shared" si="60"/>
        <v>101800.2</v>
      </c>
      <c r="Q55" s="163">
        <f t="shared" si="60"/>
        <v>102252.59999999999</v>
      </c>
      <c r="R55" s="163">
        <f t="shared" si="60"/>
        <v>102706.59999999999</v>
      </c>
      <c r="S55" s="163">
        <f t="shared" si="60"/>
        <v>103178.29999999999</v>
      </c>
      <c r="T55" s="163">
        <f>S55+T14</f>
        <v>103749.4</v>
      </c>
      <c r="U55" s="163">
        <f t="shared" si="60"/>
        <v>103857.59999999999</v>
      </c>
      <c r="V55" s="163">
        <f t="shared" si="60"/>
        <v>103956.9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  <c r="AN55" s="779"/>
    </row>
    <row r="56" spans="2:40" x14ac:dyDescent="0.3">
      <c r="B56" s="754" t="s">
        <v>21</v>
      </c>
      <c r="C56" s="18" t="s">
        <v>22</v>
      </c>
      <c r="D56" s="163">
        <f>D17+Agosto23!AF53</f>
        <v>66241.600000000006</v>
      </c>
      <c r="E56" s="164">
        <f t="shared" si="59"/>
        <v>66829.8</v>
      </c>
      <c r="F56" s="164">
        <f t="shared" si="59"/>
        <v>67229</v>
      </c>
      <c r="G56" s="165">
        <v>67299</v>
      </c>
      <c r="H56" s="166">
        <v>67726</v>
      </c>
      <c r="I56" s="163">
        <f t="shared" si="60"/>
        <v>68259</v>
      </c>
      <c r="J56" s="163">
        <f t="shared" si="60"/>
        <v>68785.100000000006</v>
      </c>
      <c r="K56" s="163" t="e">
        <f>J56+#REF!</f>
        <v>#REF!</v>
      </c>
      <c r="L56" s="163" t="e">
        <f t="shared" si="60"/>
        <v>#REF!</v>
      </c>
      <c r="M56" s="163" t="e">
        <f t="shared" si="60"/>
        <v>#REF!</v>
      </c>
      <c r="N56" s="163" t="e">
        <f>M56+N18</f>
        <v>#REF!</v>
      </c>
      <c r="O56" s="163" t="e">
        <f t="shared" si="60"/>
        <v>#REF!</v>
      </c>
      <c r="P56" s="163" t="e">
        <f t="shared" si="60"/>
        <v>#REF!</v>
      </c>
      <c r="Q56" s="163" t="e">
        <f t="shared" si="60"/>
        <v>#REF!</v>
      </c>
      <c r="R56" s="163" t="e">
        <f t="shared" si="60"/>
        <v>#REF!</v>
      </c>
      <c r="S56" s="163" t="e">
        <f t="shared" si="60"/>
        <v>#REF!</v>
      </c>
      <c r="T56" s="163" t="e">
        <f t="shared" si="60"/>
        <v>#REF!</v>
      </c>
      <c r="U56" s="163" t="e">
        <f t="shared" si="60"/>
        <v>#REF!</v>
      </c>
      <c r="V56" s="163" t="e">
        <f t="shared" si="60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  <c r="AN56" s="780"/>
    </row>
    <row r="57" spans="2:40" x14ac:dyDescent="0.3">
      <c r="B57" s="754"/>
      <c r="C57" s="18" t="s">
        <v>23</v>
      </c>
      <c r="D57" s="163">
        <f>D18+Agosto23!AF54</f>
        <v>74799</v>
      </c>
      <c r="E57" s="164">
        <f t="shared" si="59"/>
        <v>75378.3</v>
      </c>
      <c r="F57" s="164">
        <f t="shared" si="59"/>
        <v>75771.7</v>
      </c>
      <c r="G57" s="165">
        <v>75901</v>
      </c>
      <c r="H57" s="166">
        <v>76333</v>
      </c>
      <c r="I57" s="163">
        <f t="shared" si="60"/>
        <v>76866.899999999994</v>
      </c>
      <c r="J57" s="163">
        <f t="shared" si="60"/>
        <v>77391</v>
      </c>
      <c r="K57" s="163">
        <f t="shared" si="60"/>
        <v>77903.8</v>
      </c>
      <c r="L57" s="163">
        <f t="shared" si="60"/>
        <v>78341.600000000006</v>
      </c>
      <c r="M57" s="163">
        <f>L57+M19</f>
        <v>78386.400000000009</v>
      </c>
      <c r="N57" s="163" t="e">
        <f>M57+#REF!</f>
        <v>#REF!</v>
      </c>
      <c r="O57" s="163" t="e">
        <f t="shared" si="60"/>
        <v>#REF!</v>
      </c>
      <c r="P57" s="163" t="e">
        <f t="shared" si="60"/>
        <v>#REF!</v>
      </c>
      <c r="Q57" s="163" t="e">
        <f>P57+Q19</f>
        <v>#REF!</v>
      </c>
      <c r="R57" s="163" t="e">
        <f>Q57+#REF!</f>
        <v>#REF!</v>
      </c>
      <c r="S57" s="163" t="e">
        <f t="shared" si="60"/>
        <v>#REF!</v>
      </c>
      <c r="T57" s="163" t="e">
        <f t="shared" si="60"/>
        <v>#REF!</v>
      </c>
      <c r="U57" s="163" t="e">
        <f t="shared" si="60"/>
        <v>#REF!</v>
      </c>
      <c r="V57" s="163" t="e">
        <f t="shared" si="60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  <c r="AN57" s="784">
        <v>100</v>
      </c>
    </row>
    <row r="58" spans="2:40" x14ac:dyDescent="0.3">
      <c r="B58" s="754"/>
      <c r="C58" s="18" t="s">
        <v>24</v>
      </c>
      <c r="D58" s="163">
        <f>D19+Agosto23!AF55</f>
        <v>136396.70000000001</v>
      </c>
      <c r="E58" s="164">
        <f t="shared" si="59"/>
        <v>136864.20000000001</v>
      </c>
      <c r="F58" s="164">
        <f t="shared" si="59"/>
        <v>137169.70000000001</v>
      </c>
      <c r="G58" s="165">
        <v>137294</v>
      </c>
      <c r="H58" s="166">
        <v>137664</v>
      </c>
      <c r="I58" s="163">
        <f>H58+I19</f>
        <v>138088.9</v>
      </c>
      <c r="J58" s="163">
        <f t="shared" si="60"/>
        <v>138534.1</v>
      </c>
      <c r="K58" s="163">
        <f t="shared" si="60"/>
        <v>138954.5</v>
      </c>
      <c r="L58" s="163">
        <f>K58+L21</f>
        <v>139353.60000000001</v>
      </c>
      <c r="M58" s="163" t="e">
        <f>L58+#REF!</f>
        <v>#REF!</v>
      </c>
      <c r="N58" s="163" t="e">
        <f t="shared" si="60"/>
        <v>#REF!</v>
      </c>
      <c r="O58" s="163" t="e">
        <f t="shared" si="60"/>
        <v>#REF!</v>
      </c>
      <c r="P58" s="163" t="e">
        <f t="shared" si="60"/>
        <v>#REF!</v>
      </c>
      <c r="Q58" s="163" t="e">
        <f>P58+#REF!</f>
        <v>#REF!</v>
      </c>
      <c r="R58" s="163" t="e">
        <f t="shared" si="60"/>
        <v>#REF!</v>
      </c>
      <c r="S58" s="163" t="e">
        <f t="shared" si="60"/>
        <v>#REF!</v>
      </c>
      <c r="T58" s="163" t="e">
        <f t="shared" si="60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  <c r="AN58" s="785"/>
    </row>
    <row r="59" spans="2:40" x14ac:dyDescent="0.3">
      <c r="B59" s="754"/>
      <c r="C59" s="18" t="s">
        <v>25</v>
      </c>
      <c r="D59" s="163">
        <f>D20+Agosto23!AF56</f>
        <v>174829.8</v>
      </c>
      <c r="E59" s="164">
        <f t="shared" si="59"/>
        <v>175437.8</v>
      </c>
      <c r="F59" s="164">
        <f t="shared" si="59"/>
        <v>175855.59999999998</v>
      </c>
      <c r="G59" s="165">
        <v>176032</v>
      </c>
      <c r="H59" s="166">
        <v>176536</v>
      </c>
      <c r="I59" s="163">
        <f>H59+I20</f>
        <v>177048.3</v>
      </c>
      <c r="J59" s="163">
        <f t="shared" si="60"/>
        <v>177578.4</v>
      </c>
      <c r="K59" s="163">
        <f>J59+K17</f>
        <v>178095.6</v>
      </c>
      <c r="L59" s="163">
        <f t="shared" si="60"/>
        <v>178564.7</v>
      </c>
      <c r="M59" s="163">
        <f t="shared" si="60"/>
        <v>178625.7</v>
      </c>
      <c r="N59" s="163">
        <f>M59+N21</f>
        <v>178750.7</v>
      </c>
      <c r="O59" s="163" t="e">
        <f>N59+#REF!</f>
        <v>#REF!</v>
      </c>
      <c r="P59" s="163" t="e">
        <f t="shared" si="60"/>
        <v>#REF!</v>
      </c>
      <c r="Q59" s="163" t="e">
        <f t="shared" si="60"/>
        <v>#REF!</v>
      </c>
      <c r="R59" s="163" t="e">
        <f>Q59+R18</f>
        <v>#REF!</v>
      </c>
      <c r="S59" s="163" t="e">
        <f>R59+S21</f>
        <v>#REF!</v>
      </c>
      <c r="T59" s="163" t="e">
        <f t="shared" si="60"/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  <c r="AN59" s="786"/>
    </row>
    <row r="60" spans="2:40" x14ac:dyDescent="0.3">
      <c r="B60" s="754"/>
      <c r="C60" s="18" t="s">
        <v>26</v>
      </c>
      <c r="D60" s="163">
        <f>D21+Agosto23!AF57</f>
        <v>82599.5</v>
      </c>
      <c r="E60" s="164">
        <f t="shared" ref="E60:F66" si="61">D60+E21</f>
        <v>83146.3</v>
      </c>
      <c r="F60" s="164">
        <f t="shared" si="61"/>
        <v>83493.900000000009</v>
      </c>
      <c r="G60" s="165">
        <v>83628</v>
      </c>
      <c r="H60" s="166">
        <v>84081</v>
      </c>
      <c r="I60" s="163">
        <f t="shared" ref="I60:L66" si="62">H60+I21</f>
        <v>84532.2</v>
      </c>
      <c r="J60" s="163">
        <f t="shared" si="62"/>
        <v>85012.4</v>
      </c>
      <c r="K60" s="163">
        <f t="shared" si="62"/>
        <v>85503.599999999991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3">N60+O21</f>
        <v>#REF!</v>
      </c>
      <c r="P60" s="163" t="e">
        <f t="shared" si="63"/>
        <v>#REF!</v>
      </c>
      <c r="Q60" s="163" t="e">
        <f t="shared" si="63"/>
        <v>#REF!</v>
      </c>
      <c r="R60" s="163" t="e">
        <f t="shared" si="63"/>
        <v>#REF!</v>
      </c>
      <c r="S60" s="163" t="e">
        <f>R60+#REF!</f>
        <v>#REF!</v>
      </c>
      <c r="T60" s="163" t="e">
        <f t="shared" ref="T60:V66" si="64">S60+T21</f>
        <v>#REF!</v>
      </c>
      <c r="U60" s="163" t="e">
        <f t="shared" si="64"/>
        <v>#REF!</v>
      </c>
      <c r="V60" s="163" t="e">
        <f t="shared" si="64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  <c r="AN60" s="784">
        <v>100</v>
      </c>
    </row>
    <row r="61" spans="2:40" x14ac:dyDescent="0.3">
      <c r="B61" s="754"/>
      <c r="C61" s="18" t="s">
        <v>27</v>
      </c>
      <c r="D61" s="163">
        <f>D22+Agosto23!AF58</f>
        <v>61649</v>
      </c>
      <c r="E61" s="164">
        <f t="shared" si="61"/>
        <v>62239.3</v>
      </c>
      <c r="F61" s="164">
        <f t="shared" si="61"/>
        <v>62582.700000000004</v>
      </c>
      <c r="G61" s="165">
        <v>63058</v>
      </c>
      <c r="H61" s="166">
        <v>63281</v>
      </c>
      <c r="I61" s="163">
        <f t="shared" si="62"/>
        <v>63848.5</v>
      </c>
      <c r="J61" s="163">
        <f t="shared" si="62"/>
        <v>64329.5</v>
      </c>
      <c r="K61" s="163">
        <f t="shared" si="62"/>
        <v>64857.5</v>
      </c>
      <c r="L61" s="163">
        <f t="shared" si="62"/>
        <v>65346.2</v>
      </c>
      <c r="M61" s="163" t="e">
        <f>L61+#REF!</f>
        <v>#REF!</v>
      </c>
      <c r="N61" s="163" t="e">
        <f t="shared" si="63"/>
        <v>#REF!</v>
      </c>
      <c r="O61" s="163" t="e">
        <f t="shared" si="63"/>
        <v>#REF!</v>
      </c>
      <c r="P61" s="163" t="e">
        <f t="shared" si="63"/>
        <v>#REF!</v>
      </c>
      <c r="Q61" s="163" t="e">
        <f t="shared" si="63"/>
        <v>#REF!</v>
      </c>
      <c r="R61" s="163" t="e">
        <f t="shared" si="63"/>
        <v>#REF!</v>
      </c>
      <c r="S61" s="163" t="e">
        <f t="shared" si="63"/>
        <v>#REF!</v>
      </c>
      <c r="T61" s="163" t="e">
        <f t="shared" si="64"/>
        <v>#REF!</v>
      </c>
      <c r="U61" s="163" t="e">
        <f t="shared" si="64"/>
        <v>#REF!</v>
      </c>
      <c r="V61" s="163" t="e">
        <f t="shared" si="64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  <c r="AN61" s="785"/>
    </row>
    <row r="62" spans="2:40" x14ac:dyDescent="0.3">
      <c r="B62" s="754"/>
      <c r="C62" s="18" t="s">
        <v>28</v>
      </c>
      <c r="D62" s="163">
        <f>D23+Agosto23!AF59</f>
        <v>87772.97</v>
      </c>
      <c r="E62" s="164">
        <f t="shared" si="61"/>
        <v>88304.27</v>
      </c>
      <c r="F62" s="164">
        <f t="shared" si="61"/>
        <v>88601.77</v>
      </c>
      <c r="G62" s="165">
        <v>87693.64</v>
      </c>
      <c r="H62" s="166">
        <v>87903.16</v>
      </c>
      <c r="I62" s="163">
        <f t="shared" si="62"/>
        <v>88428.760000000009</v>
      </c>
      <c r="J62" s="163">
        <f t="shared" si="62"/>
        <v>88864.060000000012</v>
      </c>
      <c r="K62" s="163">
        <f>J62+K23</f>
        <v>89333.060000000012</v>
      </c>
      <c r="L62" s="163">
        <f t="shared" si="62"/>
        <v>89758.060000000012</v>
      </c>
      <c r="M62" s="163">
        <f>L62+M22</f>
        <v>89853.160000000018</v>
      </c>
      <c r="N62" s="163">
        <f t="shared" si="63"/>
        <v>89991.960000000021</v>
      </c>
      <c r="O62" s="163">
        <f>N62+O20</f>
        <v>90419.760000000024</v>
      </c>
      <c r="P62" s="163">
        <f t="shared" si="63"/>
        <v>90798.260000000024</v>
      </c>
      <c r="Q62" s="163">
        <f t="shared" si="63"/>
        <v>91254.060000000027</v>
      </c>
      <c r="R62" s="163">
        <f t="shared" si="63"/>
        <v>91746.560000000027</v>
      </c>
      <c r="S62" s="163">
        <f t="shared" si="63"/>
        <v>92225.060000000027</v>
      </c>
      <c r="T62" s="163">
        <f t="shared" si="64"/>
        <v>92717.36000000003</v>
      </c>
      <c r="U62" s="163">
        <f t="shared" si="64"/>
        <v>93173.960000000036</v>
      </c>
      <c r="V62" s="163">
        <f>U62+V23</f>
        <v>93271.160000000033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  <c r="AN62" s="786"/>
    </row>
    <row r="63" spans="2:40" x14ac:dyDescent="0.3">
      <c r="B63" s="754"/>
      <c r="C63" s="18" t="s">
        <v>29</v>
      </c>
      <c r="D63" s="163">
        <f>D24+Agosto23!AF60</f>
        <v>130453</v>
      </c>
      <c r="E63" s="164">
        <f t="shared" si="61"/>
        <v>132483</v>
      </c>
      <c r="F63" s="164">
        <f t="shared" si="61"/>
        <v>133672.9</v>
      </c>
      <c r="G63" s="165">
        <v>130195</v>
      </c>
      <c r="H63" s="166">
        <v>130451</v>
      </c>
      <c r="I63" s="163">
        <f t="shared" si="62"/>
        <v>132503</v>
      </c>
      <c r="J63" s="163">
        <f>I63+J29</f>
        <v>132974.79999999999</v>
      </c>
      <c r="K63" s="163">
        <f>J63+K24</f>
        <v>134839.69999999998</v>
      </c>
      <c r="L63" s="163">
        <f t="shared" si="62"/>
        <v>136520.79999999999</v>
      </c>
      <c r="M63" s="163">
        <f t="shared" si="63"/>
        <v>136850.79999999999</v>
      </c>
      <c r="N63" s="163">
        <f t="shared" si="63"/>
        <v>137402.9</v>
      </c>
      <c r="O63" s="163">
        <f t="shared" si="63"/>
        <v>138972.9</v>
      </c>
      <c r="P63" s="163">
        <f t="shared" si="63"/>
        <v>140489.19999999998</v>
      </c>
      <c r="Q63" s="163">
        <f t="shared" si="63"/>
        <v>142247.59999999998</v>
      </c>
      <c r="R63" s="163">
        <f t="shared" si="63"/>
        <v>144190.89999999997</v>
      </c>
      <c r="S63" s="163">
        <f t="shared" si="63"/>
        <v>146056.99999999997</v>
      </c>
      <c r="T63" s="163">
        <f t="shared" si="64"/>
        <v>147986.19999999998</v>
      </c>
      <c r="U63" s="163">
        <f t="shared" si="64"/>
        <v>149795.09999999998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  <c r="AN63" s="778">
        <v>29</v>
      </c>
    </row>
    <row r="64" spans="2:40" x14ac:dyDescent="0.3">
      <c r="B64" s="754"/>
      <c r="C64" s="18" t="s">
        <v>30</v>
      </c>
      <c r="D64" s="163">
        <f>D25+Agosto23!AF61</f>
        <v>14689.2</v>
      </c>
      <c r="E64" s="164">
        <f t="shared" si="61"/>
        <v>15284.5</v>
      </c>
      <c r="F64" s="164">
        <f t="shared" si="61"/>
        <v>15579.2</v>
      </c>
      <c r="G64" s="165">
        <v>18667</v>
      </c>
      <c r="H64" s="166">
        <v>19364</v>
      </c>
      <c r="I64" s="163">
        <f t="shared" si="62"/>
        <v>19891.8</v>
      </c>
      <c r="J64" s="163">
        <f t="shared" si="62"/>
        <v>20382.7</v>
      </c>
      <c r="K64" s="163">
        <f t="shared" si="62"/>
        <v>20905.7</v>
      </c>
      <c r="L64" s="163">
        <f t="shared" si="62"/>
        <v>21359.9</v>
      </c>
      <c r="M64" s="163">
        <f t="shared" si="63"/>
        <v>21464.9</v>
      </c>
      <c r="N64" s="163" t="e">
        <f>M64+#REF!</f>
        <v>#REF!</v>
      </c>
      <c r="O64" s="163" t="e">
        <f t="shared" si="63"/>
        <v>#REF!</v>
      </c>
      <c r="P64" s="163" t="e">
        <f t="shared" si="63"/>
        <v>#REF!</v>
      </c>
      <c r="Q64" s="163" t="e">
        <f t="shared" si="63"/>
        <v>#REF!</v>
      </c>
      <c r="R64" s="163" t="e">
        <f t="shared" si="63"/>
        <v>#REF!</v>
      </c>
      <c r="S64" s="163" t="e">
        <f t="shared" si="63"/>
        <v>#REF!</v>
      </c>
      <c r="T64" s="163" t="e">
        <f>S64+T26</f>
        <v>#REF!</v>
      </c>
      <c r="U64" s="163" t="e">
        <f t="shared" si="64"/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  <c r="AN64" s="779"/>
    </row>
    <row r="65" spans="2:40" x14ac:dyDescent="0.3">
      <c r="B65" s="754"/>
      <c r="C65" s="18" t="s">
        <v>111</v>
      </c>
      <c r="D65" s="163">
        <f>D26+Agosto23!AF62</f>
        <v>45362</v>
      </c>
      <c r="E65" s="164">
        <f t="shared" si="61"/>
        <v>45905.7</v>
      </c>
      <c r="F65" s="164">
        <f t="shared" si="61"/>
        <v>46226.899999999994</v>
      </c>
      <c r="G65" s="165">
        <v>46772</v>
      </c>
      <c r="H65" s="166">
        <v>47086</v>
      </c>
      <c r="I65" s="163">
        <f t="shared" si="62"/>
        <v>47642.3</v>
      </c>
      <c r="J65" s="163">
        <f t="shared" si="62"/>
        <v>48140.600000000006</v>
      </c>
      <c r="K65" s="163">
        <f t="shared" si="62"/>
        <v>48633.500000000007</v>
      </c>
      <c r="L65" s="163">
        <f t="shared" si="62"/>
        <v>49096.600000000006</v>
      </c>
      <c r="M65" s="163">
        <f t="shared" si="63"/>
        <v>49188.3</v>
      </c>
      <c r="N65" s="163">
        <f>M65+N25</f>
        <v>49504.600000000006</v>
      </c>
      <c r="O65" s="163">
        <f t="shared" si="63"/>
        <v>49923.400000000009</v>
      </c>
      <c r="P65" s="163">
        <f t="shared" si="63"/>
        <v>50253.000000000007</v>
      </c>
      <c r="Q65" s="163">
        <f t="shared" si="63"/>
        <v>50641.000000000007</v>
      </c>
      <c r="R65" s="163">
        <f t="shared" si="63"/>
        <v>51150.500000000007</v>
      </c>
      <c r="S65" s="163">
        <f t="shared" si="63"/>
        <v>51590.100000000006</v>
      </c>
      <c r="T65" s="163" t="e">
        <f>S65+#REF!</f>
        <v>#REF!</v>
      </c>
      <c r="U65" s="163" t="e">
        <f t="shared" si="64"/>
        <v>#REF!</v>
      </c>
      <c r="V65" s="163" t="e">
        <f t="shared" si="64"/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  <c r="AN65" s="780"/>
    </row>
    <row r="66" spans="2:40" ht="15" thickBot="1" x14ac:dyDescent="0.35">
      <c r="B66" s="754"/>
      <c r="C66" s="18" t="s">
        <v>32</v>
      </c>
      <c r="D66" s="163">
        <f>D27+Agosto23!AF63</f>
        <v>9724.4000000000015</v>
      </c>
      <c r="E66" s="164">
        <f t="shared" si="61"/>
        <v>10274.500000000002</v>
      </c>
      <c r="F66" s="164">
        <f t="shared" si="61"/>
        <v>10473.400000000001</v>
      </c>
      <c r="G66" s="165">
        <v>10779</v>
      </c>
      <c r="H66" s="166">
        <v>10940</v>
      </c>
      <c r="I66" s="163">
        <f t="shared" si="62"/>
        <v>11478.3</v>
      </c>
      <c r="J66" s="163">
        <f t="shared" si="62"/>
        <v>11974.9</v>
      </c>
      <c r="K66" s="163">
        <f t="shared" si="62"/>
        <v>12253.199999999999</v>
      </c>
      <c r="L66" s="163">
        <f t="shared" si="62"/>
        <v>12414.099999999999</v>
      </c>
      <c r="M66" s="163">
        <f t="shared" si="63"/>
        <v>12481.199999999999</v>
      </c>
      <c r="N66" s="163">
        <f t="shared" si="63"/>
        <v>12806.099999999999</v>
      </c>
      <c r="O66" s="163">
        <f t="shared" si="63"/>
        <v>12980.099999999999</v>
      </c>
      <c r="P66" s="163">
        <f t="shared" si="63"/>
        <v>13366.8</v>
      </c>
      <c r="Q66" s="163">
        <f t="shared" si="63"/>
        <v>13819.599999999999</v>
      </c>
      <c r="R66" s="163">
        <f t="shared" si="63"/>
        <v>14354.099999999999</v>
      </c>
      <c r="S66" s="163">
        <f t="shared" si="63"/>
        <v>14817.3</v>
      </c>
      <c r="T66" s="163">
        <f t="shared" si="64"/>
        <v>15336</v>
      </c>
      <c r="U66" s="163">
        <f t="shared" si="64"/>
        <v>15766.7</v>
      </c>
      <c r="V66" s="163">
        <f t="shared" si="64"/>
        <v>15841.7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  <c r="AN66" s="784">
        <v>100</v>
      </c>
    </row>
    <row r="67" spans="2:40" x14ac:dyDescent="0.3">
      <c r="B67" s="754"/>
      <c r="C67" s="18" t="s">
        <v>112</v>
      </c>
      <c r="D67" s="163">
        <f>D29+Agosto23!AF64</f>
        <v>19175.599999999999</v>
      </c>
      <c r="E67" s="164">
        <f>D67+E29</f>
        <v>19726.199999999997</v>
      </c>
      <c r="F67" s="164">
        <f>E67+F29</f>
        <v>19922.299999999996</v>
      </c>
      <c r="G67" s="165">
        <v>20520.400000000001</v>
      </c>
      <c r="H67" s="166">
        <v>20739</v>
      </c>
      <c r="I67" s="163">
        <f t="shared" ref="I67:V67" si="65">H67+I29</f>
        <v>21254.3</v>
      </c>
      <c r="J67" s="163">
        <f>I67+J30</f>
        <v>21653.5</v>
      </c>
      <c r="K67" s="163">
        <f t="shared" si="65"/>
        <v>21946.5</v>
      </c>
      <c r="L67" s="163">
        <f t="shared" si="65"/>
        <v>22104.400000000001</v>
      </c>
      <c r="M67" s="163">
        <f t="shared" si="65"/>
        <v>22169.100000000002</v>
      </c>
      <c r="N67" s="163">
        <f t="shared" si="65"/>
        <v>22476.7</v>
      </c>
      <c r="O67" s="163">
        <f t="shared" si="65"/>
        <v>22653.100000000002</v>
      </c>
      <c r="P67" s="163">
        <f t="shared" si="65"/>
        <v>23024.600000000002</v>
      </c>
      <c r="Q67" s="163">
        <f t="shared" si="65"/>
        <v>23454.300000000003</v>
      </c>
      <c r="R67" s="163">
        <f t="shared" si="65"/>
        <v>23974.600000000002</v>
      </c>
      <c r="S67" s="163">
        <f t="shared" si="65"/>
        <v>24455.100000000002</v>
      </c>
      <c r="T67" s="163">
        <f t="shared" si="65"/>
        <v>24936.000000000004</v>
      </c>
      <c r="U67" s="163">
        <f t="shared" si="65"/>
        <v>25373.700000000004</v>
      </c>
      <c r="V67" s="163">
        <f t="shared" si="65"/>
        <v>25443.000000000004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N67" s="785"/>
    </row>
    <row r="68" spans="2:40" x14ac:dyDescent="0.3">
      <c r="B68" s="756" t="s">
        <v>196</v>
      </c>
      <c r="C68" s="756"/>
      <c r="D68" s="756"/>
      <c r="E68" s="756"/>
      <c r="AN68" s="786"/>
    </row>
    <row r="69" spans="2:40" x14ac:dyDescent="0.3">
      <c r="B69" s="757" t="s">
        <v>132</v>
      </c>
      <c r="C69" s="757"/>
      <c r="D69" s="757"/>
      <c r="E69" s="757"/>
      <c r="AN69" s="784">
        <v>110</v>
      </c>
    </row>
    <row r="70" spans="2:40" x14ac:dyDescent="0.3">
      <c r="AN70" s="785"/>
    </row>
    <row r="71" spans="2:40" x14ac:dyDescent="0.3">
      <c r="AN71" s="786"/>
    </row>
    <row r="72" spans="2:40" x14ac:dyDescent="0.3">
      <c r="AN72" s="784">
        <v>110</v>
      </c>
    </row>
    <row r="73" spans="2:40" x14ac:dyDescent="0.3">
      <c r="AN73" s="785"/>
    </row>
    <row r="74" spans="2:40" x14ac:dyDescent="0.3">
      <c r="AN74" s="786"/>
    </row>
    <row r="75" spans="2:40" x14ac:dyDescent="0.3">
      <c r="AN75" s="778">
        <v>80</v>
      </c>
    </row>
    <row r="76" spans="2:40" x14ac:dyDescent="0.3">
      <c r="AN76" s="779"/>
    </row>
    <row r="77" spans="2:40" x14ac:dyDescent="0.3">
      <c r="AN77" s="780"/>
    </row>
    <row r="78" spans="2:40" x14ac:dyDescent="0.3">
      <c r="AN78" s="784">
        <v>100</v>
      </c>
    </row>
    <row r="79" spans="2:40" x14ac:dyDescent="0.3">
      <c r="AN79" s="785"/>
    </row>
    <row r="80" spans="2:40" x14ac:dyDescent="0.3">
      <c r="AN80" s="786"/>
    </row>
    <row r="81" spans="40:40" x14ac:dyDescent="0.3">
      <c r="AN81" s="784">
        <v>100</v>
      </c>
    </row>
    <row r="82" spans="40:40" x14ac:dyDescent="0.3">
      <c r="AN82" s="785"/>
    </row>
    <row r="83" spans="40:40" x14ac:dyDescent="0.3">
      <c r="AN83" s="786"/>
    </row>
    <row r="84" spans="40:40" x14ac:dyDescent="0.3">
      <c r="AN84" s="787">
        <v>110</v>
      </c>
    </row>
    <row r="85" spans="40:40" x14ac:dyDescent="0.3">
      <c r="AN85" s="788"/>
    </row>
    <row r="86" spans="40:40" x14ac:dyDescent="0.3">
      <c r="AN86" s="789"/>
    </row>
    <row r="87" spans="40:40" x14ac:dyDescent="0.3">
      <c r="AN87" s="784">
        <v>100</v>
      </c>
    </row>
    <row r="88" spans="40:40" x14ac:dyDescent="0.3">
      <c r="AN88" s="785"/>
    </row>
    <row r="89" spans="40:40" x14ac:dyDescent="0.3">
      <c r="AN89" s="786"/>
    </row>
    <row r="90" spans="40:40" x14ac:dyDescent="0.3">
      <c r="AN90" s="781">
        <v>395</v>
      </c>
    </row>
    <row r="91" spans="40:40" x14ac:dyDescent="0.3">
      <c r="AN91" s="782"/>
    </row>
    <row r="92" spans="40:40" x14ac:dyDescent="0.3">
      <c r="AN92" s="783"/>
    </row>
    <row r="93" spans="40:40" x14ac:dyDescent="0.3">
      <c r="AN93" s="784">
        <v>100</v>
      </c>
    </row>
    <row r="94" spans="40:40" x14ac:dyDescent="0.3">
      <c r="AN94" s="785"/>
    </row>
    <row r="95" spans="40:40" x14ac:dyDescent="0.3">
      <c r="AN95" s="786"/>
    </row>
    <row r="96" spans="40:40" x14ac:dyDescent="0.3">
      <c r="AN96" s="784">
        <v>100</v>
      </c>
    </row>
    <row r="97" spans="40:40" x14ac:dyDescent="0.3">
      <c r="AN97" s="785"/>
    </row>
    <row r="98" spans="40:40" x14ac:dyDescent="0.3">
      <c r="AN98" s="786"/>
    </row>
    <row r="99" spans="40:40" x14ac:dyDescent="0.3">
      <c r="AN99" s="784">
        <v>100</v>
      </c>
    </row>
    <row r="100" spans="40:40" x14ac:dyDescent="0.3">
      <c r="AN100" s="785"/>
    </row>
    <row r="101" spans="40:40" x14ac:dyDescent="0.3">
      <c r="AN101" s="786"/>
    </row>
    <row r="102" spans="40:40" x14ac:dyDescent="0.3">
      <c r="AN102" s="781">
        <v>120</v>
      </c>
    </row>
    <row r="103" spans="40:40" x14ac:dyDescent="0.3">
      <c r="AN103" s="782"/>
    </row>
    <row r="104" spans="40:40" x14ac:dyDescent="0.3">
      <c r="AN104" s="783"/>
    </row>
    <row r="105" spans="40:40" x14ac:dyDescent="0.3">
      <c r="AN105" s="781">
        <v>110</v>
      </c>
    </row>
    <row r="106" spans="40:40" x14ac:dyDescent="0.3">
      <c r="AN106" s="782"/>
    </row>
    <row r="107" spans="40:40" x14ac:dyDescent="0.3">
      <c r="AN107" s="783"/>
    </row>
    <row r="108" spans="40:40" x14ac:dyDescent="0.3">
      <c r="AN108" s="784">
        <v>100</v>
      </c>
    </row>
    <row r="109" spans="40:40" x14ac:dyDescent="0.3">
      <c r="AN109" s="785"/>
    </row>
    <row r="110" spans="40:40" x14ac:dyDescent="0.3">
      <c r="AN110" s="786"/>
    </row>
    <row r="111" spans="40:40" x14ac:dyDescent="0.3">
      <c r="AN111" s="790">
        <v>100</v>
      </c>
    </row>
    <row r="112" spans="40:40" x14ac:dyDescent="0.3">
      <c r="AN112" s="790"/>
    </row>
    <row r="113" spans="40:40" x14ac:dyDescent="0.3">
      <c r="AN113" s="790"/>
    </row>
  </sheetData>
  <mergeCells count="41">
    <mergeCell ref="AN111:AN113"/>
    <mergeCell ref="AN93:AN95"/>
    <mergeCell ref="AN96:AN98"/>
    <mergeCell ref="AN99:AN101"/>
    <mergeCell ref="AN102:AN104"/>
    <mergeCell ref="AN105:AN107"/>
    <mergeCell ref="AN108:AN110"/>
    <mergeCell ref="AN90:AN92"/>
    <mergeCell ref="AN63:AN65"/>
    <mergeCell ref="AN66:AN68"/>
    <mergeCell ref="B68:E68"/>
    <mergeCell ref="B69:E69"/>
    <mergeCell ref="AN69:AN71"/>
    <mergeCell ref="AN72:AN74"/>
    <mergeCell ref="AN75:AN77"/>
    <mergeCell ref="AN78:AN80"/>
    <mergeCell ref="AN81:AN83"/>
    <mergeCell ref="AN84:AN86"/>
    <mergeCell ref="AN87:AN89"/>
    <mergeCell ref="AN42:AN44"/>
    <mergeCell ref="B44:B51"/>
    <mergeCell ref="AN45:AN47"/>
    <mergeCell ref="AN48:AN50"/>
    <mergeCell ref="AN51:AN53"/>
    <mergeCell ref="B52:B55"/>
    <mergeCell ref="AN54:AN56"/>
    <mergeCell ref="B56:B67"/>
    <mergeCell ref="AN57:AN59"/>
    <mergeCell ref="AN60:AN62"/>
    <mergeCell ref="AN39:AN41"/>
    <mergeCell ref="B4:C4"/>
    <mergeCell ref="B5:B12"/>
    <mergeCell ref="B13:B16"/>
    <mergeCell ref="B17:B29"/>
    <mergeCell ref="B30:B31"/>
    <mergeCell ref="B32:C32"/>
    <mergeCell ref="AN33:AN35"/>
    <mergeCell ref="AE34:AG34"/>
    <mergeCell ref="AE35:AG35"/>
    <mergeCell ref="AE36:AG36"/>
    <mergeCell ref="AN36:AN38"/>
  </mergeCells>
  <conditionalFormatting sqref="AL5:BO31">
    <cfRule type="cellIs" dxfId="80" priority="2" operator="equal">
      <formula>"VAZIO"</formula>
    </cfRule>
  </conditionalFormatting>
  <conditionalFormatting sqref="AL5:BP31">
    <cfRule type="expression" dxfId="79" priority="6">
      <formula>AL5&gt;$BQ5</formula>
    </cfRule>
    <cfRule type="expression" dxfId="78" priority="7">
      <formula>AL5&lt;($BQ5-0.01)</formula>
    </cfRule>
  </conditionalFormatting>
  <conditionalFormatting sqref="AM8:BO8 BJ9 AM16:BO16 BG17 AM24:BO25">
    <cfRule type="cellIs" dxfId="77" priority="3" operator="equal">
      <formula>"""VAZIO"""</formula>
    </cfRule>
  </conditionalFormatting>
  <conditionalFormatting sqref="AP5:BO31">
    <cfRule type="expression" dxfId="76" priority="1">
      <formula>AP5=0</formula>
    </cfRule>
  </conditionalFormatting>
  <conditionalFormatting sqref="BT5:BT31">
    <cfRule type="cellIs" dxfId="75" priority="4" operator="greaterThan">
      <formula>0</formula>
    </cfRule>
    <cfRule type="cellIs" dxfId="74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62B95-7274-4A3E-B614-EFA9A660FAE2}">
  <sheetPr>
    <tabColor theme="7" tint="-0.499984740745262"/>
  </sheetPr>
  <dimension ref="B3:BW113"/>
  <sheetViews>
    <sheetView zoomScaleNormal="100" workbookViewId="0">
      <pane xSplit="3" ySplit="4" topLeftCell="AE5" activePane="bottomRight" state="frozen"/>
      <selection pane="topRight" activeCell="D1" sqref="D1"/>
      <selection pane="bottomLeft" activeCell="A5" sqref="A5"/>
      <selection pane="bottomRight" activeCell="AH5" sqref="AH5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3" width="16.44140625" customWidth="1"/>
    <col min="34" max="34" width="19.6640625" customWidth="1"/>
    <col min="35" max="35" width="15.6640625" customWidth="1"/>
    <col min="36" max="36" width="15.88671875" hidden="1" customWidth="1"/>
    <col min="37" max="66" width="11.88671875" customWidth="1"/>
    <col min="67" max="67" width="17.6640625" customWidth="1"/>
    <col min="68" max="68" width="14.33203125" customWidth="1"/>
    <col min="69" max="69" width="20.5546875" customWidth="1"/>
    <col min="70" max="70" width="17.5546875" customWidth="1"/>
    <col min="71" max="71" width="19" customWidth="1"/>
    <col min="72" max="72" width="18.88671875" customWidth="1"/>
    <col min="73" max="73" width="15.109375" customWidth="1"/>
  </cols>
  <sheetData>
    <row r="3" spans="2:75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</row>
    <row r="4" spans="2:75" ht="44.25" customHeight="1" thickBot="1" x14ac:dyDescent="0.35">
      <c r="B4" s="768" t="s">
        <v>133</v>
      </c>
      <c r="C4" s="769"/>
      <c r="D4" s="343" t="s">
        <v>844</v>
      </c>
      <c r="E4" s="344" t="s">
        <v>845</v>
      </c>
      <c r="F4" s="344" t="s">
        <v>846</v>
      </c>
      <c r="G4" s="344" t="s">
        <v>847</v>
      </c>
      <c r="H4" s="344" t="s">
        <v>848</v>
      </c>
      <c r="I4" s="344" t="s">
        <v>849</v>
      </c>
      <c r="J4" s="344" t="s">
        <v>850</v>
      </c>
      <c r="K4" s="344" t="s">
        <v>851</v>
      </c>
      <c r="L4" s="344" t="s">
        <v>852</v>
      </c>
      <c r="M4" s="344" t="s">
        <v>873</v>
      </c>
      <c r="N4" s="344" t="s">
        <v>853</v>
      </c>
      <c r="O4" s="344" t="s">
        <v>854</v>
      </c>
      <c r="P4" s="344" t="s">
        <v>855</v>
      </c>
      <c r="Q4" s="344" t="s">
        <v>856</v>
      </c>
      <c r="R4" s="344" t="s">
        <v>857</v>
      </c>
      <c r="S4" s="344" t="s">
        <v>858</v>
      </c>
      <c r="T4" s="344" t="s">
        <v>859</v>
      </c>
      <c r="U4" s="344" t="s">
        <v>860</v>
      </c>
      <c r="V4" s="344" t="s">
        <v>861</v>
      </c>
      <c r="W4" s="344" t="s">
        <v>862</v>
      </c>
      <c r="X4" s="344" t="s">
        <v>863</v>
      </c>
      <c r="Y4" s="344" t="s">
        <v>864</v>
      </c>
      <c r="Z4" s="344" t="s">
        <v>865</v>
      </c>
      <c r="AA4" s="344" t="s">
        <v>866</v>
      </c>
      <c r="AB4" s="344" t="s">
        <v>867</v>
      </c>
      <c r="AC4" s="344" t="s">
        <v>868</v>
      </c>
      <c r="AD4" s="344" t="s">
        <v>869</v>
      </c>
      <c r="AE4" s="344" t="s">
        <v>870</v>
      </c>
      <c r="AF4" s="344" t="s">
        <v>871</v>
      </c>
      <c r="AG4" s="345" t="s">
        <v>872</v>
      </c>
      <c r="AH4" s="346" t="s">
        <v>69</v>
      </c>
      <c r="AI4" s="346" t="s">
        <v>2</v>
      </c>
      <c r="AJ4" s="347" t="s">
        <v>70</v>
      </c>
      <c r="AK4" s="348" t="s">
        <v>228</v>
      </c>
      <c r="AL4" s="349" t="s">
        <v>229</v>
      </c>
      <c r="AM4" s="349" t="s">
        <v>230</v>
      </c>
      <c r="AN4" s="349" t="s">
        <v>231</v>
      </c>
      <c r="AO4" s="349" t="s">
        <v>232</v>
      </c>
      <c r="AP4" s="349" t="s">
        <v>233</v>
      </c>
      <c r="AQ4" s="349" t="s">
        <v>234</v>
      </c>
      <c r="AR4" s="349" t="s">
        <v>235</v>
      </c>
      <c r="AS4" s="349" t="s">
        <v>236</v>
      </c>
      <c r="AT4" s="349" t="s">
        <v>236</v>
      </c>
      <c r="AU4" s="349" t="s">
        <v>237</v>
      </c>
      <c r="AV4" s="349" t="s">
        <v>238</v>
      </c>
      <c r="AW4" s="349" t="s">
        <v>239</v>
      </c>
      <c r="AX4" s="349" t="s">
        <v>240</v>
      </c>
      <c r="AY4" s="349" t="s">
        <v>241</v>
      </c>
      <c r="AZ4" s="349" t="s">
        <v>242</v>
      </c>
      <c r="BA4" s="349" t="s">
        <v>243</v>
      </c>
      <c r="BB4" s="349" t="s">
        <v>244</v>
      </c>
      <c r="BC4" s="349" t="s">
        <v>245</v>
      </c>
      <c r="BD4" s="349" t="s">
        <v>246</v>
      </c>
      <c r="BE4" s="349" t="s">
        <v>247</v>
      </c>
      <c r="BF4" s="349" t="s">
        <v>248</v>
      </c>
      <c r="BG4" s="349" t="s">
        <v>249</v>
      </c>
      <c r="BH4" s="349" t="s">
        <v>250</v>
      </c>
      <c r="BI4" s="349" t="s">
        <v>251</v>
      </c>
      <c r="BJ4" s="349" t="s">
        <v>252</v>
      </c>
      <c r="BK4" s="349" t="s">
        <v>253</v>
      </c>
      <c r="BL4" s="349" t="s">
        <v>254</v>
      </c>
      <c r="BM4" s="349" t="s">
        <v>255</v>
      </c>
      <c r="BN4" s="349" t="s">
        <v>256</v>
      </c>
      <c r="BO4" s="350" t="s">
        <v>102</v>
      </c>
      <c r="BP4" s="343" t="s">
        <v>103</v>
      </c>
      <c r="BQ4" s="351" t="s">
        <v>104</v>
      </c>
      <c r="BR4" s="352" t="s">
        <v>105</v>
      </c>
      <c r="BS4" s="353" t="s">
        <v>106</v>
      </c>
      <c r="BU4" s="3"/>
      <c r="BV4" s="2"/>
      <c r="BW4" s="2"/>
    </row>
    <row r="5" spans="2:75" x14ac:dyDescent="0.3">
      <c r="B5" s="770" t="s">
        <v>6</v>
      </c>
      <c r="C5" s="328" t="s">
        <v>7</v>
      </c>
      <c r="D5" s="330">
        <v>64</v>
      </c>
      <c r="E5" s="103">
        <v>51.2</v>
      </c>
      <c r="F5" s="103">
        <v>37</v>
      </c>
      <c r="G5" s="103">
        <v>22.1</v>
      </c>
      <c r="H5" s="103">
        <v>23.2</v>
      </c>
      <c r="I5" s="331">
        <v>41</v>
      </c>
      <c r="J5" s="103">
        <v>44.4</v>
      </c>
      <c r="K5" s="103">
        <v>31.3</v>
      </c>
      <c r="L5" s="103">
        <v>28.7</v>
      </c>
      <c r="M5" s="103">
        <v>40.700000000000003</v>
      </c>
      <c r="N5" s="283">
        <v>54.3</v>
      </c>
      <c r="O5" s="103">
        <v>49</v>
      </c>
      <c r="P5" s="103">
        <v>13.2</v>
      </c>
      <c r="Q5" s="331">
        <v>21.3</v>
      </c>
      <c r="R5" s="103">
        <v>32.6</v>
      </c>
      <c r="S5" s="103">
        <v>9.5</v>
      </c>
      <c r="T5" s="103">
        <v>31.9</v>
      </c>
      <c r="U5" s="103">
        <v>50.5</v>
      </c>
      <c r="V5" s="103">
        <v>55</v>
      </c>
      <c r="W5" s="331">
        <v>56.6</v>
      </c>
      <c r="X5" s="103">
        <v>44.1</v>
      </c>
      <c r="Y5" s="103">
        <v>39</v>
      </c>
      <c r="Z5" s="104">
        <v>32.299999999999997</v>
      </c>
      <c r="AA5" s="332">
        <v>46.9</v>
      </c>
      <c r="AB5" s="333">
        <v>49.4</v>
      </c>
      <c r="AC5" s="629">
        <v>58.9</v>
      </c>
      <c r="AD5" s="104">
        <v>61.9</v>
      </c>
      <c r="AE5" s="104">
        <v>55.6</v>
      </c>
      <c r="AF5" s="104">
        <v>36.6</v>
      </c>
      <c r="AG5" s="104">
        <v>42.3</v>
      </c>
      <c r="AH5" s="335">
        <f t="shared" ref="AH5:AH31" si="0">SUM(D5:AG5)</f>
        <v>1224.4999999999998</v>
      </c>
      <c r="AI5" s="160">
        <v>12</v>
      </c>
      <c r="AJ5" s="336">
        <f t="shared" ref="AJ5:AJ11" si="1">F5/(AI5*432)</f>
        <v>7.1373456790123453E-3</v>
      </c>
      <c r="AK5" s="337">
        <f t="shared" ref="AK5:AT6" si="2">IF(OR(D5="",D5="Sem monitoramento"),"VAZIO",IFERROR(D5/($AI5*24),"-"))</f>
        <v>0.22222222222222221</v>
      </c>
      <c r="AL5" s="338">
        <f t="shared" si="2"/>
        <v>0.17777777777777778</v>
      </c>
      <c r="AM5" s="338">
        <f t="shared" si="2"/>
        <v>0.12847222222222221</v>
      </c>
      <c r="AN5" s="338">
        <f t="shared" si="2"/>
        <v>7.6736111111111116E-2</v>
      </c>
      <c r="AO5" s="338">
        <f t="shared" si="2"/>
        <v>8.0555555555555547E-2</v>
      </c>
      <c r="AP5" s="338">
        <f t="shared" si="2"/>
        <v>0.1423611111111111</v>
      </c>
      <c r="AQ5" s="338">
        <f t="shared" si="2"/>
        <v>0.15416666666666667</v>
      </c>
      <c r="AR5" s="338">
        <f t="shared" si="2"/>
        <v>0.10868055555555556</v>
      </c>
      <c r="AS5" s="338">
        <f t="shared" si="2"/>
        <v>9.9652777777777771E-2</v>
      </c>
      <c r="AT5" s="338">
        <f t="shared" si="2"/>
        <v>0.14131944444444444</v>
      </c>
      <c r="AU5" s="338">
        <f t="shared" ref="AU5:BD6" si="3">IF(OR(N5="",N5="Sem monitoramento"),"VAZIO",IFERROR(N5/($AI5*24),"-"))</f>
        <v>0.18854166666666666</v>
      </c>
      <c r="AV5" s="338">
        <f t="shared" si="3"/>
        <v>0.1701388888888889</v>
      </c>
      <c r="AW5" s="338">
        <f t="shared" si="3"/>
        <v>4.583333333333333E-2</v>
      </c>
      <c r="AX5" s="338">
        <f t="shared" si="3"/>
        <v>7.3958333333333334E-2</v>
      </c>
      <c r="AY5" s="338">
        <f t="shared" si="3"/>
        <v>0.11319444444444444</v>
      </c>
      <c r="AZ5" s="338">
        <f t="shared" si="3"/>
        <v>3.2986111111111112E-2</v>
      </c>
      <c r="BA5" s="338">
        <f t="shared" si="3"/>
        <v>0.11076388888888888</v>
      </c>
      <c r="BB5" s="338">
        <f t="shared" si="3"/>
        <v>0.17534722222222221</v>
      </c>
      <c r="BC5" s="338">
        <f t="shared" si="3"/>
        <v>0.19097222222222221</v>
      </c>
      <c r="BD5" s="338">
        <f t="shared" si="3"/>
        <v>0.19652777777777777</v>
      </c>
      <c r="BE5" s="338">
        <f t="shared" ref="BE5:BI6" si="4">IF(OR(X5="",X5="Sem monitoramento"),"VAZIO",IFERROR(X5/($AI5*24),"-"))</f>
        <v>0.15312500000000001</v>
      </c>
      <c r="BF5" s="338">
        <f t="shared" si="4"/>
        <v>0.13541666666666666</v>
      </c>
      <c r="BG5" s="338">
        <f t="shared" si="4"/>
        <v>0.11215277777777777</v>
      </c>
      <c r="BH5" s="338">
        <f t="shared" si="4"/>
        <v>0.16284722222222223</v>
      </c>
      <c r="BI5" s="338">
        <f t="shared" si="4"/>
        <v>0.17152777777777778</v>
      </c>
      <c r="BJ5" s="338" t="e">
        <f>IF(OR(#REF!="",#REF!="Sem monitoramento"),"VAZIO",IFERROR(#REF!/($AI5*24),"-"))</f>
        <v>#REF!</v>
      </c>
      <c r="BK5" s="338">
        <f t="shared" ref="BK5:BN6" si="5">IF(OR(AD5="",AD5="Sem monitoramento"),"VAZIO",IFERROR(AD5/($AI5*24),"-"))</f>
        <v>0.21493055555555554</v>
      </c>
      <c r="BL5" s="338">
        <f t="shared" si="5"/>
        <v>0.19305555555555556</v>
      </c>
      <c r="BM5" s="338">
        <f t="shared" si="5"/>
        <v>0.12708333333333333</v>
      </c>
      <c r="BN5" s="338">
        <f t="shared" si="5"/>
        <v>0.14687499999999998</v>
      </c>
      <c r="BO5" s="339">
        <f t="shared" ref="BO5:BO31" si="6">AH5/(AI5*(COUNTA(D5:AG5)*24))</f>
        <v>0.14172453703703702</v>
      </c>
      <c r="BP5" s="180">
        <f>'FCs estimados em PVsyst'!Y3</f>
        <v>0.1804398148148148</v>
      </c>
      <c r="BQ5" s="340">
        <f t="shared" ref="BQ5:BQ11" si="7">AI5*BP5</f>
        <v>2.1652777777777779</v>
      </c>
      <c r="BR5" s="341">
        <f t="shared" ref="BR5:BR11" si="8">AM5-BP5</f>
        <v>-5.1967592592592593E-2</v>
      </c>
      <c r="BS5" s="342">
        <f t="shared" ref="BS5:BS30" si="9">BO5-BP5</f>
        <v>-3.8715277777777779E-2</v>
      </c>
      <c r="BT5" s="15" t="s">
        <v>7</v>
      </c>
      <c r="BU5" s="75" t="s">
        <v>107</v>
      </c>
      <c r="BV5" s="7">
        <f>COUNTIF(BS5:BS29,"&gt;0")</f>
        <v>5</v>
      </c>
      <c r="BW5" s="2"/>
    </row>
    <row r="6" spans="2:75" x14ac:dyDescent="0.3">
      <c r="B6" s="771"/>
      <c r="C6" s="325" t="s">
        <v>8</v>
      </c>
      <c r="D6" s="62">
        <v>327.2</v>
      </c>
      <c r="E6" s="63">
        <v>270</v>
      </c>
      <c r="F6" s="63">
        <v>207.2</v>
      </c>
      <c r="G6" s="63">
        <v>132.5</v>
      </c>
      <c r="H6" s="63">
        <v>138.19999999999999</v>
      </c>
      <c r="I6" s="283">
        <v>221.6</v>
      </c>
      <c r="J6" s="63">
        <v>289.2</v>
      </c>
      <c r="K6" s="63">
        <v>188.3</v>
      </c>
      <c r="L6" s="283">
        <v>163.19999999999999</v>
      </c>
      <c r="M6" s="63">
        <v>263.2</v>
      </c>
      <c r="N6" s="283">
        <v>330.2</v>
      </c>
      <c r="O6" s="283">
        <v>310.89999999999998</v>
      </c>
      <c r="P6" s="283">
        <v>72.7</v>
      </c>
      <c r="Q6" s="283">
        <v>126.2</v>
      </c>
      <c r="R6" s="63">
        <v>182.4</v>
      </c>
      <c r="S6" s="63">
        <v>59.2</v>
      </c>
      <c r="T6" s="63">
        <v>197.5</v>
      </c>
      <c r="U6" s="63">
        <v>303.3</v>
      </c>
      <c r="V6" s="63">
        <v>361</v>
      </c>
      <c r="W6" s="283">
        <v>332</v>
      </c>
      <c r="X6" s="63">
        <v>229.8</v>
      </c>
      <c r="Y6" s="63">
        <v>235.3</v>
      </c>
      <c r="Z6" s="221">
        <v>177.1</v>
      </c>
      <c r="AA6" s="18">
        <v>50.1</v>
      </c>
      <c r="AB6" s="20">
        <v>51.6</v>
      </c>
      <c r="AC6" s="31">
        <v>66</v>
      </c>
      <c r="AD6" s="15">
        <v>68</v>
      </c>
      <c r="AE6" s="15">
        <v>61.1</v>
      </c>
      <c r="AF6" s="15">
        <v>41.5</v>
      </c>
      <c r="AG6" s="15">
        <v>212</v>
      </c>
      <c r="AH6" s="335">
        <f t="shared" si="0"/>
        <v>5668.5000000000018</v>
      </c>
      <c r="AI6" s="118">
        <v>67</v>
      </c>
      <c r="AJ6" s="121">
        <f t="shared" si="1"/>
        <v>7.1586511885019348E-3</v>
      </c>
      <c r="AK6" s="67">
        <f t="shared" si="2"/>
        <v>0.20348258706467662</v>
      </c>
      <c r="AL6" s="68">
        <f t="shared" si="2"/>
        <v>0.16791044776119404</v>
      </c>
      <c r="AM6" s="68">
        <f t="shared" si="2"/>
        <v>0.12885572139303481</v>
      </c>
      <c r="AN6" s="68">
        <f t="shared" si="2"/>
        <v>8.2400497512437818E-2</v>
      </c>
      <c r="AO6" s="68">
        <f t="shared" si="2"/>
        <v>8.5945273631840791E-2</v>
      </c>
      <c r="AP6" s="68">
        <f t="shared" si="2"/>
        <v>0.13781094527363183</v>
      </c>
      <c r="AQ6" s="68">
        <f t="shared" si="2"/>
        <v>0.17985074626865671</v>
      </c>
      <c r="AR6" s="68">
        <f t="shared" si="2"/>
        <v>0.11710199004975125</v>
      </c>
      <c r="AS6" s="68">
        <f t="shared" si="2"/>
        <v>0.10149253731343283</v>
      </c>
      <c r="AT6" s="68">
        <f t="shared" si="2"/>
        <v>0.16368159203980098</v>
      </c>
      <c r="AU6" s="68">
        <f t="shared" si="3"/>
        <v>0.20534825870646767</v>
      </c>
      <c r="AV6" s="68">
        <f t="shared" si="3"/>
        <v>0.19334577114427859</v>
      </c>
      <c r="AW6" s="68">
        <f t="shared" si="3"/>
        <v>4.5211442786069651E-2</v>
      </c>
      <c r="AX6" s="68">
        <f t="shared" si="3"/>
        <v>7.8482587064676618E-2</v>
      </c>
      <c r="AY6" s="68">
        <f t="shared" si="3"/>
        <v>0.11343283582089553</v>
      </c>
      <c r="AZ6" s="68">
        <f t="shared" si="3"/>
        <v>3.6815920398009953E-2</v>
      </c>
      <c r="BA6" s="68">
        <f t="shared" si="3"/>
        <v>0.12282338308457712</v>
      </c>
      <c r="BB6" s="68">
        <f t="shared" si="3"/>
        <v>0.18861940298507462</v>
      </c>
      <c r="BC6" s="68">
        <f t="shared" si="3"/>
        <v>0.22450248756218905</v>
      </c>
      <c r="BD6" s="68">
        <f t="shared" si="3"/>
        <v>0.20646766169154229</v>
      </c>
      <c r="BE6" s="68">
        <f t="shared" si="4"/>
        <v>0.14291044776119405</v>
      </c>
      <c r="BF6" s="68">
        <f t="shared" si="4"/>
        <v>0.14633084577114427</v>
      </c>
      <c r="BG6" s="68">
        <f t="shared" si="4"/>
        <v>0.11013681592039801</v>
      </c>
      <c r="BH6" s="68">
        <f t="shared" si="4"/>
        <v>3.115671641791045E-2</v>
      </c>
      <c r="BI6" s="68">
        <f t="shared" si="4"/>
        <v>3.2089552238805968E-2</v>
      </c>
      <c r="BJ6" s="68">
        <f>IF(OR(AC5="",AC5="Sem monitoramento"),"VAZIO",IFERROR(AC5/($AI6*24),"-"))</f>
        <v>3.6629353233830847E-2</v>
      </c>
      <c r="BK6" s="68">
        <f t="shared" si="5"/>
        <v>4.228855721393035E-2</v>
      </c>
      <c r="BL6" s="68">
        <f t="shared" si="5"/>
        <v>3.7997512437810944E-2</v>
      </c>
      <c r="BM6" s="68">
        <f t="shared" si="5"/>
        <v>2.5808457711442787E-2</v>
      </c>
      <c r="BN6" s="68">
        <f t="shared" si="5"/>
        <v>0.13184079601990051</v>
      </c>
      <c r="BO6" s="70">
        <f t="shared" si="6"/>
        <v>0.11750621890547268</v>
      </c>
      <c r="BP6" s="180">
        <f>'FCs estimados em PVsyst'!Y4</f>
        <v>0.1868988391376451</v>
      </c>
      <c r="BQ6" s="72">
        <f t="shared" si="7"/>
        <v>12.522222222222222</v>
      </c>
      <c r="BR6" s="73">
        <f t="shared" si="8"/>
        <v>-5.8043117744610295E-2</v>
      </c>
      <c r="BS6" s="74">
        <f t="shared" si="9"/>
        <v>-6.9392620232172422E-2</v>
      </c>
      <c r="BT6" s="15" t="s">
        <v>8</v>
      </c>
      <c r="BU6" s="77" t="s">
        <v>108</v>
      </c>
      <c r="BV6" s="78">
        <f>(COUNTA(BT5:BT29)-BV5-BV7)</f>
        <v>2</v>
      </c>
      <c r="BW6" s="2"/>
    </row>
    <row r="7" spans="2:75" x14ac:dyDescent="0.3">
      <c r="B7" s="771"/>
      <c r="C7" s="326" t="s">
        <v>9</v>
      </c>
      <c r="D7" s="62">
        <v>252.1</v>
      </c>
      <c r="E7" s="63">
        <v>219.7</v>
      </c>
      <c r="F7" s="63">
        <v>164.1</v>
      </c>
      <c r="G7" s="63">
        <v>97.9</v>
      </c>
      <c r="H7" s="63">
        <v>106.2</v>
      </c>
      <c r="I7" s="283">
        <v>188.7</v>
      </c>
      <c r="J7" s="63">
        <v>196.1</v>
      </c>
      <c r="K7" s="63">
        <v>138.30000000000001</v>
      </c>
      <c r="L7" s="283">
        <v>126.9</v>
      </c>
      <c r="M7" s="283">
        <v>175.3</v>
      </c>
      <c r="N7" s="283">
        <v>247.9</v>
      </c>
      <c r="O7" s="360">
        <v>195.9</v>
      </c>
      <c r="P7" s="283">
        <v>54.4</v>
      </c>
      <c r="Q7" s="283">
        <v>93.8</v>
      </c>
      <c r="R7" s="283">
        <v>147.9</v>
      </c>
      <c r="S7" s="283">
        <v>42.4</v>
      </c>
      <c r="T7" s="283">
        <v>148.6</v>
      </c>
      <c r="U7" s="63">
        <v>229.7</v>
      </c>
      <c r="V7" s="283">
        <v>233.4</v>
      </c>
      <c r="W7" s="283">
        <v>233.6</v>
      </c>
      <c r="X7" s="283">
        <v>193.5</v>
      </c>
      <c r="Y7" s="283">
        <v>165.7</v>
      </c>
      <c r="Z7" s="15">
        <v>140.80000000000001</v>
      </c>
      <c r="AA7" s="519">
        <v>202.2</v>
      </c>
      <c r="AB7" s="323">
        <v>225.3</v>
      </c>
      <c r="AC7" s="221">
        <v>257.89999999999998</v>
      </c>
      <c r="AD7" s="221">
        <v>268.60000000000002</v>
      </c>
      <c r="AE7" s="221">
        <v>240.5</v>
      </c>
      <c r="AF7" s="221">
        <v>160.5</v>
      </c>
      <c r="AG7" s="15">
        <v>185.5</v>
      </c>
      <c r="AH7" s="335">
        <f t="shared" si="0"/>
        <v>5333.4</v>
      </c>
      <c r="AI7" s="118">
        <v>49</v>
      </c>
      <c r="AJ7" s="121">
        <f t="shared" si="1"/>
        <v>7.7522675736961446E-3</v>
      </c>
      <c r="AK7" s="67">
        <f t="shared" ref="AK7:BG7" si="10">IF(OR(D7="",D7="Sem monitoramento"),"VAZIO",IFERROR(D7/($AI7*24),"-"))</f>
        <v>0.21437074829931974</v>
      </c>
      <c r="AL7" s="68">
        <f t="shared" si="10"/>
        <v>0.18681972789115645</v>
      </c>
      <c r="AM7" s="68">
        <f t="shared" si="10"/>
        <v>0.13954081632653062</v>
      </c>
      <c r="AN7" s="68">
        <f t="shared" si="10"/>
        <v>8.3248299319727895E-2</v>
      </c>
      <c r="AO7" s="68">
        <f t="shared" si="10"/>
        <v>9.0306122448979592E-2</v>
      </c>
      <c r="AP7" s="68">
        <f t="shared" si="10"/>
        <v>0.16045918367346937</v>
      </c>
      <c r="AQ7" s="68">
        <f t="shared" si="10"/>
        <v>0.16675170068027209</v>
      </c>
      <c r="AR7" s="68">
        <f t="shared" si="10"/>
        <v>0.11760204081632654</v>
      </c>
      <c r="AS7" s="68">
        <f t="shared" si="10"/>
        <v>0.10790816326530613</v>
      </c>
      <c r="AT7" s="68">
        <f t="shared" si="10"/>
        <v>0.14906462585034014</v>
      </c>
      <c r="AU7" s="68">
        <f t="shared" si="10"/>
        <v>0.21079931972789115</v>
      </c>
      <c r="AV7" s="68">
        <f t="shared" si="10"/>
        <v>0.16658163265306122</v>
      </c>
      <c r="AW7" s="68">
        <f t="shared" si="10"/>
        <v>4.6258503401360541E-2</v>
      </c>
      <c r="AX7" s="68">
        <f t="shared" si="10"/>
        <v>7.9761904761904756E-2</v>
      </c>
      <c r="AY7" s="68">
        <f t="shared" si="10"/>
        <v>0.12576530612244899</v>
      </c>
      <c r="AZ7" s="68">
        <f t="shared" si="10"/>
        <v>3.6054421768707483E-2</v>
      </c>
      <c r="BA7" s="68">
        <f t="shared" si="10"/>
        <v>0.12636054421768708</v>
      </c>
      <c r="BB7" s="68">
        <f t="shared" si="10"/>
        <v>0.19532312925170067</v>
      </c>
      <c r="BC7" s="68">
        <f t="shared" si="10"/>
        <v>0.19846938775510203</v>
      </c>
      <c r="BD7" s="68">
        <f t="shared" si="10"/>
        <v>0.19863945578231293</v>
      </c>
      <c r="BE7" s="68">
        <f t="shared" si="10"/>
        <v>0.16454081632653061</v>
      </c>
      <c r="BF7" s="68">
        <f t="shared" si="10"/>
        <v>0.14090136054421767</v>
      </c>
      <c r="BG7" s="68">
        <f t="shared" si="10"/>
        <v>0.1197278911564626</v>
      </c>
      <c r="BH7" s="68">
        <f>IF(OR(AA11="",AA11="Sem monitoramento"),"VAZIO",IFERROR(AA11/($AI7*24),"-"))</f>
        <v>0.28129251700680274</v>
      </c>
      <c r="BI7" s="68">
        <f>IF(OR(AB7="",AB7="Sem monitoramento"),"VAZIO",IFERROR(AB7/($AI7*24),"-"))</f>
        <v>0.19158163265306125</v>
      </c>
      <c r="BJ7" s="68" t="e">
        <f>IF(OR(#REF!="",#REF!="Sem monitoramento"),"VAZIO",IFERROR(#REF!/($AI7*24),"-"))</f>
        <v>#REF!</v>
      </c>
      <c r="BK7" s="68">
        <f t="shared" ref="BK7:BK19" si="11">IF(OR(AD7="",AD7="Sem monitoramento"),"VAZIO",IFERROR(AD7/($AI7*24),"-"))</f>
        <v>0.2284013605442177</v>
      </c>
      <c r="BL7" s="68">
        <f t="shared" ref="BL7:BL19" si="12">IF(OR(AE7="",AE7="Sem monitoramento"),"VAZIO",IFERROR(AE7/($AI7*24),"-"))</f>
        <v>0.20450680272108843</v>
      </c>
      <c r="BM7" s="68">
        <f t="shared" ref="BM7:BM19" si="13">IF(OR(AF7="",AF7="Sem monitoramento"),"VAZIO",IFERROR(AF7/($AI7*24),"-"))</f>
        <v>0.13647959183673469</v>
      </c>
      <c r="BN7" s="68" t="e">
        <f>IF(OR(#REF!="",#REF!="Sem monitoramento"),"VAZIO",IFERROR(#REF!/($AI7*24),"-"))</f>
        <v>#REF!</v>
      </c>
      <c r="BO7" s="70">
        <f t="shared" si="6"/>
        <v>0.15117346938775508</v>
      </c>
      <c r="BP7" s="180">
        <f>'FCs estimados em PVsyst'!Y5</f>
        <v>0.17987528344671203</v>
      </c>
      <c r="BQ7" s="72">
        <f t="shared" si="7"/>
        <v>8.81388888888889</v>
      </c>
      <c r="BR7" s="73">
        <f t="shared" si="8"/>
        <v>-4.0334467120181405E-2</v>
      </c>
      <c r="BS7" s="74">
        <f t="shared" si="9"/>
        <v>-2.8701814058956943E-2</v>
      </c>
      <c r="BT7" s="15" t="s">
        <v>9</v>
      </c>
      <c r="BU7" s="79" t="s">
        <v>109</v>
      </c>
      <c r="BV7" s="80">
        <f>COUNTIF(BS5:BS29,"&lt;-0,01")</f>
        <v>18</v>
      </c>
      <c r="BW7" s="2"/>
    </row>
    <row r="8" spans="2:75" x14ac:dyDescent="0.3">
      <c r="B8" s="771"/>
      <c r="C8" s="326" t="s">
        <v>10</v>
      </c>
      <c r="D8" s="62">
        <v>144.19999999999999</v>
      </c>
      <c r="E8" s="63">
        <v>123.9</v>
      </c>
      <c r="F8" s="63">
        <v>93.4</v>
      </c>
      <c r="G8" s="63">
        <v>55.6</v>
      </c>
      <c r="H8" s="63">
        <v>60.4</v>
      </c>
      <c r="I8" s="63">
        <v>104.8</v>
      </c>
      <c r="J8" s="63">
        <v>100</v>
      </c>
      <c r="K8" s="63">
        <v>78</v>
      </c>
      <c r="L8" s="283">
        <v>71.7</v>
      </c>
      <c r="M8" s="283">
        <v>98.9</v>
      </c>
      <c r="N8" s="283">
        <v>140.80000000000001</v>
      </c>
      <c r="O8" s="63">
        <v>110.1</v>
      </c>
      <c r="P8" s="63">
        <v>31.9</v>
      </c>
      <c r="Q8" s="283">
        <v>52.9</v>
      </c>
      <c r="R8" s="63">
        <v>83.5</v>
      </c>
      <c r="S8" s="63">
        <v>25.8</v>
      </c>
      <c r="T8" s="63">
        <v>84.5</v>
      </c>
      <c r="U8" s="63">
        <v>129.80000000000001</v>
      </c>
      <c r="V8" s="63">
        <v>126.9</v>
      </c>
      <c r="W8" s="283">
        <v>123.3</v>
      </c>
      <c r="X8" s="283">
        <v>104.8</v>
      </c>
      <c r="Y8" s="283">
        <v>90.3</v>
      </c>
      <c r="Z8" s="15">
        <v>79.8</v>
      </c>
      <c r="AA8" s="18">
        <v>112.4</v>
      </c>
      <c r="AB8" s="323">
        <v>124.2</v>
      </c>
      <c r="AC8" s="221">
        <v>145.5</v>
      </c>
      <c r="AD8" s="221">
        <v>149</v>
      </c>
      <c r="AE8" s="221">
        <v>133.1</v>
      </c>
      <c r="AF8" s="221">
        <v>90.4</v>
      </c>
      <c r="AG8" s="15">
        <v>105.3</v>
      </c>
      <c r="AH8" s="335">
        <f t="shared" si="0"/>
        <v>2975.2000000000003</v>
      </c>
      <c r="AI8" s="118">
        <v>33</v>
      </c>
      <c r="AJ8" s="121">
        <f t="shared" si="1"/>
        <v>6.5516273849607187E-3</v>
      </c>
      <c r="AK8" s="67">
        <f>IF(OR(D8="",D8="Sem monitoramento"),"VAZIO",IFERROR(D8/($AI8*24),"-"))</f>
        <v>0.18207070707070705</v>
      </c>
      <c r="AL8" s="68">
        <f>IF(OR(E8="",E8="Sem monitoramento"),"VAZIO",IFERROR(E8/($AI8*24),"-"))</f>
        <v>0.15643939393939393</v>
      </c>
      <c r="AM8" s="68">
        <f>IF(OR(F8="",F8="Sem monitoramento"),"VAZIO",IFERROR(F8/($AI8*24),"-"))</f>
        <v>0.11792929292929294</v>
      </c>
      <c r="AN8" s="68">
        <f>IF(OR(G8="",G8="Sem monitoramento"),"VAZIO",IFERROR(G8/($AI8*24),"-"))</f>
        <v>7.020202020202021E-2</v>
      </c>
      <c r="AO8" s="68">
        <f>IF(OR(H8="",H8="Sem monitoramento"),"VAZIO",IFERROR(H8/($AI8*24),"-"))</f>
        <v>7.6262626262626254E-2</v>
      </c>
      <c r="AP8" s="68" t="e">
        <f>IF(OR(#REF!="",#REF!="Sem monitoramento"),"VAZIO",IFERROR(#REF!/($AI8*24),"-"))</f>
        <v>#REF!</v>
      </c>
      <c r="AQ8" s="68">
        <f t="shared" ref="AQ8:BH8" si="14">IF(OR(J8="",J8="Sem monitoramento"),"VAZIO",IFERROR(J8/($AI8*24),"-"))</f>
        <v>0.12626262626262627</v>
      </c>
      <c r="AR8" s="68">
        <f t="shared" si="14"/>
        <v>9.8484848484848481E-2</v>
      </c>
      <c r="AS8" s="68">
        <f t="shared" si="14"/>
        <v>9.053030303030303E-2</v>
      </c>
      <c r="AT8" s="68">
        <f t="shared" si="14"/>
        <v>0.12487373737373739</v>
      </c>
      <c r="AU8" s="68">
        <f t="shared" si="14"/>
        <v>0.17777777777777778</v>
      </c>
      <c r="AV8" s="68">
        <f t="shared" si="14"/>
        <v>0.13901515151515151</v>
      </c>
      <c r="AW8" s="68">
        <f t="shared" si="14"/>
        <v>4.0277777777777773E-2</v>
      </c>
      <c r="AX8" s="68">
        <f t="shared" si="14"/>
        <v>6.6792929292929293E-2</v>
      </c>
      <c r="AY8" s="68">
        <f t="shared" si="14"/>
        <v>0.10542929292929293</v>
      </c>
      <c r="AZ8" s="68">
        <f t="shared" si="14"/>
        <v>3.2575757575757577E-2</v>
      </c>
      <c r="BA8" s="68">
        <f t="shared" si="14"/>
        <v>0.10669191919191919</v>
      </c>
      <c r="BB8" s="68">
        <f t="shared" si="14"/>
        <v>0.16388888888888889</v>
      </c>
      <c r="BC8" s="68">
        <f t="shared" si="14"/>
        <v>0.16022727272727275</v>
      </c>
      <c r="BD8" s="68">
        <f t="shared" si="14"/>
        <v>0.15568181818181817</v>
      </c>
      <c r="BE8" s="68">
        <f t="shared" si="14"/>
        <v>0.13232323232323231</v>
      </c>
      <c r="BF8" s="68">
        <f t="shared" si="14"/>
        <v>0.11401515151515151</v>
      </c>
      <c r="BG8" s="68">
        <f t="shared" si="14"/>
        <v>0.10075757575757575</v>
      </c>
      <c r="BH8" s="68">
        <f t="shared" si="14"/>
        <v>0.14191919191919192</v>
      </c>
      <c r="BI8" s="68">
        <f>IF(OR(AB8="",AB8="Sem monitoramento"),"VAZIO",IFERROR(AB8/($AI8*24),"-"))</f>
        <v>0.15681818181818183</v>
      </c>
      <c r="BJ8" s="68" t="e">
        <f>IF(OR(#REF!="",#REF!="Sem monitoramento"),"VAZIO",IFERROR(#REF!/($AI8*24),"-"))</f>
        <v>#REF!</v>
      </c>
      <c r="BK8" s="68">
        <f t="shared" si="11"/>
        <v>0.18813131313131312</v>
      </c>
      <c r="BL8" s="68">
        <f t="shared" si="12"/>
        <v>0.16805555555555554</v>
      </c>
      <c r="BM8" s="68">
        <f t="shared" si="13"/>
        <v>0.11414141414141415</v>
      </c>
      <c r="BN8" s="68" t="e">
        <f>IF(OR(#REF!="",#REF!="Sem monitoramento"),"VAZIO",IFERROR(#REF!/($AI8*24),"-"))</f>
        <v>#REF!</v>
      </c>
      <c r="BO8" s="70">
        <f t="shared" si="6"/>
        <v>0.12521885521885523</v>
      </c>
      <c r="BP8" s="180">
        <f>'FCs estimados em PVsyst'!Y6</f>
        <v>0.18501683501683502</v>
      </c>
      <c r="BQ8" s="72">
        <f t="shared" si="7"/>
        <v>6.1055555555555561</v>
      </c>
      <c r="BR8" s="73">
        <f t="shared" si="8"/>
        <v>-6.7087542087542085E-2</v>
      </c>
      <c r="BS8" s="74">
        <f t="shared" si="9"/>
        <v>-5.9797979797979794E-2</v>
      </c>
      <c r="BT8" s="15" t="s">
        <v>10</v>
      </c>
      <c r="BU8" s="3"/>
      <c r="BV8" s="2"/>
      <c r="BW8" s="2"/>
    </row>
    <row r="9" spans="2:75" x14ac:dyDescent="0.3">
      <c r="B9" s="771"/>
      <c r="C9" s="326" t="s">
        <v>11</v>
      </c>
      <c r="D9" s="572">
        <v>52.7</v>
      </c>
      <c r="E9" s="63">
        <v>44</v>
      </c>
      <c r="F9" s="63">
        <v>35.5</v>
      </c>
      <c r="G9" s="82">
        <v>25</v>
      </c>
      <c r="H9" s="82">
        <v>21.1</v>
      </c>
      <c r="I9" s="308">
        <v>32.299999999999997</v>
      </c>
      <c r="J9" s="316">
        <v>54</v>
      </c>
      <c r="K9" s="283">
        <v>31.9</v>
      </c>
      <c r="L9" s="63">
        <v>25.6</v>
      </c>
      <c r="M9" s="63">
        <v>42.4</v>
      </c>
      <c r="N9" s="63">
        <v>46.8</v>
      </c>
      <c r="O9" s="63">
        <v>46</v>
      </c>
      <c r="P9" s="316">
        <v>12.7</v>
      </c>
      <c r="Q9" s="283">
        <v>21.3</v>
      </c>
      <c r="R9" s="308">
        <v>34</v>
      </c>
      <c r="S9" s="63">
        <v>11</v>
      </c>
      <c r="T9" s="63">
        <v>31.7</v>
      </c>
      <c r="U9" s="316">
        <v>43.2</v>
      </c>
      <c r="V9" s="63">
        <v>51.8</v>
      </c>
      <c r="W9" s="283">
        <v>53.7</v>
      </c>
      <c r="X9" s="63">
        <v>34.4</v>
      </c>
      <c r="Y9" s="63">
        <v>38.700000000000003</v>
      </c>
      <c r="Z9" s="148">
        <v>30.6</v>
      </c>
      <c r="AA9" s="18">
        <v>43.7</v>
      </c>
      <c r="AB9" s="323">
        <v>49.8</v>
      </c>
      <c r="AC9" s="489">
        <v>52.5</v>
      </c>
      <c r="AD9" s="15">
        <v>56.3</v>
      </c>
      <c r="AE9" s="15">
        <v>52.7</v>
      </c>
      <c r="AF9" s="15">
        <v>36.5</v>
      </c>
      <c r="AG9" s="15">
        <v>38.5</v>
      </c>
      <c r="AH9" s="335">
        <f t="shared" si="0"/>
        <v>1150.4000000000001</v>
      </c>
      <c r="AI9" s="118">
        <v>12</v>
      </c>
      <c r="AJ9" s="121">
        <f t="shared" si="1"/>
        <v>6.8479938271604939E-3</v>
      </c>
      <c r="AK9" s="67">
        <f>IF(OR(D10="",D10="Sem monitoramento"),"VAZIO",IFERROR(D10/($AI9*24),"-"))</f>
        <v>0.36076388888888888</v>
      </c>
      <c r="AL9" s="68">
        <f>IF(OR(E9="",E9="Sem monitoramento"),"VAZIO",IFERROR(E9/($AI9*24),"-"))</f>
        <v>0.15277777777777779</v>
      </c>
      <c r="AM9" s="68">
        <f>IF(OR(F9="",F9="Sem monitoramento"),"VAZIO",IFERROR(F9/($AI9*24),"-"))</f>
        <v>0.1232638888888889</v>
      </c>
      <c r="AN9" s="68">
        <f>IF(OR(G9="",G9="Sem monitoramento"),"VAZIO",IFERROR(G9/($AI9*24),"-"))</f>
        <v>8.6805555555555552E-2</v>
      </c>
      <c r="AO9" s="68">
        <f>IF(OR(H9="",H9="Sem monitoramento"),"VAZIO",IFERROR(H9/($AI9*24),"-"))</f>
        <v>7.3263888888888892E-2</v>
      </c>
      <c r="AP9" s="68">
        <f>IF(OR(I9="",I9="Sem monitoramento"),"VAZIO",IFERROR(I9/($AI9*24),"-"))</f>
        <v>0.11215277777777777</v>
      </c>
      <c r="AQ9" s="68">
        <f>IF(OR(J10="",J10="Sem monitoramento"),"VAZIO",IFERROR(J10/($AI9*24),"-"))</f>
        <v>0.37395833333333334</v>
      </c>
      <c r="AR9" s="68">
        <f t="shared" ref="AR9:AV16" si="15">IF(OR(K9="",K9="Sem monitoramento"),"VAZIO",IFERROR(K9/($AI9*24),"-"))</f>
        <v>0.11076388888888888</v>
      </c>
      <c r="AS9" s="68">
        <f t="shared" si="15"/>
        <v>8.8888888888888892E-2</v>
      </c>
      <c r="AT9" s="68">
        <f t="shared" si="15"/>
        <v>0.14722222222222223</v>
      </c>
      <c r="AU9" s="68">
        <f t="shared" si="15"/>
        <v>0.16249999999999998</v>
      </c>
      <c r="AV9" s="68">
        <f t="shared" si="15"/>
        <v>0.15972222222222221</v>
      </c>
      <c r="AW9" s="68">
        <f>IF(OR(P10="",P10="Sem monitoramento"),"VAZIO",IFERROR(P10/($AI9*24),"-"))</f>
        <v>9.4097222222222221E-2</v>
      </c>
      <c r="AX9" s="68">
        <f t="shared" ref="AX9:BA15" si="16">IF(OR(Q9="",Q9="Sem monitoramento"),"VAZIO",IFERROR(Q9/($AI9*24),"-"))</f>
        <v>7.3958333333333334E-2</v>
      </c>
      <c r="AY9" s="68">
        <f t="shared" si="16"/>
        <v>0.11805555555555555</v>
      </c>
      <c r="AZ9" s="68">
        <f t="shared" si="16"/>
        <v>3.8194444444444448E-2</v>
      </c>
      <c r="BA9" s="68">
        <f t="shared" si="16"/>
        <v>0.11006944444444444</v>
      </c>
      <c r="BB9" s="68">
        <f>IF(OR(U7="",U7="Sem monitoramento"),"VAZIO",IFERROR(U7/($AI9*24),"-"))</f>
        <v>0.79756944444444444</v>
      </c>
      <c r="BC9" s="68">
        <f t="shared" ref="BC9:BF10" si="17">IF(OR(V9="",V9="Sem monitoramento"),"VAZIO",IFERROR(V9/($AI9*24),"-"))</f>
        <v>0.17986111111111111</v>
      </c>
      <c r="BD9" s="68">
        <f t="shared" si="17"/>
        <v>0.18645833333333334</v>
      </c>
      <c r="BE9" s="68">
        <f t="shared" si="17"/>
        <v>0.11944444444444444</v>
      </c>
      <c r="BF9" s="68">
        <f t="shared" si="17"/>
        <v>0.13437500000000002</v>
      </c>
      <c r="BG9" s="68">
        <f>IF(OR(Z10="",Z10="Sem monitoramento"),"VAZIO",IFERROR(Z10/($AI9*24),"-"))</f>
        <v>0.21944444444444444</v>
      </c>
      <c r="BH9" s="68">
        <f>IF(OR(AA9="",AA9="Sem monitoramento"),"VAZIO",IFERROR(AA9/($AI9*24),"-"))</f>
        <v>0.15173611111111113</v>
      </c>
      <c r="BI9" s="68">
        <f>IF(OR(AB9="",AB9="Sem monitoramento"),"VAZIO",IFERROR(AB9/($AI9*24),"-"))</f>
        <v>0.17291666666666666</v>
      </c>
      <c r="BJ9" s="68">
        <f>IF(OR(AC7="",AC7="Sem monitoramento"),"VAZIO",IFERROR(AC7/($AI9*24),"-"))</f>
        <v>0.89548611111111098</v>
      </c>
      <c r="BK9" s="68">
        <f t="shared" si="11"/>
        <v>0.19548611111111111</v>
      </c>
      <c r="BL9" s="68">
        <f t="shared" si="12"/>
        <v>0.18298611111111113</v>
      </c>
      <c r="BM9" s="68">
        <f t="shared" si="13"/>
        <v>0.1267361111111111</v>
      </c>
      <c r="BN9" s="68">
        <f>IF(OR(AG7="",AG7="Sem monitoramento"),"VAZIO",IFERROR(AG7/($AI9*24),"-"))</f>
        <v>0.64409722222222221</v>
      </c>
      <c r="BO9" s="70">
        <f t="shared" si="6"/>
        <v>0.13314814814814815</v>
      </c>
      <c r="BP9" s="180">
        <f>'FCs estimados em PVsyst'!Y7</f>
        <v>0.18333333333333332</v>
      </c>
      <c r="BQ9" s="72">
        <f t="shared" si="7"/>
        <v>2.1999999999999997</v>
      </c>
      <c r="BR9" s="73">
        <f t="shared" si="8"/>
        <v>-6.0069444444444425E-2</v>
      </c>
      <c r="BS9" s="74">
        <f t="shared" si="9"/>
        <v>-5.0185185185185166E-2</v>
      </c>
      <c r="BT9" s="15" t="s">
        <v>11</v>
      </c>
      <c r="BU9" s="3"/>
      <c r="BV9" s="2"/>
      <c r="BW9" s="2"/>
    </row>
    <row r="10" spans="2:75" x14ac:dyDescent="0.3">
      <c r="B10" s="771"/>
      <c r="C10" s="326" t="s">
        <v>12</v>
      </c>
      <c r="D10" s="223">
        <v>103.9</v>
      </c>
      <c r="E10" s="63">
        <v>84.2</v>
      </c>
      <c r="F10" s="63">
        <v>69.8</v>
      </c>
      <c r="G10" s="82">
        <v>49.6</v>
      </c>
      <c r="H10" s="82">
        <v>42.4</v>
      </c>
      <c r="I10" s="519">
        <v>63.6</v>
      </c>
      <c r="J10" s="63">
        <v>107.7</v>
      </c>
      <c r="K10" s="283">
        <v>65.400000000000006</v>
      </c>
      <c r="L10" s="63">
        <v>59.4</v>
      </c>
      <c r="M10" s="63">
        <v>90</v>
      </c>
      <c r="N10" s="63">
        <v>93.7</v>
      </c>
      <c r="O10" s="63">
        <v>95.8</v>
      </c>
      <c r="P10" s="63">
        <v>27.1</v>
      </c>
      <c r="Q10" s="283">
        <v>45</v>
      </c>
      <c r="R10" s="308">
        <v>69.900000000000006</v>
      </c>
      <c r="S10" s="63">
        <v>24</v>
      </c>
      <c r="T10" s="63">
        <v>64.2</v>
      </c>
      <c r="U10" s="63">
        <v>88.3</v>
      </c>
      <c r="V10" s="63">
        <v>109.1</v>
      </c>
      <c r="W10" s="283">
        <v>112.5</v>
      </c>
      <c r="X10" s="63">
        <v>69.5</v>
      </c>
      <c r="Y10" s="63">
        <v>81.8</v>
      </c>
      <c r="Z10" s="15">
        <v>63.2</v>
      </c>
      <c r="AA10" s="18">
        <v>87.8</v>
      </c>
      <c r="AB10" s="323">
        <v>98.6</v>
      </c>
      <c r="AC10" s="489">
        <v>109</v>
      </c>
      <c r="AD10" s="15">
        <v>121.3</v>
      </c>
      <c r="AE10" s="15">
        <v>112.5</v>
      </c>
      <c r="AF10" s="15">
        <v>77.7</v>
      </c>
      <c r="AG10" s="15">
        <v>79.8</v>
      </c>
      <c r="AH10" s="335">
        <f t="shared" si="0"/>
        <v>2366.7999999999997</v>
      </c>
      <c r="AI10" s="118">
        <v>25</v>
      </c>
      <c r="AJ10" s="121">
        <f t="shared" si="1"/>
        <v>6.4629629629629629E-3</v>
      </c>
      <c r="AK10" s="67" t="e">
        <f>IF(OR(#REF!="",#REF!="Sem monitoramento"),"VAZIO",IFERROR(#REF!/($AI10*24),"-"))</f>
        <v>#REF!</v>
      </c>
      <c r="AL10" s="68">
        <f t="shared" ref="AL10:AL25" si="18">IF(OR(E10="",E10="Sem monitoramento"),"VAZIO",IFERROR(E10/($AI10*24),"-"))</f>
        <v>0.14033333333333334</v>
      </c>
      <c r="AM10" s="68">
        <f t="shared" ref="AM10:AM25" si="19">IF(OR(F10="",F10="Sem monitoramento"),"VAZIO",IFERROR(F10/($AI10*24),"-"))</f>
        <v>0.11633333333333333</v>
      </c>
      <c r="AN10" s="68">
        <f t="shared" ref="AN10:AN25" si="20">IF(OR(G10="",G10="Sem monitoramento"),"VAZIO",IFERROR(G10/($AI10*24),"-"))</f>
        <v>8.2666666666666666E-2</v>
      </c>
      <c r="AO10" s="68">
        <f t="shared" ref="AO10:AO25" si="21">IF(OR(H10="",H10="Sem monitoramento"),"VAZIO",IFERROR(H10/($AI10*24),"-"))</f>
        <v>7.0666666666666669E-2</v>
      </c>
      <c r="AP10" s="68">
        <f>IF(OR(I8="",I8="Sem monitoramento"),"VAZIO",IFERROR(I8/($AI10*24),"-"))</f>
        <v>0.17466666666666666</v>
      </c>
      <c r="AQ10" s="68" t="e">
        <f>IF(OR(#REF!="",#REF!="Sem monitoramento"),"VAZIO",IFERROR(#REF!/($AI10*24),"-"))</f>
        <v>#REF!</v>
      </c>
      <c r="AR10" s="68">
        <f t="shared" si="15"/>
        <v>0.10900000000000001</v>
      </c>
      <c r="AS10" s="68">
        <f t="shared" si="15"/>
        <v>9.8999999999999991E-2</v>
      </c>
      <c r="AT10" s="68">
        <f t="shared" si="15"/>
        <v>0.15</v>
      </c>
      <c r="AU10" s="68">
        <f t="shared" si="15"/>
        <v>0.15616666666666668</v>
      </c>
      <c r="AV10" s="68">
        <f t="shared" si="15"/>
        <v>0.15966666666666665</v>
      </c>
      <c r="AW10" s="68" t="e">
        <f>IF(OR(#REF!="",#REF!="Sem monitoramento"),"VAZIO",IFERROR(#REF!/($AI10*24),"-"))</f>
        <v>#REF!</v>
      </c>
      <c r="AX10" s="68">
        <f t="shared" si="16"/>
        <v>7.4999999999999997E-2</v>
      </c>
      <c r="AY10" s="68">
        <f t="shared" si="16"/>
        <v>0.11650000000000001</v>
      </c>
      <c r="AZ10" s="68">
        <f t="shared" si="16"/>
        <v>0.04</v>
      </c>
      <c r="BA10" s="68">
        <f t="shared" si="16"/>
        <v>0.107</v>
      </c>
      <c r="BB10" s="68">
        <f>IF(OR(U8="",U8="Sem monitoramento"),"VAZIO",IFERROR(U8/($AI10*24),"-"))</f>
        <v>0.21633333333333335</v>
      </c>
      <c r="BC10" s="68">
        <f t="shared" si="17"/>
        <v>0.18183333333333332</v>
      </c>
      <c r="BD10" s="68">
        <f t="shared" si="17"/>
        <v>0.1875</v>
      </c>
      <c r="BE10" s="68">
        <f t="shared" si="17"/>
        <v>0.11583333333333333</v>
      </c>
      <c r="BF10" s="68">
        <f t="shared" si="17"/>
        <v>0.13633333333333333</v>
      </c>
      <c r="BG10" s="68" t="e">
        <f>IF(OR(#REF!="",#REF!="Sem monitoramento"),"VAZIO",IFERROR(#REF!/($AI10*24),"-"))</f>
        <v>#REF!</v>
      </c>
      <c r="BH10" s="68">
        <f>IF(OR(AA10="",AA10="Sem monitoramento"),"VAZIO",IFERROR(AA10/($AI10*24),"-"))</f>
        <v>0.14633333333333332</v>
      </c>
      <c r="BI10" s="68">
        <f>IF(OR(AB10="",AB10="Sem monitoramento"),"VAZIO",IFERROR(AB10/($AI10*24),"-"))</f>
        <v>0.16433333333333333</v>
      </c>
      <c r="BJ10" s="68">
        <f>IF(OR(AC8="",AC8="Sem monitoramento"),"VAZIO",IFERROR(AC8/($AI10*24),"-"))</f>
        <v>0.24249999999999999</v>
      </c>
      <c r="BK10" s="68">
        <f t="shared" si="11"/>
        <v>0.20216666666666666</v>
      </c>
      <c r="BL10" s="68">
        <f t="shared" si="12"/>
        <v>0.1875</v>
      </c>
      <c r="BM10" s="68">
        <f t="shared" si="13"/>
        <v>0.1295</v>
      </c>
      <c r="BN10" s="68">
        <f>IF(OR(AG8="",AG8="Sem monitoramento"),"VAZIO",IFERROR(AG8/($AI10*24),"-"))</f>
        <v>0.17549999999999999</v>
      </c>
      <c r="BO10" s="70">
        <f t="shared" si="6"/>
        <v>0.13148888888888888</v>
      </c>
      <c r="BP10" s="180">
        <f>'FCs estimados em PVsyst'!Y8</f>
        <v>0.185</v>
      </c>
      <c r="BQ10" s="72">
        <f t="shared" si="7"/>
        <v>4.625</v>
      </c>
      <c r="BR10" s="73">
        <f t="shared" si="8"/>
        <v>-6.8666666666666668E-2</v>
      </c>
      <c r="BS10" s="74">
        <f t="shared" si="9"/>
        <v>-5.351111111111112E-2</v>
      </c>
      <c r="BT10" s="15" t="s">
        <v>12</v>
      </c>
      <c r="BU10" s="3"/>
      <c r="BV10" s="2"/>
      <c r="BW10" s="2"/>
    </row>
    <row r="11" spans="2:75" x14ac:dyDescent="0.3">
      <c r="B11" s="771"/>
      <c r="C11" s="327" t="s">
        <v>13</v>
      </c>
      <c r="D11" s="62">
        <v>402.1</v>
      </c>
      <c r="E11" s="63">
        <v>351.4</v>
      </c>
      <c r="F11" s="63">
        <v>262.8</v>
      </c>
      <c r="G11" s="63">
        <v>194.5</v>
      </c>
      <c r="H11" s="63">
        <v>174.1</v>
      </c>
      <c r="I11" s="283">
        <v>236.2</v>
      </c>
      <c r="J11" s="283">
        <v>320.5</v>
      </c>
      <c r="K11" s="283">
        <v>197.5</v>
      </c>
      <c r="L11" s="63">
        <v>205.2</v>
      </c>
      <c r="M11" s="283">
        <v>247.6</v>
      </c>
      <c r="N11" s="63">
        <v>362.2</v>
      </c>
      <c r="O11" s="63">
        <v>363.5</v>
      </c>
      <c r="P11" s="63">
        <v>98.2</v>
      </c>
      <c r="Q11" s="283">
        <v>180.3</v>
      </c>
      <c r="R11" s="63">
        <v>201.9</v>
      </c>
      <c r="S11" s="63">
        <v>78.099999999999994</v>
      </c>
      <c r="T11" s="63">
        <v>229.4</v>
      </c>
      <c r="U11" s="63">
        <v>377.6</v>
      </c>
      <c r="V11" s="283">
        <v>444.1</v>
      </c>
      <c r="W11" s="519">
        <v>378.2</v>
      </c>
      <c r="X11" s="63">
        <v>296.5</v>
      </c>
      <c r="Y11" s="63">
        <v>259.60000000000002</v>
      </c>
      <c r="Z11" s="15">
        <v>226.5</v>
      </c>
      <c r="AA11" s="18">
        <v>330.8</v>
      </c>
      <c r="AB11" s="323">
        <v>375.7</v>
      </c>
      <c r="AC11" s="221">
        <v>417.3</v>
      </c>
      <c r="AD11" s="15">
        <v>449.3</v>
      </c>
      <c r="AE11" s="15">
        <v>423.9</v>
      </c>
      <c r="AF11" s="15">
        <v>268.5</v>
      </c>
      <c r="AG11" s="15">
        <v>323.5</v>
      </c>
      <c r="AH11" s="335">
        <f t="shared" si="0"/>
        <v>8677</v>
      </c>
      <c r="AI11" s="118">
        <v>78</v>
      </c>
      <c r="AJ11" s="121">
        <f t="shared" si="1"/>
        <v>7.7991452991452992E-3</v>
      </c>
      <c r="AK11" s="67">
        <f t="shared" ref="AK11:AK31" si="22">IF(OR(D11="",D11="Sem monitoramento"),"VAZIO",IFERROR(D11/($AI11*24),"-"))</f>
        <v>0.21479700854700856</v>
      </c>
      <c r="AL11" s="68">
        <f t="shared" si="18"/>
        <v>0.18771367521367521</v>
      </c>
      <c r="AM11" s="68">
        <f t="shared" si="19"/>
        <v>0.14038461538461539</v>
      </c>
      <c r="AN11" s="68">
        <f t="shared" si="20"/>
        <v>0.10389957264957266</v>
      </c>
      <c r="AO11" s="68">
        <f t="shared" si="21"/>
        <v>9.3002136752136755E-2</v>
      </c>
      <c r="AP11" s="68">
        <f t="shared" ref="AP11:AP23" si="23">IF(OR(I11="",I11="Sem monitoramento"),"VAZIO",IFERROR(I11/($AI11*24),"-"))</f>
        <v>0.12617521367521367</v>
      </c>
      <c r="AQ11" s="68">
        <f t="shared" ref="AQ11:AQ23" si="24">IF(OR(J11="",J11="Sem monitoramento"),"VAZIO",IFERROR(J11/($AI11*24),"-"))</f>
        <v>0.17120726495726496</v>
      </c>
      <c r="AR11" s="68">
        <f t="shared" si="15"/>
        <v>0.10550213675213675</v>
      </c>
      <c r="AS11" s="68">
        <f t="shared" si="15"/>
        <v>0.10961538461538461</v>
      </c>
      <c r="AT11" s="68">
        <f t="shared" si="15"/>
        <v>0.13226495726495727</v>
      </c>
      <c r="AU11" s="68">
        <f t="shared" si="15"/>
        <v>0.19348290598290599</v>
      </c>
      <c r="AV11" s="68">
        <f t="shared" si="15"/>
        <v>0.19417735042735043</v>
      </c>
      <c r="AW11" s="68">
        <f t="shared" ref="AW11:AW31" si="25">IF(OR(P11="",P11="Sem monitoramento"),"VAZIO",IFERROR(P11/($AI11*24),"-"))</f>
        <v>5.2457264957264958E-2</v>
      </c>
      <c r="AX11" s="68">
        <f t="shared" si="16"/>
        <v>9.6314102564102569E-2</v>
      </c>
      <c r="AY11" s="68">
        <f t="shared" si="16"/>
        <v>0.10785256410256411</v>
      </c>
      <c r="AZ11" s="68">
        <f t="shared" si="16"/>
        <v>4.1720085470085468E-2</v>
      </c>
      <c r="BA11" s="68">
        <f t="shared" si="16"/>
        <v>0.12254273504273505</v>
      </c>
      <c r="BB11" s="68">
        <f t="shared" ref="BB11:BC18" si="26">IF(OR(U11="",U11="Sem monitoramento"),"VAZIO",IFERROR(U11/($AI11*24),"-"))</f>
        <v>0.20170940170940171</v>
      </c>
      <c r="BC11" s="68">
        <f t="shared" si="26"/>
        <v>0.237232905982906</v>
      </c>
      <c r="BD11" s="68">
        <f>IF(OR(W12="",W12="Sem monitoramento"),"VAZIO",IFERROR(W12/($AI11*24),"-"))</f>
        <v>0.17094017094017094</v>
      </c>
      <c r="BE11" s="68">
        <f t="shared" ref="BE11:BG14" si="27">IF(OR(X11="",X11="Sem monitoramento"),"VAZIO",IFERROR(X11/($AI11*24),"-"))</f>
        <v>0.15838675213675213</v>
      </c>
      <c r="BF11" s="68">
        <f t="shared" si="27"/>
        <v>0.13867521367521368</v>
      </c>
      <c r="BG11" s="68">
        <f t="shared" si="27"/>
        <v>0.12099358974358974</v>
      </c>
      <c r="BH11" s="68" t="e">
        <f>IF(OR(#REF!="",#REF!="Sem monitoramento"),"VAZIO",IFERROR(#REF!/($AI11*24),"-"))</f>
        <v>#REF!</v>
      </c>
      <c r="BI11" s="68">
        <f>IF(OR(AB9="",AB9="Sem monitoramento"),"VAZIO",IFERROR(AB9/($AI11*24),"-"))</f>
        <v>2.6602564102564102E-2</v>
      </c>
      <c r="BJ11" s="68">
        <f t="shared" ref="BJ11:BJ31" si="28">IF(OR(AC11="",AC11="Sem monitoramento"),"VAZIO",IFERROR(AC11/($AI11*24),"-"))</f>
        <v>0.22291666666666668</v>
      </c>
      <c r="BK11" s="68">
        <f t="shared" si="11"/>
        <v>0.24001068376068377</v>
      </c>
      <c r="BL11" s="68">
        <f t="shared" si="12"/>
        <v>0.22644230769230769</v>
      </c>
      <c r="BM11" s="68">
        <f t="shared" si="13"/>
        <v>0.14342948717948717</v>
      </c>
      <c r="BN11" s="68">
        <f t="shared" ref="BN11:BN21" si="29">IF(OR(AG11="",AG11="Sem monitoramento"),"VAZIO",IFERROR(AG11/($AI11*24),"-"))</f>
        <v>0.17280982905982906</v>
      </c>
      <c r="BO11" s="70">
        <f t="shared" si="6"/>
        <v>0.15450498575498575</v>
      </c>
      <c r="BP11" s="198">
        <f>BP19</f>
        <v>0.168125</v>
      </c>
      <c r="BQ11" s="72">
        <f t="shared" si="7"/>
        <v>13.11375</v>
      </c>
      <c r="BR11" s="73">
        <f t="shared" si="8"/>
        <v>-2.7740384615384611E-2</v>
      </c>
      <c r="BS11" s="74">
        <f t="shared" si="9"/>
        <v>-1.3620014245014245E-2</v>
      </c>
      <c r="BT11" s="15" t="s">
        <v>13</v>
      </c>
      <c r="BU11" s="3"/>
      <c r="BV11" s="2"/>
      <c r="BW11" s="2"/>
    </row>
    <row r="12" spans="2:75" x14ac:dyDescent="0.3">
      <c r="B12" s="772"/>
      <c r="C12" s="326" t="s">
        <v>14</v>
      </c>
      <c r="D12" s="630">
        <v>320</v>
      </c>
      <c r="E12" s="508">
        <v>250</v>
      </c>
      <c r="F12" s="356">
        <v>220</v>
      </c>
      <c r="G12" s="356">
        <v>145</v>
      </c>
      <c r="H12" s="356">
        <v>122</v>
      </c>
      <c r="I12" s="508">
        <v>220</v>
      </c>
      <c r="J12" s="356">
        <v>310</v>
      </c>
      <c r="K12" s="508">
        <v>42</v>
      </c>
      <c r="L12" s="356">
        <v>202</v>
      </c>
      <c r="M12" s="356">
        <v>308</v>
      </c>
      <c r="N12" s="82">
        <v>300</v>
      </c>
      <c r="O12" s="82">
        <v>320</v>
      </c>
      <c r="P12" s="82">
        <v>75</v>
      </c>
      <c r="Q12" s="308">
        <v>128</v>
      </c>
      <c r="R12" s="308">
        <v>225</v>
      </c>
      <c r="S12" s="82">
        <v>66</v>
      </c>
      <c r="T12" s="82">
        <v>210</v>
      </c>
      <c r="U12" s="82">
        <v>301</v>
      </c>
      <c r="V12" s="82">
        <v>420</v>
      </c>
      <c r="W12" s="283">
        <v>320</v>
      </c>
      <c r="X12" s="82">
        <v>208</v>
      </c>
      <c r="Y12" s="82">
        <v>230</v>
      </c>
      <c r="Z12" s="16">
        <v>215</v>
      </c>
      <c r="AA12" s="17">
        <v>245</v>
      </c>
      <c r="AB12" s="324">
        <v>250</v>
      </c>
      <c r="AC12" s="489">
        <v>265</v>
      </c>
      <c r="AD12" s="16">
        <v>425</v>
      </c>
      <c r="AE12" s="16">
        <v>415</v>
      </c>
      <c r="AF12" s="16">
        <v>240</v>
      </c>
      <c r="AG12" s="16">
        <v>235</v>
      </c>
      <c r="AH12" s="335">
        <f t="shared" si="0"/>
        <v>7232</v>
      </c>
      <c r="AI12" s="123">
        <v>61</v>
      </c>
      <c r="AJ12" s="121" t="s">
        <v>31</v>
      </c>
      <c r="AK12" s="67">
        <f t="shared" si="22"/>
        <v>0.21857923497267759</v>
      </c>
      <c r="AL12" s="68">
        <f t="shared" si="18"/>
        <v>0.17076502732240437</v>
      </c>
      <c r="AM12" s="68">
        <f t="shared" si="19"/>
        <v>0.15027322404371585</v>
      </c>
      <c r="AN12" s="68">
        <f t="shared" si="20"/>
        <v>9.9043715846994534E-2</v>
      </c>
      <c r="AO12" s="68">
        <f t="shared" si="21"/>
        <v>8.3333333333333329E-2</v>
      </c>
      <c r="AP12" s="68">
        <f t="shared" si="23"/>
        <v>0.15027322404371585</v>
      </c>
      <c r="AQ12" s="68">
        <f t="shared" si="24"/>
        <v>0.21174863387978143</v>
      </c>
      <c r="AR12" s="68">
        <f t="shared" si="15"/>
        <v>2.8688524590163935E-2</v>
      </c>
      <c r="AS12" s="68">
        <f t="shared" si="15"/>
        <v>0.13797814207650272</v>
      </c>
      <c r="AT12" s="68">
        <f t="shared" si="15"/>
        <v>0.2103825136612022</v>
      </c>
      <c r="AU12" s="68">
        <f t="shared" si="15"/>
        <v>0.20491803278688525</v>
      </c>
      <c r="AV12" s="68">
        <f t="shared" si="15"/>
        <v>0.21857923497267759</v>
      </c>
      <c r="AW12" s="68">
        <f t="shared" si="25"/>
        <v>5.1229508196721313E-2</v>
      </c>
      <c r="AX12" s="68">
        <f t="shared" si="16"/>
        <v>8.7431693989071038E-2</v>
      </c>
      <c r="AY12" s="68">
        <f t="shared" si="16"/>
        <v>0.15368852459016394</v>
      </c>
      <c r="AZ12" s="68">
        <f t="shared" si="16"/>
        <v>4.5081967213114756E-2</v>
      </c>
      <c r="BA12" s="68">
        <f t="shared" si="16"/>
        <v>0.14344262295081966</v>
      </c>
      <c r="BB12" s="68">
        <f t="shared" si="26"/>
        <v>0.20560109289617487</v>
      </c>
      <c r="BC12" s="68">
        <f t="shared" si="26"/>
        <v>0.28688524590163933</v>
      </c>
      <c r="BD12" s="68" t="e">
        <f>IF(OR(#REF!="",#REF!="Sem monitoramento"),"VAZIO",IFERROR(#REF!/($AI12*24),"-"))</f>
        <v>#REF!</v>
      </c>
      <c r="BE12" s="68">
        <f t="shared" si="27"/>
        <v>0.14207650273224043</v>
      </c>
      <c r="BF12" s="68">
        <f t="shared" si="27"/>
        <v>0.15710382513661203</v>
      </c>
      <c r="BG12" s="68">
        <f t="shared" si="27"/>
        <v>0.14685792349726776</v>
      </c>
      <c r="BH12" s="68">
        <f t="shared" ref="BH12:BI16" si="30">IF(OR(AA12="",AA12="Sem monitoramento"),"VAZIO",IFERROR(AA12/($AI12*24),"-"))</f>
        <v>0.16734972677595628</v>
      </c>
      <c r="BI12" s="68">
        <f t="shared" si="30"/>
        <v>0.17076502732240437</v>
      </c>
      <c r="BJ12" s="68">
        <f t="shared" si="28"/>
        <v>0.18101092896174864</v>
      </c>
      <c r="BK12" s="68">
        <f t="shared" si="11"/>
        <v>0.29030054644808745</v>
      </c>
      <c r="BL12" s="68">
        <f t="shared" si="12"/>
        <v>0.28346994535519127</v>
      </c>
      <c r="BM12" s="68">
        <f t="shared" si="13"/>
        <v>0.16393442622950818</v>
      </c>
      <c r="BN12" s="68">
        <f t="shared" si="29"/>
        <v>0.16051912568306012</v>
      </c>
      <c r="BO12" s="70">
        <f t="shared" si="6"/>
        <v>0.16466302367941713</v>
      </c>
      <c r="BP12" s="180">
        <f>'FCs estimados em PVsyst'!Y10</f>
        <v>0.18465391621129326</v>
      </c>
      <c r="BQ12" s="72" t="s">
        <v>31</v>
      </c>
      <c r="BR12" s="73" t="s">
        <v>31</v>
      </c>
      <c r="BS12" s="74">
        <f t="shared" si="9"/>
        <v>-1.9990892531876137E-2</v>
      </c>
      <c r="BT12" s="15" t="s">
        <v>14</v>
      </c>
      <c r="BU12" s="3"/>
      <c r="BV12" s="2"/>
      <c r="BW12" s="2"/>
    </row>
    <row r="13" spans="2:75" x14ac:dyDescent="0.3">
      <c r="B13" s="773" t="s">
        <v>16</v>
      </c>
      <c r="C13" s="328" t="s">
        <v>17</v>
      </c>
      <c r="D13" s="223">
        <v>485.1</v>
      </c>
      <c r="E13" s="283">
        <v>376</v>
      </c>
      <c r="F13" s="283">
        <v>315.8</v>
      </c>
      <c r="G13" s="283">
        <v>228.3</v>
      </c>
      <c r="H13" s="283">
        <v>194.5</v>
      </c>
      <c r="I13" s="283">
        <v>286.60000000000002</v>
      </c>
      <c r="J13" s="63">
        <v>428.6</v>
      </c>
      <c r="K13" s="283">
        <v>79.2</v>
      </c>
      <c r="L13" s="63">
        <v>245.3</v>
      </c>
      <c r="M13" s="63">
        <v>428</v>
      </c>
      <c r="N13" s="283">
        <v>404.3</v>
      </c>
      <c r="O13" s="63">
        <v>478.8</v>
      </c>
      <c r="P13" s="63">
        <v>122.3</v>
      </c>
      <c r="Q13" s="283">
        <v>198.8</v>
      </c>
      <c r="R13" s="308">
        <v>303.10000000000002</v>
      </c>
      <c r="S13" s="63">
        <v>103.2</v>
      </c>
      <c r="T13" s="63">
        <v>264.7</v>
      </c>
      <c r="U13" s="63">
        <v>398.4</v>
      </c>
      <c r="V13" s="63">
        <v>557.1</v>
      </c>
      <c r="W13" s="283">
        <v>488.3</v>
      </c>
      <c r="X13" s="63">
        <v>310.39999999999998</v>
      </c>
      <c r="Y13" s="63">
        <v>377.2</v>
      </c>
      <c r="Z13" s="15">
        <v>277.7</v>
      </c>
      <c r="AA13" s="18">
        <v>392.4</v>
      </c>
      <c r="AB13" s="323">
        <v>399.5</v>
      </c>
      <c r="AC13" s="489">
        <v>436.8</v>
      </c>
      <c r="AD13" s="15">
        <v>574.1</v>
      </c>
      <c r="AE13" s="15">
        <v>542.20000000000005</v>
      </c>
      <c r="AF13" s="15">
        <v>363.3</v>
      </c>
      <c r="AG13" s="15">
        <v>357.5</v>
      </c>
      <c r="AH13" s="335">
        <f t="shared" si="0"/>
        <v>10417.5</v>
      </c>
      <c r="AI13" s="118">
        <v>100</v>
      </c>
      <c r="AJ13" s="121">
        <f t="shared" ref="AJ13:AJ30" si="31">F13/(AI13*432)</f>
        <v>7.3101851851851852E-3</v>
      </c>
      <c r="AK13" s="67">
        <f t="shared" si="22"/>
        <v>0.202125</v>
      </c>
      <c r="AL13" s="68">
        <f t="shared" si="18"/>
        <v>0.15666666666666668</v>
      </c>
      <c r="AM13" s="68">
        <f t="shared" si="19"/>
        <v>0.13158333333333333</v>
      </c>
      <c r="AN13" s="68">
        <f t="shared" si="20"/>
        <v>9.5125000000000001E-2</v>
      </c>
      <c r="AO13" s="68">
        <f t="shared" si="21"/>
        <v>8.1041666666666665E-2</v>
      </c>
      <c r="AP13" s="68">
        <f t="shared" si="23"/>
        <v>0.11941666666666667</v>
      </c>
      <c r="AQ13" s="68">
        <f t="shared" si="24"/>
        <v>0.17858333333333334</v>
      </c>
      <c r="AR13" s="68">
        <f t="shared" si="15"/>
        <v>3.3000000000000002E-2</v>
      </c>
      <c r="AS13" s="68">
        <f t="shared" si="15"/>
        <v>0.10220833333333333</v>
      </c>
      <c r="AT13" s="68">
        <f t="shared" si="15"/>
        <v>0.17833333333333334</v>
      </c>
      <c r="AU13" s="68">
        <f t="shared" si="15"/>
        <v>0.16845833333333335</v>
      </c>
      <c r="AV13" s="68">
        <f t="shared" si="15"/>
        <v>0.19950000000000001</v>
      </c>
      <c r="AW13" s="68">
        <f t="shared" si="25"/>
        <v>5.0958333333333335E-2</v>
      </c>
      <c r="AX13" s="68">
        <f t="shared" si="16"/>
        <v>8.2833333333333342E-2</v>
      </c>
      <c r="AY13" s="68">
        <f t="shared" si="16"/>
        <v>0.12629166666666666</v>
      </c>
      <c r="AZ13" s="68">
        <f t="shared" si="16"/>
        <v>4.3000000000000003E-2</v>
      </c>
      <c r="BA13" s="68">
        <f t="shared" si="16"/>
        <v>0.11029166666666666</v>
      </c>
      <c r="BB13" s="68">
        <f t="shared" si="26"/>
        <v>0.16599999999999998</v>
      </c>
      <c r="BC13" s="68">
        <f t="shared" si="26"/>
        <v>0.232125</v>
      </c>
      <c r="BD13" s="68">
        <f t="shared" ref="BD13:BD22" si="32">IF(OR(W13="",W13="Sem monitoramento"),"VAZIO",IFERROR(W13/($AI13*24),"-"))</f>
        <v>0.20345833333333332</v>
      </c>
      <c r="BE13" s="68">
        <f t="shared" si="27"/>
        <v>0.12933333333333333</v>
      </c>
      <c r="BF13" s="68">
        <f t="shared" si="27"/>
        <v>0.15716666666666665</v>
      </c>
      <c r="BG13" s="68">
        <f t="shared" si="27"/>
        <v>0.11570833333333333</v>
      </c>
      <c r="BH13" s="68">
        <f t="shared" si="30"/>
        <v>0.16349999999999998</v>
      </c>
      <c r="BI13" s="68">
        <f t="shared" si="30"/>
        <v>0.16645833333333335</v>
      </c>
      <c r="BJ13" s="68">
        <f t="shared" si="28"/>
        <v>0.182</v>
      </c>
      <c r="BK13" s="68">
        <f t="shared" si="11"/>
        <v>0.23920833333333336</v>
      </c>
      <c r="BL13" s="68">
        <f t="shared" si="12"/>
        <v>0.22591666666666668</v>
      </c>
      <c r="BM13" s="68">
        <f t="shared" si="13"/>
        <v>0.15137500000000001</v>
      </c>
      <c r="BN13" s="68">
        <f t="shared" si="29"/>
        <v>0.14895833333333333</v>
      </c>
      <c r="BO13" s="70">
        <f t="shared" si="6"/>
        <v>0.1446875</v>
      </c>
      <c r="BP13" s="198">
        <f>BP19</f>
        <v>0.168125</v>
      </c>
      <c r="BQ13" s="72">
        <f t="shared" ref="BQ13:BQ30" si="33">AI13*BP13</f>
        <v>16.8125</v>
      </c>
      <c r="BR13" s="73">
        <f t="shared" ref="BR13:BR30" si="34">AM13-BP13</f>
        <v>-3.6541666666666667E-2</v>
      </c>
      <c r="BS13" s="74">
        <f t="shared" si="9"/>
        <v>-2.34375E-2</v>
      </c>
      <c r="BT13" s="15" t="s">
        <v>17</v>
      </c>
      <c r="BU13" s="3"/>
      <c r="BV13" s="2"/>
      <c r="BW13" s="2"/>
    </row>
    <row r="14" spans="2:75" x14ac:dyDescent="0.3">
      <c r="B14" s="771"/>
      <c r="C14" s="326" t="s">
        <v>18</v>
      </c>
      <c r="D14" s="62">
        <v>531.70000000000005</v>
      </c>
      <c r="E14" s="63">
        <v>565.29999999999995</v>
      </c>
      <c r="F14" s="63">
        <v>365</v>
      </c>
      <c r="G14" s="63">
        <v>267.60000000000002</v>
      </c>
      <c r="H14" s="63">
        <v>236.3</v>
      </c>
      <c r="I14" s="283">
        <v>325</v>
      </c>
      <c r="J14" s="283">
        <v>446.2</v>
      </c>
      <c r="K14" s="283">
        <v>269.5</v>
      </c>
      <c r="L14" s="63">
        <v>279.3</v>
      </c>
      <c r="M14" s="283">
        <v>344.8</v>
      </c>
      <c r="N14" s="63">
        <v>484.2</v>
      </c>
      <c r="O14" s="63">
        <v>534.5</v>
      </c>
      <c r="P14" s="63">
        <v>126.3</v>
      </c>
      <c r="Q14" s="283">
        <v>246.7</v>
      </c>
      <c r="R14" s="63">
        <v>279.60000000000002</v>
      </c>
      <c r="S14" s="63">
        <v>94.7</v>
      </c>
      <c r="T14" s="63">
        <v>310.2</v>
      </c>
      <c r="U14" s="63">
        <v>504</v>
      </c>
      <c r="V14" s="283">
        <v>591</v>
      </c>
      <c r="W14" s="283">
        <v>501</v>
      </c>
      <c r="X14" s="63">
        <v>401.3</v>
      </c>
      <c r="Y14" s="63">
        <v>348.5</v>
      </c>
      <c r="Z14" s="15">
        <v>310.2</v>
      </c>
      <c r="AA14" s="18">
        <v>453.7</v>
      </c>
      <c r="AB14" s="323">
        <v>491.2</v>
      </c>
      <c r="AC14" s="221">
        <v>537.6</v>
      </c>
      <c r="AD14" s="15">
        <v>607.6</v>
      </c>
      <c r="AE14" s="15">
        <v>587.29999999999995</v>
      </c>
      <c r="AF14" s="15">
        <v>372.1</v>
      </c>
      <c r="AG14" s="15">
        <v>451.6</v>
      </c>
      <c r="AH14" s="335">
        <f t="shared" si="0"/>
        <v>11864.000000000002</v>
      </c>
      <c r="AI14" s="118">
        <v>100</v>
      </c>
      <c r="AJ14" s="121">
        <f t="shared" si="31"/>
        <v>8.4490740740740741E-3</v>
      </c>
      <c r="AK14" s="67">
        <f t="shared" si="22"/>
        <v>0.22154166666666669</v>
      </c>
      <c r="AL14" s="68">
        <f t="shared" si="18"/>
        <v>0.23554166666666665</v>
      </c>
      <c r="AM14" s="68">
        <f t="shared" si="19"/>
        <v>0.15208333333333332</v>
      </c>
      <c r="AN14" s="68">
        <f t="shared" si="20"/>
        <v>0.11150000000000002</v>
      </c>
      <c r="AO14" s="68">
        <f t="shared" si="21"/>
        <v>9.8458333333333342E-2</v>
      </c>
      <c r="AP14" s="68">
        <f t="shared" si="23"/>
        <v>0.13541666666666666</v>
      </c>
      <c r="AQ14" s="68">
        <f t="shared" si="24"/>
        <v>0.18591666666666667</v>
      </c>
      <c r="AR14" s="68">
        <f t="shared" si="15"/>
        <v>0.11229166666666666</v>
      </c>
      <c r="AS14" s="68">
        <f t="shared" si="15"/>
        <v>0.11637500000000001</v>
      </c>
      <c r="AT14" s="68">
        <f t="shared" si="15"/>
        <v>0.14366666666666666</v>
      </c>
      <c r="AU14" s="68">
        <f t="shared" si="15"/>
        <v>0.20174999999999998</v>
      </c>
      <c r="AV14" s="68">
        <f t="shared" si="15"/>
        <v>0.22270833333333334</v>
      </c>
      <c r="AW14" s="68">
        <f t="shared" si="25"/>
        <v>5.2624999999999998E-2</v>
      </c>
      <c r="AX14" s="68">
        <f t="shared" si="16"/>
        <v>0.10279166666666666</v>
      </c>
      <c r="AY14" s="68">
        <f t="shared" si="16"/>
        <v>0.11650000000000001</v>
      </c>
      <c r="AZ14" s="68">
        <f t="shared" si="16"/>
        <v>3.9458333333333331E-2</v>
      </c>
      <c r="BA14" s="68">
        <f t="shared" si="16"/>
        <v>0.12925</v>
      </c>
      <c r="BB14" s="68">
        <f t="shared" si="26"/>
        <v>0.21</v>
      </c>
      <c r="BC14" s="68">
        <f t="shared" si="26"/>
        <v>0.24625</v>
      </c>
      <c r="BD14" s="68">
        <f t="shared" si="32"/>
        <v>0.20874999999999999</v>
      </c>
      <c r="BE14" s="68">
        <f t="shared" si="27"/>
        <v>0.16720833333333335</v>
      </c>
      <c r="BF14" s="68">
        <f t="shared" si="27"/>
        <v>0.14520833333333333</v>
      </c>
      <c r="BG14" s="68">
        <f t="shared" si="27"/>
        <v>0.12925</v>
      </c>
      <c r="BH14" s="68">
        <f t="shared" si="30"/>
        <v>0.18904166666666666</v>
      </c>
      <c r="BI14" s="68">
        <f t="shared" si="30"/>
        <v>0.20466666666666666</v>
      </c>
      <c r="BJ14" s="68">
        <f t="shared" si="28"/>
        <v>0.224</v>
      </c>
      <c r="BK14" s="68">
        <f t="shared" si="11"/>
        <v>0.25316666666666665</v>
      </c>
      <c r="BL14" s="68">
        <f t="shared" si="12"/>
        <v>0.24470833333333331</v>
      </c>
      <c r="BM14" s="68">
        <f t="shared" si="13"/>
        <v>0.15504166666666669</v>
      </c>
      <c r="BN14" s="68">
        <f t="shared" si="29"/>
        <v>0.18816666666666668</v>
      </c>
      <c r="BO14" s="70">
        <f t="shared" si="6"/>
        <v>0.1647777777777778</v>
      </c>
      <c r="BP14" s="198">
        <f>$BP$19</f>
        <v>0.168125</v>
      </c>
      <c r="BQ14" s="72">
        <f t="shared" si="33"/>
        <v>16.8125</v>
      </c>
      <c r="BR14" s="73">
        <f t="shared" si="34"/>
        <v>-1.6041666666666676E-2</v>
      </c>
      <c r="BS14" s="74">
        <f t="shared" si="9"/>
        <v>-3.3472222222221959E-3</v>
      </c>
      <c r="BT14" s="15" t="s">
        <v>18</v>
      </c>
      <c r="BU14" s="3"/>
      <c r="BV14" s="2"/>
      <c r="BW14" s="2"/>
    </row>
    <row r="15" spans="2:75" x14ac:dyDescent="0.3">
      <c r="B15" s="771"/>
      <c r="C15" s="326" t="s">
        <v>110</v>
      </c>
      <c r="D15" s="62">
        <v>155.30000000000001</v>
      </c>
      <c r="E15" s="63">
        <v>133.80000000000001</v>
      </c>
      <c r="F15" s="63">
        <v>96.4</v>
      </c>
      <c r="G15" s="63">
        <v>70.2</v>
      </c>
      <c r="H15" s="63">
        <v>62.4</v>
      </c>
      <c r="I15" s="283">
        <v>86.7</v>
      </c>
      <c r="J15" s="283">
        <v>133</v>
      </c>
      <c r="K15" s="283">
        <v>71.5</v>
      </c>
      <c r="L15" s="63">
        <v>73.599999999999994</v>
      </c>
      <c r="M15" s="283">
        <v>91.5</v>
      </c>
      <c r="N15" s="63">
        <v>139.9</v>
      </c>
      <c r="O15" s="63">
        <v>149.30000000000001</v>
      </c>
      <c r="P15" s="63">
        <v>32.799999999999997</v>
      </c>
      <c r="Q15" s="283">
        <v>64.599999999999994</v>
      </c>
      <c r="R15" s="63">
        <v>73.3</v>
      </c>
      <c r="S15" s="63">
        <v>24.6</v>
      </c>
      <c r="T15" s="63">
        <v>84.2</v>
      </c>
      <c r="U15" s="63">
        <v>143.19999999999999</v>
      </c>
      <c r="V15" s="283">
        <v>166.9</v>
      </c>
      <c r="W15" s="283">
        <v>141.30000000000001</v>
      </c>
      <c r="X15" s="63">
        <v>118.3</v>
      </c>
      <c r="Y15" s="63">
        <v>95.9</v>
      </c>
      <c r="Z15" s="31">
        <v>82.7</v>
      </c>
      <c r="AA15" s="18">
        <v>126.9</v>
      </c>
      <c r="AB15" s="323">
        <v>146.6</v>
      </c>
      <c r="AC15" s="221">
        <v>157.30000000000001</v>
      </c>
      <c r="AD15" s="221">
        <v>165.1</v>
      </c>
      <c r="AE15" s="15">
        <v>159.69999999999999</v>
      </c>
      <c r="AF15" s="15">
        <v>98.4</v>
      </c>
      <c r="AG15" s="15">
        <v>126.8</v>
      </c>
      <c r="AH15" s="335">
        <f t="shared" si="0"/>
        <v>3272.2000000000003</v>
      </c>
      <c r="AI15" s="118">
        <v>29</v>
      </c>
      <c r="AJ15" s="121">
        <f t="shared" si="31"/>
        <v>7.6947637292464881E-3</v>
      </c>
      <c r="AK15" s="67">
        <f t="shared" si="22"/>
        <v>0.22313218390804598</v>
      </c>
      <c r="AL15" s="68">
        <f t="shared" si="18"/>
        <v>0.19224137931034485</v>
      </c>
      <c r="AM15" s="68">
        <f t="shared" si="19"/>
        <v>0.13850574712643679</v>
      </c>
      <c r="AN15" s="68">
        <f t="shared" si="20"/>
        <v>0.10086206896551725</v>
      </c>
      <c r="AO15" s="68">
        <f t="shared" si="21"/>
        <v>8.9655172413793102E-2</v>
      </c>
      <c r="AP15" s="68">
        <f t="shared" si="23"/>
        <v>0.12456896551724138</v>
      </c>
      <c r="AQ15" s="68">
        <f t="shared" si="24"/>
        <v>0.19109195402298851</v>
      </c>
      <c r="AR15" s="68">
        <f t="shared" si="15"/>
        <v>0.10272988505747127</v>
      </c>
      <c r="AS15" s="68">
        <f t="shared" si="15"/>
        <v>0.10574712643678161</v>
      </c>
      <c r="AT15" s="68">
        <f t="shared" si="15"/>
        <v>0.13146551724137931</v>
      </c>
      <c r="AU15" s="68">
        <f t="shared" si="15"/>
        <v>0.20100574712643679</v>
      </c>
      <c r="AV15" s="68">
        <f t="shared" si="15"/>
        <v>0.21451149425287358</v>
      </c>
      <c r="AW15" s="68">
        <f t="shared" si="25"/>
        <v>4.7126436781609195E-2</v>
      </c>
      <c r="AX15" s="68">
        <f t="shared" si="16"/>
        <v>9.2816091954022975E-2</v>
      </c>
      <c r="AY15" s="68">
        <f t="shared" si="16"/>
        <v>0.10531609195402299</v>
      </c>
      <c r="AZ15" s="68">
        <f t="shared" si="16"/>
        <v>3.5344827586206898E-2</v>
      </c>
      <c r="BA15" s="68">
        <f t="shared" si="16"/>
        <v>0.12097701149425288</v>
      </c>
      <c r="BB15" s="68">
        <f t="shared" si="26"/>
        <v>0.20574712643678159</v>
      </c>
      <c r="BC15" s="68">
        <f t="shared" si="26"/>
        <v>0.23979885057471265</v>
      </c>
      <c r="BD15" s="68">
        <f t="shared" si="32"/>
        <v>0.20301724137931035</v>
      </c>
      <c r="BE15" s="68">
        <f>IF(OR(X15="",X15="Sem monitoramento"),"VAZIO",IFERROR(X15/($AI15*24),"-"))</f>
        <v>0.16997126436781609</v>
      </c>
      <c r="BF15" s="68">
        <f>IF(OR(Y16="",Y16="Sem monitoramento"),"VAZIO",IFERROR(Y16/($AI15*24),"-"))</f>
        <v>0.45675287356321836</v>
      </c>
      <c r="BG15" s="68">
        <f>IF(OR(Z16="",Z16="Sem monitoramento"),"VAZIO",IFERROR(Z16/($AI15*24),"-"))</f>
        <v>0.44267241379310346</v>
      </c>
      <c r="BH15" s="68">
        <f t="shared" si="30"/>
        <v>0.18232758620689657</v>
      </c>
      <c r="BI15" s="68">
        <f t="shared" si="30"/>
        <v>0.21063218390804597</v>
      </c>
      <c r="BJ15" s="68">
        <f t="shared" si="28"/>
        <v>0.22600574712643678</v>
      </c>
      <c r="BK15" s="68">
        <f t="shared" si="11"/>
        <v>0.23721264367816092</v>
      </c>
      <c r="BL15" s="68">
        <f t="shared" si="12"/>
        <v>0.22945402298850573</v>
      </c>
      <c r="BM15" s="68">
        <f t="shared" si="13"/>
        <v>0.14137931034482759</v>
      </c>
      <c r="BN15" s="68">
        <f t="shared" si="29"/>
        <v>0.18218390804597701</v>
      </c>
      <c r="BO15" s="70">
        <f t="shared" si="6"/>
        <v>0.15671455938697321</v>
      </c>
      <c r="BP15" s="180">
        <f>'FCs estimados em PVsyst'!Y13</f>
        <v>0.1850095785440613</v>
      </c>
      <c r="BQ15" s="72">
        <f t="shared" si="33"/>
        <v>5.365277777777778</v>
      </c>
      <c r="BR15" s="73">
        <f t="shared" si="34"/>
        <v>-4.6503831417624514E-2</v>
      </c>
      <c r="BS15" s="74">
        <f t="shared" si="9"/>
        <v>-2.8295019157088097E-2</v>
      </c>
      <c r="BT15" s="15" t="s">
        <v>110</v>
      </c>
      <c r="BU15" s="3"/>
      <c r="BV15" s="2"/>
      <c r="BW15" s="2"/>
    </row>
    <row r="16" spans="2:75" x14ac:dyDescent="0.3">
      <c r="B16" s="774"/>
      <c r="C16" s="326" t="s">
        <v>20</v>
      </c>
      <c r="D16" s="62">
        <v>543.29999999999995</v>
      </c>
      <c r="E16" s="283">
        <v>413</v>
      </c>
      <c r="F16" s="283">
        <v>367.5</v>
      </c>
      <c r="G16" s="283">
        <v>231.6</v>
      </c>
      <c r="H16" s="63">
        <v>214.6</v>
      </c>
      <c r="I16" s="63">
        <v>291.2</v>
      </c>
      <c r="J16" s="63">
        <v>387.2</v>
      </c>
      <c r="K16" s="63">
        <v>199.1</v>
      </c>
      <c r="L16" s="63">
        <v>244</v>
      </c>
      <c r="M16" s="63">
        <v>324.60000000000002</v>
      </c>
      <c r="N16" s="63">
        <v>495.1</v>
      </c>
      <c r="O16" s="63">
        <v>472.3</v>
      </c>
      <c r="P16" s="283">
        <v>118.3</v>
      </c>
      <c r="Q16" s="283">
        <v>156.4</v>
      </c>
      <c r="R16" s="283">
        <v>287.8</v>
      </c>
      <c r="S16" s="283">
        <v>98</v>
      </c>
      <c r="T16" s="141">
        <v>348.9</v>
      </c>
      <c r="U16" s="283">
        <v>519.5</v>
      </c>
      <c r="V16" s="283">
        <v>521.1</v>
      </c>
      <c r="W16" s="283">
        <v>461</v>
      </c>
      <c r="X16" s="63">
        <v>369.5</v>
      </c>
      <c r="Y16" s="63">
        <v>317.89999999999998</v>
      </c>
      <c r="Z16" s="15">
        <v>308.10000000000002</v>
      </c>
      <c r="AA16" s="61">
        <v>471.7</v>
      </c>
      <c r="AB16" s="323">
        <v>460.2</v>
      </c>
      <c r="AC16" s="15">
        <v>538.6</v>
      </c>
      <c r="AD16" s="15">
        <v>546</v>
      </c>
      <c r="AE16" s="15">
        <v>571.29999999999995</v>
      </c>
      <c r="AF16" s="15">
        <v>295.5</v>
      </c>
      <c r="AG16" s="15">
        <v>384</v>
      </c>
      <c r="AH16" s="335">
        <f t="shared" si="0"/>
        <v>10957.3</v>
      </c>
      <c r="AI16" s="118">
        <v>100</v>
      </c>
      <c r="AJ16" s="121">
        <f t="shared" si="31"/>
        <v>8.5069444444444437E-3</v>
      </c>
      <c r="AK16" s="67">
        <f t="shared" si="22"/>
        <v>0.22637499999999999</v>
      </c>
      <c r="AL16" s="68">
        <f t="shared" si="18"/>
        <v>0.17208333333333334</v>
      </c>
      <c r="AM16" s="68">
        <f t="shared" si="19"/>
        <v>0.15312500000000001</v>
      </c>
      <c r="AN16" s="68">
        <f t="shared" si="20"/>
        <v>9.6500000000000002E-2</v>
      </c>
      <c r="AO16" s="68">
        <f t="shared" si="21"/>
        <v>8.9416666666666658E-2</v>
      </c>
      <c r="AP16" s="68">
        <f t="shared" si="23"/>
        <v>0.12133333333333333</v>
      </c>
      <c r="AQ16" s="68">
        <f t="shared" si="24"/>
        <v>0.16133333333333333</v>
      </c>
      <c r="AR16" s="68">
        <f t="shared" si="15"/>
        <v>8.2958333333333328E-2</v>
      </c>
      <c r="AS16" s="68">
        <f t="shared" si="15"/>
        <v>0.10166666666666667</v>
      </c>
      <c r="AT16" s="68">
        <f t="shared" si="15"/>
        <v>0.13525000000000001</v>
      </c>
      <c r="AU16" s="68">
        <f t="shared" si="15"/>
        <v>0.20629166666666668</v>
      </c>
      <c r="AV16" s="68">
        <f t="shared" si="15"/>
        <v>0.19679166666666667</v>
      </c>
      <c r="AW16" s="68">
        <f t="shared" si="25"/>
        <v>4.9291666666666664E-2</v>
      </c>
      <c r="AX16" s="68">
        <f t="shared" ref="AX16:AZ17" si="35">IF(OR(Q16="",Q16="Sem monitoramento"),"VAZIO",IFERROR(Q16/($AI16*24),"-"))</f>
        <v>6.5166666666666664E-2</v>
      </c>
      <c r="AY16" s="68">
        <f t="shared" si="35"/>
        <v>0.11991666666666667</v>
      </c>
      <c r="AZ16" s="68">
        <f t="shared" si="35"/>
        <v>4.0833333333333333E-2</v>
      </c>
      <c r="BA16" s="68">
        <f>IF(OR(T14="",T14="Sem monitoramento"),"VAZIO",IFERROR(T14/($AI16*24),"-"))</f>
        <v>0.12925</v>
      </c>
      <c r="BB16" s="68">
        <f t="shared" si="26"/>
        <v>0.21645833333333334</v>
      </c>
      <c r="BC16" s="68">
        <f t="shared" si="26"/>
        <v>0.21712500000000001</v>
      </c>
      <c r="BD16" s="68">
        <f t="shared" si="32"/>
        <v>0.19208333333333333</v>
      </c>
      <c r="BE16" s="68">
        <f>IF(OR(X16="",X16="Sem monitoramento"),"VAZIO",IFERROR(X16/($AI16*24),"-"))</f>
        <v>0.15395833333333334</v>
      </c>
      <c r="BF16" s="68" t="e">
        <f>IF(OR(#REF!="",#REF!="Sem monitoramento"),"VAZIO",IFERROR(#REF!/($AI16*24),"-"))</f>
        <v>#REF!</v>
      </c>
      <c r="BG16" s="68" t="e">
        <f>IF(OR(#REF!="",#REF!="Sem monitoramento"),"VAZIO",IFERROR(#REF!/($AI16*24),"-"))</f>
        <v>#REF!</v>
      </c>
      <c r="BH16" s="68">
        <f t="shared" si="30"/>
        <v>0.19654166666666667</v>
      </c>
      <c r="BI16" s="68">
        <f t="shared" si="30"/>
        <v>0.19175</v>
      </c>
      <c r="BJ16" s="68">
        <f t="shared" si="28"/>
        <v>0.22441666666666668</v>
      </c>
      <c r="BK16" s="68">
        <f t="shared" si="11"/>
        <v>0.22750000000000001</v>
      </c>
      <c r="BL16" s="68">
        <f t="shared" si="12"/>
        <v>0.23804166666666665</v>
      </c>
      <c r="BM16" s="68">
        <f t="shared" si="13"/>
        <v>0.123125</v>
      </c>
      <c r="BN16" s="68">
        <f t="shared" si="29"/>
        <v>0.16</v>
      </c>
      <c r="BO16" s="70">
        <f t="shared" si="6"/>
        <v>0.15218472222222221</v>
      </c>
      <c r="BP16" s="180">
        <f>'FCs estimados em PVsyst'!Y14</f>
        <v>0.16425000000000001</v>
      </c>
      <c r="BQ16" s="72">
        <f t="shared" si="33"/>
        <v>16.425000000000001</v>
      </c>
      <c r="BR16" s="73">
        <f t="shared" si="34"/>
        <v>-1.1124999999999996E-2</v>
      </c>
      <c r="BS16" s="74">
        <f t="shared" si="9"/>
        <v>-1.20652777777778E-2</v>
      </c>
      <c r="BT16" s="15" t="s">
        <v>20</v>
      </c>
      <c r="BU16" s="3"/>
      <c r="BV16" s="2"/>
      <c r="BW16" s="2"/>
    </row>
    <row r="17" spans="2:75" x14ac:dyDescent="0.3">
      <c r="B17" s="775" t="s">
        <v>21</v>
      </c>
      <c r="C17" s="326" t="s">
        <v>22</v>
      </c>
      <c r="D17" s="378">
        <v>628</v>
      </c>
      <c r="E17" s="319">
        <v>510</v>
      </c>
      <c r="F17" s="508">
        <v>410</v>
      </c>
      <c r="G17" s="355">
        <v>299.10000000000002</v>
      </c>
      <c r="H17" s="283">
        <v>212.1</v>
      </c>
      <c r="I17" s="82">
        <v>360.7</v>
      </c>
      <c r="J17" s="82">
        <v>417.4</v>
      </c>
      <c r="K17" s="63">
        <v>233.5</v>
      </c>
      <c r="L17" s="63">
        <v>279.39999999999998</v>
      </c>
      <c r="M17" s="63">
        <v>396.5</v>
      </c>
      <c r="N17" s="31">
        <v>508</v>
      </c>
      <c r="O17" s="63">
        <v>562.79999999999995</v>
      </c>
      <c r="P17" s="283">
        <v>177.9</v>
      </c>
      <c r="Q17" s="283">
        <v>318.2</v>
      </c>
      <c r="R17" s="63">
        <v>456.5</v>
      </c>
      <c r="S17" s="283">
        <v>178.9</v>
      </c>
      <c r="T17" s="63">
        <v>307.3</v>
      </c>
      <c r="U17" s="63">
        <v>483.9</v>
      </c>
      <c r="V17" s="63">
        <v>598.4</v>
      </c>
      <c r="W17" s="283">
        <v>565.79999999999995</v>
      </c>
      <c r="X17" s="63">
        <v>367.2</v>
      </c>
      <c r="Y17" s="519">
        <v>288.3</v>
      </c>
      <c r="Z17" s="15">
        <v>267.60000000000002</v>
      </c>
      <c r="AA17" s="18">
        <v>437.2</v>
      </c>
      <c r="AB17" s="20">
        <v>523.6</v>
      </c>
      <c r="AC17" s="221">
        <v>551.5</v>
      </c>
      <c r="AD17" s="221">
        <v>546</v>
      </c>
      <c r="AE17" s="15">
        <v>583.5</v>
      </c>
      <c r="AF17" s="15">
        <v>353.4</v>
      </c>
      <c r="AG17" s="15">
        <v>443.9</v>
      </c>
      <c r="AH17" s="335">
        <f t="shared" si="0"/>
        <v>12266.599999999999</v>
      </c>
      <c r="AI17" s="118">
        <v>100</v>
      </c>
      <c r="AJ17" s="122">
        <f t="shared" si="31"/>
        <v>9.4907407407407406E-3</v>
      </c>
      <c r="AK17" s="67">
        <f t="shared" si="22"/>
        <v>0.26166666666666666</v>
      </c>
      <c r="AL17" s="68">
        <f t="shared" si="18"/>
        <v>0.21249999999999999</v>
      </c>
      <c r="AM17" s="68">
        <f t="shared" si="19"/>
        <v>0.17083333333333334</v>
      </c>
      <c r="AN17" s="68">
        <f t="shared" si="20"/>
        <v>0.12462500000000001</v>
      </c>
      <c r="AO17" s="68">
        <f t="shared" si="21"/>
        <v>8.8374999999999995E-2</v>
      </c>
      <c r="AP17" s="68">
        <f t="shared" si="23"/>
        <v>0.15029166666666666</v>
      </c>
      <c r="AQ17" s="68">
        <f t="shared" si="24"/>
        <v>0.17391666666666666</v>
      </c>
      <c r="AR17" s="68" t="e">
        <f>IF(OR(#REF!="",#REF!="Sem monitoramento"),"VAZIO",IFERROR(#REF!/($AI17*24),"-"))</f>
        <v>#REF!</v>
      </c>
      <c r="AS17" s="68">
        <f>IF(OR(L17="",L17="Sem monitoramento"),"VAZIO",IFERROR(L17/($AI17*24),"-"))</f>
        <v>0.11641666666666665</v>
      </c>
      <c r="AT17" s="68">
        <f>IF(OR(M17="",M17="Sem monitoramento"),"VAZIO",IFERROR(M17/($AI17*24),"-"))</f>
        <v>0.16520833333333335</v>
      </c>
      <c r="AU17" s="68">
        <f>IF(OR(N18="",N18="Sem monitoramento"),"VAZIO",IFERROR(N18/($AI17*24),"-"))</f>
        <v>0.2265416666666667</v>
      </c>
      <c r="AV17" s="68">
        <f t="shared" ref="AV17:AV22" si="36">IF(OR(O17="",O17="Sem monitoramento"),"VAZIO",IFERROR(O17/($AI17*24),"-"))</f>
        <v>0.23449999999999999</v>
      </c>
      <c r="AW17" s="68">
        <f t="shared" si="25"/>
        <v>7.4124999999999996E-2</v>
      </c>
      <c r="AX17" s="68">
        <f t="shared" si="35"/>
        <v>0.13258333333333333</v>
      </c>
      <c r="AY17" s="68">
        <f t="shared" si="35"/>
        <v>0.19020833333333334</v>
      </c>
      <c r="AZ17" s="68">
        <f t="shared" si="35"/>
        <v>7.4541666666666673E-2</v>
      </c>
      <c r="BA17" s="68">
        <f t="shared" ref="BA17:BA24" si="37">IF(OR(T17="",T17="Sem monitoramento"),"VAZIO",IFERROR(T17/($AI17*24),"-"))</f>
        <v>0.12804166666666666</v>
      </c>
      <c r="BB17" s="68">
        <f t="shared" si="26"/>
        <v>0.201625</v>
      </c>
      <c r="BC17" s="68">
        <f t="shared" si="26"/>
        <v>0.24933333333333332</v>
      </c>
      <c r="BD17" s="68">
        <f t="shared" si="32"/>
        <v>0.23574999999999999</v>
      </c>
      <c r="BE17" s="68">
        <f>IF(OR(X17="",X17="Sem monitoramento"),"VAZIO",IFERROR(X17/($AI17*24),"-"))</f>
        <v>0.153</v>
      </c>
      <c r="BF17" s="68" t="e">
        <f>IF(OR(#REF!="",#REF!="Sem monitoramento"),"VAZIO",IFERROR(#REF!/($AI17*24),"-"))</f>
        <v>#REF!</v>
      </c>
      <c r="BG17" s="68">
        <f t="shared" ref="BG17:BH24" si="38">IF(OR(Z17="",Z17="Sem monitoramento"),"VAZIO",IFERROR(Z17/($AI17*24),"-"))</f>
        <v>0.11150000000000002</v>
      </c>
      <c r="BH17" s="68">
        <f t="shared" si="38"/>
        <v>0.18216666666666667</v>
      </c>
      <c r="BI17" s="68" t="e">
        <f>IF(OR(#REF!="",#REF!="Sem monitoramento"),"VAZIO",IFERROR(#REF!/($AI17*24),"-"))</f>
        <v>#REF!</v>
      </c>
      <c r="BJ17" s="68">
        <f t="shared" si="28"/>
        <v>0.22979166666666667</v>
      </c>
      <c r="BK17" s="68">
        <f t="shared" si="11"/>
        <v>0.22750000000000001</v>
      </c>
      <c r="BL17" s="68">
        <f t="shared" si="12"/>
        <v>0.24312500000000001</v>
      </c>
      <c r="BM17" s="68">
        <f t="shared" si="13"/>
        <v>0.14724999999999999</v>
      </c>
      <c r="BN17" s="68">
        <f t="shared" si="29"/>
        <v>0.18495833333333334</v>
      </c>
      <c r="BO17" s="70">
        <f t="shared" si="6"/>
        <v>0.17036944444444443</v>
      </c>
      <c r="BP17" s="198">
        <f>$BP$19</f>
        <v>0.168125</v>
      </c>
      <c r="BQ17" s="90">
        <f t="shared" si="33"/>
        <v>16.8125</v>
      </c>
      <c r="BR17" s="73">
        <f t="shared" si="34"/>
        <v>2.7083333333333404E-3</v>
      </c>
      <c r="BS17" s="74">
        <f t="shared" si="9"/>
        <v>2.2444444444444378E-3</v>
      </c>
      <c r="BT17" s="15" t="s">
        <v>22</v>
      </c>
      <c r="BU17" s="3"/>
      <c r="BV17" s="2"/>
      <c r="BW17" s="2"/>
    </row>
    <row r="18" spans="2:75" x14ac:dyDescent="0.3">
      <c r="B18" s="775"/>
      <c r="C18" s="326" t="s">
        <v>23</v>
      </c>
      <c r="D18" s="378">
        <v>620</v>
      </c>
      <c r="E18" s="319">
        <v>501</v>
      </c>
      <c r="F18" s="508">
        <v>405</v>
      </c>
      <c r="G18" s="355">
        <v>305.7</v>
      </c>
      <c r="H18" s="63">
        <v>216.5</v>
      </c>
      <c r="I18" s="63">
        <v>364</v>
      </c>
      <c r="J18" s="63">
        <v>433.4</v>
      </c>
      <c r="K18" s="63">
        <v>243.4</v>
      </c>
      <c r="L18" s="63">
        <v>289.39999999999998</v>
      </c>
      <c r="M18" s="316">
        <v>406.4</v>
      </c>
      <c r="N18" s="63">
        <v>543.70000000000005</v>
      </c>
      <c r="O18" s="63">
        <v>565.4</v>
      </c>
      <c r="P18" s="63">
        <v>184.4</v>
      </c>
      <c r="Q18" s="519">
        <v>331.5</v>
      </c>
      <c r="R18" s="63">
        <v>477.9</v>
      </c>
      <c r="S18" s="283">
        <v>219.4</v>
      </c>
      <c r="T18" s="63">
        <v>321.5</v>
      </c>
      <c r="U18" s="283">
        <v>517</v>
      </c>
      <c r="V18" s="283">
        <v>620.20000000000005</v>
      </c>
      <c r="W18" s="283">
        <v>583.20000000000005</v>
      </c>
      <c r="X18" s="283">
        <v>385.9</v>
      </c>
      <c r="Y18" s="283">
        <v>300.60000000000002</v>
      </c>
      <c r="Z18" s="221">
        <v>279.8</v>
      </c>
      <c r="AA18" s="18">
        <v>456.7</v>
      </c>
      <c r="AB18" s="628">
        <v>564.5</v>
      </c>
      <c r="AC18" s="221">
        <v>588.4</v>
      </c>
      <c r="AD18" s="221">
        <v>623.20000000000005</v>
      </c>
      <c r="AE18" s="15">
        <v>607.6</v>
      </c>
      <c r="AF18" s="15">
        <v>368.2</v>
      </c>
      <c r="AG18" s="15">
        <v>463.8</v>
      </c>
      <c r="AH18" s="335">
        <f t="shared" si="0"/>
        <v>12787.699999999999</v>
      </c>
      <c r="AI18" s="118">
        <v>100</v>
      </c>
      <c r="AJ18" s="122">
        <f t="shared" si="31"/>
        <v>9.3749999999999997E-3</v>
      </c>
      <c r="AK18" s="67">
        <f t="shared" si="22"/>
        <v>0.25833333333333336</v>
      </c>
      <c r="AL18" s="68">
        <f t="shared" si="18"/>
        <v>0.20874999999999999</v>
      </c>
      <c r="AM18" s="68">
        <f t="shared" si="19"/>
        <v>0.16875000000000001</v>
      </c>
      <c r="AN18" s="68">
        <f t="shared" si="20"/>
        <v>0.12737499999999999</v>
      </c>
      <c r="AO18" s="68">
        <f t="shared" si="21"/>
        <v>9.0208333333333335E-2</v>
      </c>
      <c r="AP18" s="68">
        <f t="shared" si="23"/>
        <v>0.15166666666666667</v>
      </c>
      <c r="AQ18" s="68">
        <f t="shared" si="24"/>
        <v>0.18058333333333332</v>
      </c>
      <c r="AR18" s="68">
        <f>IF(OR(K18="",K18="Sem monitoramento"),"VAZIO",IFERROR(K18/($AI18*24),"-"))</f>
        <v>0.10141666666666667</v>
      </c>
      <c r="AS18" s="68">
        <f>IF(OR(L18="",L18="Sem monitoramento"),"VAZIO",IFERROR(L18/($AI18*24),"-"))</f>
        <v>0.12058333333333332</v>
      </c>
      <c r="AT18" s="68">
        <f>IF(OR(M19="",M19="Sem monitoramento"),"VAZIO",IFERROR(M19/($AI18*24),"-"))</f>
        <v>0.14616666666666667</v>
      </c>
      <c r="AU18" s="68" t="e">
        <f>IF(OR(#REF!="",#REF!="Sem monitoramento"),"VAZIO",IFERROR(#REF!/($AI18*24),"-"))</f>
        <v>#REF!</v>
      </c>
      <c r="AV18" s="68">
        <f t="shared" si="36"/>
        <v>0.23558333333333331</v>
      </c>
      <c r="AW18" s="68">
        <f t="shared" si="25"/>
        <v>7.6833333333333337E-2</v>
      </c>
      <c r="AX18" s="68">
        <f>IF(OR(Q19="",Q19="Sem monitoramento"),"VAZIO",IFERROR(Q19/($AI18*24),"-"))</f>
        <v>0.10795833333333334</v>
      </c>
      <c r="AY18" s="68" t="e">
        <f>IF(OR(#REF!="",#REF!="Sem monitoramento"),"VAZIO",IFERROR(#REF!/($AI18*24),"-"))</f>
        <v>#REF!</v>
      </c>
      <c r="AZ18" s="68">
        <f>IF(OR(S18="",S18="Sem monitoramento"),"VAZIO",IFERROR(S18/($AI18*24),"-"))</f>
        <v>9.1416666666666674E-2</v>
      </c>
      <c r="BA18" s="68">
        <f t="shared" si="37"/>
        <v>0.13395833333333335</v>
      </c>
      <c r="BB18" s="68">
        <f t="shared" si="26"/>
        <v>0.21541666666666667</v>
      </c>
      <c r="BC18" s="68">
        <f t="shared" si="26"/>
        <v>0.25841666666666668</v>
      </c>
      <c r="BD18" s="68">
        <f t="shared" si="32"/>
        <v>0.24300000000000002</v>
      </c>
      <c r="BE18" s="68">
        <f>IF(OR(X18="",X18="Sem monitoramento"),"VAZIO",IFERROR(X18/($AI18*24),"-"))</f>
        <v>0.16079166666666667</v>
      </c>
      <c r="BF18" s="68">
        <f>IF(OR(Y18="",Y18="Sem monitoramento"),"VAZIO",IFERROR(Y18/($AI18*24),"-"))</f>
        <v>0.12525</v>
      </c>
      <c r="BG18" s="68">
        <f t="shared" si="38"/>
        <v>0.11658333333333334</v>
      </c>
      <c r="BH18" s="68">
        <f t="shared" si="38"/>
        <v>0.19029166666666666</v>
      </c>
      <c r="BI18" s="68">
        <f>IF(OR(AB17="",AB17="Sem monitoramento"),"VAZIO",IFERROR(AB17/($AI18*24),"-"))</f>
        <v>0.21816666666666668</v>
      </c>
      <c r="BJ18" s="68">
        <f t="shared" si="28"/>
        <v>0.24516666666666664</v>
      </c>
      <c r="BK18" s="68">
        <f t="shared" si="11"/>
        <v>0.25966666666666671</v>
      </c>
      <c r="BL18" s="68">
        <f t="shared" si="12"/>
        <v>0.25316666666666665</v>
      </c>
      <c r="BM18" s="68">
        <f t="shared" si="13"/>
        <v>0.15341666666666667</v>
      </c>
      <c r="BN18" s="68">
        <f t="shared" si="29"/>
        <v>0.19325000000000001</v>
      </c>
      <c r="BO18" s="70">
        <f t="shared" si="6"/>
        <v>0.17760694444444444</v>
      </c>
      <c r="BP18" s="198">
        <f>$BP$19</f>
        <v>0.168125</v>
      </c>
      <c r="BQ18" s="90">
        <f t="shared" si="33"/>
        <v>16.8125</v>
      </c>
      <c r="BR18" s="73">
        <f t="shared" si="34"/>
        <v>6.2500000000001443E-4</v>
      </c>
      <c r="BS18" s="74">
        <f t="shared" si="9"/>
        <v>9.4819444444444456E-3</v>
      </c>
      <c r="BT18" s="15" t="s">
        <v>23</v>
      </c>
      <c r="BU18" s="3"/>
      <c r="BV18" s="2"/>
      <c r="BW18" s="2"/>
    </row>
    <row r="19" spans="2:75" x14ac:dyDescent="0.3">
      <c r="B19" s="775"/>
      <c r="C19" s="326" t="s">
        <v>24</v>
      </c>
      <c r="D19" s="62">
        <v>517.20000000000005</v>
      </c>
      <c r="E19" s="63">
        <v>456.3</v>
      </c>
      <c r="F19" s="63">
        <v>354.2</v>
      </c>
      <c r="G19" s="283">
        <v>241.3</v>
      </c>
      <c r="H19" s="283">
        <v>182.7</v>
      </c>
      <c r="I19" s="63">
        <v>301.8</v>
      </c>
      <c r="J19" s="283">
        <v>346.1</v>
      </c>
      <c r="K19" s="63">
        <v>190.2</v>
      </c>
      <c r="L19" s="63">
        <v>220</v>
      </c>
      <c r="M19" s="63">
        <v>350.8</v>
      </c>
      <c r="N19" s="63">
        <v>416.6</v>
      </c>
      <c r="O19" s="63">
        <v>471</v>
      </c>
      <c r="P19" s="63">
        <v>98.6</v>
      </c>
      <c r="Q19" s="283">
        <v>259.10000000000002</v>
      </c>
      <c r="R19" s="63">
        <v>402</v>
      </c>
      <c r="S19" s="63">
        <v>158</v>
      </c>
      <c r="T19" s="63">
        <v>259.3</v>
      </c>
      <c r="U19" s="63">
        <v>425.2</v>
      </c>
      <c r="V19" s="283">
        <v>524.70000000000005</v>
      </c>
      <c r="W19" s="283">
        <v>497.4</v>
      </c>
      <c r="X19" s="316">
        <v>235.5</v>
      </c>
      <c r="Y19" s="316">
        <v>270.3</v>
      </c>
      <c r="Z19" s="63">
        <v>232</v>
      </c>
      <c r="AA19" s="18">
        <v>374.9</v>
      </c>
      <c r="AB19" s="323">
        <v>423.4</v>
      </c>
      <c r="AC19" s="15">
        <v>477.9</v>
      </c>
      <c r="AD19" s="283">
        <v>513.29999999999995</v>
      </c>
      <c r="AE19" s="221">
        <v>496.5</v>
      </c>
      <c r="AF19" s="15">
        <v>319.5</v>
      </c>
      <c r="AG19" s="15">
        <v>361.5</v>
      </c>
      <c r="AH19" s="335">
        <f t="shared" si="0"/>
        <v>10377.299999999999</v>
      </c>
      <c r="AI19" s="118">
        <v>80</v>
      </c>
      <c r="AJ19" s="121">
        <f t="shared" si="31"/>
        <v>1.0248842592592592E-2</v>
      </c>
      <c r="AK19" s="67">
        <f t="shared" si="22"/>
        <v>0.26937500000000003</v>
      </c>
      <c r="AL19" s="68">
        <f t="shared" si="18"/>
        <v>0.23765625000000001</v>
      </c>
      <c r="AM19" s="68">
        <f t="shared" si="19"/>
        <v>0.18447916666666667</v>
      </c>
      <c r="AN19" s="68">
        <f t="shared" si="20"/>
        <v>0.12567708333333333</v>
      </c>
      <c r="AO19" s="68">
        <f t="shared" si="21"/>
        <v>9.5156249999999998E-2</v>
      </c>
      <c r="AP19" s="68">
        <f t="shared" si="23"/>
        <v>0.15718750000000001</v>
      </c>
      <c r="AQ19" s="68">
        <f t="shared" si="24"/>
        <v>0.18026041666666667</v>
      </c>
      <c r="AR19" s="68">
        <f>IF(OR(K19="",K19="Sem monitoramento"),"VAZIO",IFERROR(K19/($AI19*24),"-"))</f>
        <v>9.9062499999999998E-2</v>
      </c>
      <c r="AS19" s="68">
        <f>IF(OR(L21="",L21="Sem monitoramento"),"VAZIO",IFERROR(L21/($AI19*24),"-"))</f>
        <v>0.11947916666666666</v>
      </c>
      <c r="AT19" s="68" t="e">
        <f>IF(OR(#REF!="",#REF!="Sem monitoramento"),"VAZIO",IFERROR(#REF!/($AI19*24),"-"))</f>
        <v>#REF!</v>
      </c>
      <c r="AU19" s="68">
        <f>IF(OR(N19="",N19="Sem monitoramento"),"VAZIO",IFERROR(N19/($AI19*24),"-"))</f>
        <v>0.21697916666666667</v>
      </c>
      <c r="AV19" s="68">
        <f t="shared" si="36"/>
        <v>0.24531249999999999</v>
      </c>
      <c r="AW19" s="68">
        <f t="shared" si="25"/>
        <v>5.1354166666666666E-2</v>
      </c>
      <c r="AX19" s="68" t="e">
        <f>IF(OR(#REF!="",#REF!="Sem monitoramento"),"VAZIO",IFERROR(#REF!/($AI19*24),"-"))</f>
        <v>#REF!</v>
      </c>
      <c r="AY19" s="68">
        <f>IF(OR(R19="",R19="Sem monitoramento"),"VAZIO",IFERROR(R19/($AI19*24),"-"))</f>
        <v>0.20937500000000001</v>
      </c>
      <c r="AZ19" s="68">
        <f>IF(OR(S19="",S19="Sem monitoramento"),"VAZIO",IFERROR(S19/($AI19*24),"-"))</f>
        <v>8.2291666666666666E-2</v>
      </c>
      <c r="BA19" s="68">
        <f t="shared" si="37"/>
        <v>0.13505208333333335</v>
      </c>
      <c r="BB19" s="68">
        <f t="shared" ref="BB19:BB31" si="39">IF(OR(U19="",U19="Sem monitoramento"),"VAZIO",IFERROR(U19/($AI19*24),"-"))</f>
        <v>0.22145833333333334</v>
      </c>
      <c r="BC19" s="68" t="e">
        <f>IF(OR(#REF!="",#REF!="Sem monitoramento"),"VAZIO",IFERROR(#REF!/($AI19*24),"-"))</f>
        <v>#REF!</v>
      </c>
      <c r="BD19" s="68">
        <f t="shared" si="32"/>
        <v>0.25906249999999997</v>
      </c>
      <c r="BE19" s="68">
        <f>IF(OR(X21="",X21="Sem monitoramento"),"VAZIO",IFERROR(X21/($AI19*24),"-"))</f>
        <v>0.1225</v>
      </c>
      <c r="BF19" s="68" t="e">
        <f>IF(OR(#REF!="",#REF!="Sem monitoramento"),"VAZIO",IFERROR(#REF!/($AI19*24),"-"))</f>
        <v>#REF!</v>
      </c>
      <c r="BG19" s="68">
        <f t="shared" si="38"/>
        <v>0.12083333333333333</v>
      </c>
      <c r="BH19" s="68">
        <f t="shared" si="38"/>
        <v>0.19526041666666666</v>
      </c>
      <c r="BI19" s="68">
        <f>IF(OR(AB19="",AB19="Sem monitoramento"),"VAZIO",IFERROR(AB19/($AI19*24),"-"))</f>
        <v>0.22052083333333333</v>
      </c>
      <c r="BJ19" s="68">
        <f t="shared" si="28"/>
        <v>0.24890625</v>
      </c>
      <c r="BK19" s="68">
        <f t="shared" si="11"/>
        <v>0.26734374999999999</v>
      </c>
      <c r="BL19" s="68">
        <f t="shared" si="12"/>
        <v>0.25859375000000001</v>
      </c>
      <c r="BM19" s="68">
        <f t="shared" si="13"/>
        <v>0.16640625000000001</v>
      </c>
      <c r="BN19" s="68">
        <f t="shared" si="29"/>
        <v>0.18828125000000001</v>
      </c>
      <c r="BO19" s="70">
        <f t="shared" si="6"/>
        <v>0.18016145833333333</v>
      </c>
      <c r="BP19" s="180">
        <f>'FCs estimados em PVsyst'!Y17</f>
        <v>0.168125</v>
      </c>
      <c r="BQ19" s="72">
        <f t="shared" si="33"/>
        <v>13.45</v>
      </c>
      <c r="BR19" s="73">
        <f t="shared" si="34"/>
        <v>1.635416666666667E-2</v>
      </c>
      <c r="BS19" s="74">
        <f t="shared" si="9"/>
        <v>1.2036458333333333E-2</v>
      </c>
      <c r="BT19" s="15" t="s">
        <v>24</v>
      </c>
      <c r="BU19" s="3"/>
      <c r="BV19" s="2"/>
      <c r="BW19" s="2"/>
    </row>
    <row r="20" spans="2:75" x14ac:dyDescent="0.3">
      <c r="B20" s="775"/>
      <c r="C20" s="326" t="s">
        <v>25</v>
      </c>
      <c r="D20" s="223">
        <v>625.20000000000005</v>
      </c>
      <c r="E20" s="63">
        <v>563.29999999999995</v>
      </c>
      <c r="F20" s="63">
        <v>457.4</v>
      </c>
      <c r="G20" s="63">
        <v>325.89999999999998</v>
      </c>
      <c r="H20" s="283">
        <v>243.4</v>
      </c>
      <c r="I20" s="63">
        <v>376.2</v>
      </c>
      <c r="J20" s="283">
        <v>430.4</v>
      </c>
      <c r="K20" s="316">
        <v>249.2</v>
      </c>
      <c r="L20" s="63">
        <v>289.3</v>
      </c>
      <c r="M20" s="63">
        <v>460.2</v>
      </c>
      <c r="N20" s="316">
        <v>495.5</v>
      </c>
      <c r="O20" s="63">
        <v>580.5</v>
      </c>
      <c r="P20" s="63">
        <v>128.19999999999999</v>
      </c>
      <c r="Q20" s="283">
        <v>334.4</v>
      </c>
      <c r="R20" s="316">
        <v>475.5</v>
      </c>
      <c r="S20" s="63">
        <v>205.8</v>
      </c>
      <c r="T20" s="63">
        <v>330.5</v>
      </c>
      <c r="U20" s="63">
        <v>491.9</v>
      </c>
      <c r="V20" s="519">
        <v>632.79999999999995</v>
      </c>
      <c r="W20" s="283">
        <v>592.79999999999995</v>
      </c>
      <c r="X20" s="283">
        <v>275.39999999999998</v>
      </c>
      <c r="Y20" s="63">
        <v>347.4</v>
      </c>
      <c r="Z20" s="316">
        <v>299</v>
      </c>
      <c r="AA20" s="18">
        <v>457.5</v>
      </c>
      <c r="AB20" s="323">
        <v>473.8</v>
      </c>
      <c r="AC20" s="283">
        <v>531.1</v>
      </c>
      <c r="AD20" s="283">
        <v>618.4</v>
      </c>
      <c r="AE20" s="283">
        <v>608.20000000000005</v>
      </c>
      <c r="AF20" s="283">
        <v>400.5</v>
      </c>
      <c r="AG20" s="221">
        <v>442.6</v>
      </c>
      <c r="AH20" s="335">
        <f t="shared" si="0"/>
        <v>12742.3</v>
      </c>
      <c r="AI20" s="118">
        <v>100</v>
      </c>
      <c r="AJ20" s="121">
        <f t="shared" si="31"/>
        <v>1.0587962962962962E-2</v>
      </c>
      <c r="AK20" s="67">
        <f t="shared" si="22"/>
        <v>0.26050000000000001</v>
      </c>
      <c r="AL20" s="68">
        <f t="shared" si="18"/>
        <v>0.23470833333333332</v>
      </c>
      <c r="AM20" s="68">
        <f t="shared" si="19"/>
        <v>0.19058333333333333</v>
      </c>
      <c r="AN20" s="68">
        <f t="shared" si="20"/>
        <v>0.13579166666666664</v>
      </c>
      <c r="AO20" s="68">
        <f t="shared" si="21"/>
        <v>0.10141666666666667</v>
      </c>
      <c r="AP20" s="68">
        <f t="shared" si="23"/>
        <v>0.15675</v>
      </c>
      <c r="AQ20" s="68">
        <f t="shared" si="24"/>
        <v>0.17933333333333332</v>
      </c>
      <c r="AR20" s="68">
        <f>IF(OR(K17="",K17="Sem monitoramento"),"VAZIO",IFERROR(K17/($AI20*24),"-"))</f>
        <v>9.7291666666666665E-2</v>
      </c>
      <c r="AS20" s="68">
        <f>IF(OR(L20="",L20="Sem monitoramento"),"VAZIO",IFERROR(L20/($AI20*24),"-"))</f>
        <v>0.12054166666666667</v>
      </c>
      <c r="AT20" s="68">
        <f>IF(OR(M20="",M20="Sem monitoramento"),"VAZIO",IFERROR(M20/($AI20*24),"-"))</f>
        <v>0.19175</v>
      </c>
      <c r="AU20" s="68">
        <f>IF(OR(N21="",N21="Sem monitoramento"),"VAZIO",IFERROR(N21/($AI20*24),"-"))</f>
        <v>0.16908333333333334</v>
      </c>
      <c r="AV20" s="68">
        <f t="shared" si="36"/>
        <v>0.24187500000000001</v>
      </c>
      <c r="AW20" s="68">
        <f t="shared" si="25"/>
        <v>5.3416666666666661E-2</v>
      </c>
      <c r="AX20" s="68">
        <f t="shared" ref="AX20:AX31" si="40">IF(OR(Q20="",Q20="Sem monitoramento"),"VAZIO",IFERROR(Q20/($AI20*24),"-"))</f>
        <v>0.13933333333333334</v>
      </c>
      <c r="AY20" s="68">
        <f>IF(OR(R18="",R18="Sem monitoramento"),"VAZIO",IFERROR(R18/($AI20*24),"-"))</f>
        <v>0.199125</v>
      </c>
      <c r="AZ20" s="68">
        <f>IF(OR(S21="",S21="Sem monitoramento"),"VAZIO",IFERROR(S21/($AI20*24),"-"))</f>
        <v>6.7541666666666667E-2</v>
      </c>
      <c r="BA20" s="68">
        <f t="shared" si="37"/>
        <v>0.13770833333333332</v>
      </c>
      <c r="BB20" s="68">
        <f t="shared" si="39"/>
        <v>0.20495833333333333</v>
      </c>
      <c r="BC20" s="68">
        <f>IF(OR(V19="",V19="Sem monitoramento"),"VAZIO",IFERROR(V19/($AI20*24),"-"))</f>
        <v>0.21862500000000001</v>
      </c>
      <c r="BD20" s="68">
        <f t="shared" si="32"/>
        <v>0.24699999999999997</v>
      </c>
      <c r="BE20" s="68">
        <f>IF(OR(X22="",X22="Sem monitoramento"),"VAZIO",IFERROR(X22/($AI20*24),"-"))</f>
        <v>0.17945833333333333</v>
      </c>
      <c r="BF20" s="68">
        <f>IF(OR(Y18="",Y18="Sem monitoramento"),"VAZIO",IFERROR(Y18/($AI20*24),"-"))</f>
        <v>0.12525</v>
      </c>
      <c r="BG20" s="68">
        <f t="shared" si="38"/>
        <v>0.12458333333333334</v>
      </c>
      <c r="BH20" s="68">
        <f t="shared" si="38"/>
        <v>0.19062499999999999</v>
      </c>
      <c r="BI20" s="68">
        <f>IF(OR(AB20="",AB20="Sem monitoramento"),"VAZIO",IFERROR(AB20/($AI20*24),"-"))</f>
        <v>0.19741666666666668</v>
      </c>
      <c r="BJ20" s="68">
        <f t="shared" si="28"/>
        <v>0.22129166666666666</v>
      </c>
      <c r="BK20" s="68">
        <f>IF(OR(AD21="",AD21="Sem monitoramento"),"VAZIO",IFERROR(AD21/($AI20*24),"-"))</f>
        <v>0.21745833333333334</v>
      </c>
      <c r="BL20" s="68">
        <f t="shared" ref="BL20:BL31" si="41">IF(OR(AE20="",AE20="Sem monitoramento"),"VAZIO",IFERROR(AE20/($AI20*24),"-"))</f>
        <v>0.25341666666666668</v>
      </c>
      <c r="BM20" s="68">
        <f t="shared" ref="BM20:BM31" si="42">IF(OR(AF20="",AF20="Sem monitoramento"),"VAZIO",IFERROR(AF20/($AI20*24),"-"))</f>
        <v>0.166875</v>
      </c>
      <c r="BN20" s="68">
        <f t="shared" si="29"/>
        <v>0.18441666666666667</v>
      </c>
      <c r="BO20" s="70">
        <f t="shared" si="6"/>
        <v>0.17697638888888889</v>
      </c>
      <c r="BP20" s="198">
        <f t="shared" ref="BP20:BP30" si="43">$BP$19</f>
        <v>0.168125</v>
      </c>
      <c r="BQ20" s="72">
        <f t="shared" si="33"/>
        <v>16.8125</v>
      </c>
      <c r="BR20" s="73">
        <f t="shared" si="34"/>
        <v>2.245833333333333E-2</v>
      </c>
      <c r="BS20" s="74">
        <f t="shared" si="9"/>
        <v>8.8513888888888947E-3</v>
      </c>
      <c r="BT20" s="15" t="s">
        <v>25</v>
      </c>
      <c r="BU20" s="3"/>
      <c r="BV20" s="2"/>
      <c r="BW20" s="2"/>
    </row>
    <row r="21" spans="2:75" x14ac:dyDescent="0.3">
      <c r="B21" s="775"/>
      <c r="C21" s="326" t="s">
        <v>26</v>
      </c>
      <c r="D21" s="223">
        <v>559.9</v>
      </c>
      <c r="E21" s="283">
        <v>485.8</v>
      </c>
      <c r="F21" s="283">
        <v>380.1</v>
      </c>
      <c r="G21" s="283">
        <v>259.10000000000002</v>
      </c>
      <c r="H21" s="283">
        <v>193.9</v>
      </c>
      <c r="I21" s="63">
        <v>312.7</v>
      </c>
      <c r="J21" s="283">
        <v>353.9</v>
      </c>
      <c r="K21" s="63">
        <v>197.5</v>
      </c>
      <c r="L21" s="283">
        <v>229.4</v>
      </c>
      <c r="M21" s="316">
        <v>380.3</v>
      </c>
      <c r="N21" s="63">
        <v>405.8</v>
      </c>
      <c r="O21" s="63">
        <v>509.3</v>
      </c>
      <c r="P21" s="63">
        <v>102.3</v>
      </c>
      <c r="Q21" s="283">
        <v>270.10000000000002</v>
      </c>
      <c r="R21" s="63">
        <v>401.1</v>
      </c>
      <c r="S21" s="63">
        <v>162.1</v>
      </c>
      <c r="T21" s="283">
        <v>263.3</v>
      </c>
      <c r="U21" s="283">
        <v>413</v>
      </c>
      <c r="V21" s="283">
        <v>543.70000000000005</v>
      </c>
      <c r="W21" s="283">
        <v>513.20000000000005</v>
      </c>
      <c r="X21" s="283">
        <v>235.2</v>
      </c>
      <c r="Y21" s="283">
        <v>285.60000000000002</v>
      </c>
      <c r="Z21" s="63">
        <v>236.5</v>
      </c>
      <c r="AA21" s="320">
        <v>383.5</v>
      </c>
      <c r="AB21" s="323">
        <v>398.5</v>
      </c>
      <c r="AC21" s="221">
        <v>452</v>
      </c>
      <c r="AD21" s="283">
        <v>521.9</v>
      </c>
      <c r="AE21" s="221">
        <v>508.8</v>
      </c>
      <c r="AF21" s="221">
        <v>331.7</v>
      </c>
      <c r="AG21" s="221">
        <v>371.6</v>
      </c>
      <c r="AH21" s="335">
        <f t="shared" si="0"/>
        <v>10661.800000000003</v>
      </c>
      <c r="AI21" s="118">
        <v>100</v>
      </c>
      <c r="AJ21" s="121">
        <f t="shared" si="31"/>
        <v>8.7986111111111112E-3</v>
      </c>
      <c r="AK21" s="67">
        <f t="shared" si="22"/>
        <v>0.23329166666666665</v>
      </c>
      <c r="AL21" s="68">
        <f t="shared" si="18"/>
        <v>0.20241666666666666</v>
      </c>
      <c r="AM21" s="68">
        <f t="shared" si="19"/>
        <v>0.15837500000000002</v>
      </c>
      <c r="AN21" s="68">
        <f t="shared" si="20"/>
        <v>0.10795833333333334</v>
      </c>
      <c r="AO21" s="68">
        <f t="shared" si="21"/>
        <v>8.0791666666666664E-2</v>
      </c>
      <c r="AP21" s="68">
        <f t="shared" si="23"/>
        <v>0.13029166666666667</v>
      </c>
      <c r="AQ21" s="68">
        <f t="shared" si="24"/>
        <v>0.14745833333333333</v>
      </c>
      <c r="AR21" s="68">
        <f t="shared" ref="AR21:AR31" si="44">IF(OR(K21="",K21="Sem monitoramento"),"VAZIO",IFERROR(K21/($AI21*24),"-"))</f>
        <v>8.2291666666666666E-2</v>
      </c>
      <c r="AS21" s="68">
        <f t="shared" ref="AS21:AS31" si="45">IF(OR(L21="",L21="Sem monitoramento"),"VAZIO",IFERROR(L21/($AI21*24),"-"))</f>
        <v>9.558333333333334E-2</v>
      </c>
      <c r="AT21" s="68">
        <f>IF(OR(M19="",M19="Sem monitoramento"),"VAZIO",IFERROR(M19/($AI21*24),"-"))</f>
        <v>0.14616666666666667</v>
      </c>
      <c r="AU21" s="68">
        <f>IF(OR(N22="",N22="Sem monitoramento"),"VAZIO",IFERROR(N22/($AI21*24),"-"))</f>
        <v>0.21833333333333332</v>
      </c>
      <c r="AV21" s="68">
        <f t="shared" si="36"/>
        <v>0.21220833333333333</v>
      </c>
      <c r="AW21" s="68">
        <f t="shared" si="25"/>
        <v>4.2624999999999996E-2</v>
      </c>
      <c r="AX21" s="68">
        <f t="shared" si="40"/>
        <v>0.11254166666666668</v>
      </c>
      <c r="AY21" s="68">
        <f t="shared" ref="AY21:AY31" si="46">IF(OR(R21="",R21="Sem monitoramento"),"VAZIO",IFERROR(R21/($AI21*24),"-"))</f>
        <v>0.167125</v>
      </c>
      <c r="AZ21" s="68">
        <f>IF(OR(S22="",S22="Sem monitoramento"),"VAZIO",IFERROR(S22/($AI21*24),"-"))</f>
        <v>4.0333333333333332E-2</v>
      </c>
      <c r="BA21" s="68">
        <f t="shared" si="37"/>
        <v>0.10970833333333334</v>
      </c>
      <c r="BB21" s="68">
        <f t="shared" si="39"/>
        <v>0.17208333333333334</v>
      </c>
      <c r="BC21" s="68">
        <f>IF(OR(V21="",V21="Sem monitoramento"),"VAZIO",IFERROR(V21/($AI21*24),"-"))</f>
        <v>0.2265416666666667</v>
      </c>
      <c r="BD21" s="68">
        <f t="shared" si="32"/>
        <v>0.21383333333333335</v>
      </c>
      <c r="BE21" s="68">
        <f>IF(OR(X23="",X23="Sem monitoramento"),"VAZIO",IFERROR(X23/($AI21*24),"-"))</f>
        <v>0.16529166666666667</v>
      </c>
      <c r="BF21" s="68">
        <f t="shared" ref="BF21:BF31" si="47">IF(OR(Y21="",Y21="Sem monitoramento"),"VAZIO",IFERROR(Y21/($AI21*24),"-"))</f>
        <v>0.11900000000000001</v>
      </c>
      <c r="BG21" s="68">
        <f t="shared" si="38"/>
        <v>9.8541666666666666E-2</v>
      </c>
      <c r="BH21" s="68">
        <f t="shared" si="38"/>
        <v>0.15979166666666667</v>
      </c>
      <c r="BI21" s="68">
        <f>IF(OR(AB20="",AB20="Sem monitoramento"),"VAZIO",IFERROR(AB20/($AI21*24),"-"))</f>
        <v>0.19741666666666668</v>
      </c>
      <c r="BJ21" s="68">
        <f t="shared" si="28"/>
        <v>0.18833333333333332</v>
      </c>
      <c r="BK21" s="68" t="e">
        <f>IF(OR(#REF!="",#REF!="Sem monitoramento"),"VAZIO",IFERROR(#REF!/($AI21*24),"-"))</f>
        <v>#REF!</v>
      </c>
      <c r="BL21" s="68">
        <f t="shared" si="41"/>
        <v>0.21199999999999999</v>
      </c>
      <c r="BM21" s="68">
        <f t="shared" si="42"/>
        <v>0.13820833333333332</v>
      </c>
      <c r="BN21" s="68">
        <f t="shared" si="29"/>
        <v>0.15483333333333335</v>
      </c>
      <c r="BO21" s="70">
        <f t="shared" si="6"/>
        <v>0.1480805555555556</v>
      </c>
      <c r="BP21" s="198">
        <f t="shared" si="43"/>
        <v>0.168125</v>
      </c>
      <c r="BQ21" s="72">
        <f t="shared" si="33"/>
        <v>16.8125</v>
      </c>
      <c r="BR21" s="73">
        <f t="shared" si="34"/>
        <v>-9.7499999999999809E-3</v>
      </c>
      <c r="BS21" s="74">
        <f t="shared" si="9"/>
        <v>-2.0044444444444393E-2</v>
      </c>
      <c r="BT21" s="15" t="s">
        <v>26</v>
      </c>
      <c r="BU21" s="3"/>
      <c r="BV21" s="2"/>
      <c r="BW21" s="2"/>
    </row>
    <row r="22" spans="2:75" x14ac:dyDescent="0.3">
      <c r="B22" s="775"/>
      <c r="C22" s="326" t="s">
        <v>28</v>
      </c>
      <c r="D22" s="305">
        <v>341.9</v>
      </c>
      <c r="E22" s="282">
        <v>46.2</v>
      </c>
      <c r="F22" s="282">
        <v>0</v>
      </c>
      <c r="G22" s="282">
        <v>0</v>
      </c>
      <c r="H22" s="282">
        <v>0</v>
      </c>
      <c r="I22" s="282">
        <v>0</v>
      </c>
      <c r="J22" s="282">
        <v>233.8</v>
      </c>
      <c r="K22" s="63">
        <v>216.8</v>
      </c>
      <c r="L22" s="63">
        <v>287.3</v>
      </c>
      <c r="M22" s="63">
        <v>488.2</v>
      </c>
      <c r="N22" s="63">
        <v>524</v>
      </c>
      <c r="O22" s="283">
        <v>558.6</v>
      </c>
      <c r="P22" s="282">
        <v>47.5</v>
      </c>
      <c r="Q22" s="283">
        <v>325.3</v>
      </c>
      <c r="R22" s="283">
        <v>309.10000000000002</v>
      </c>
      <c r="S22" s="283">
        <v>96.8</v>
      </c>
      <c r="T22" s="63">
        <v>427.7</v>
      </c>
      <c r="U22" s="63">
        <v>535</v>
      </c>
      <c r="V22" s="63">
        <v>606.20000000000005</v>
      </c>
      <c r="W22" s="283">
        <v>299.60000000000002</v>
      </c>
      <c r="X22" s="63">
        <v>430.7</v>
      </c>
      <c r="Y22" s="63">
        <v>379.6</v>
      </c>
      <c r="Z22" s="15">
        <v>319.60000000000002</v>
      </c>
      <c r="AA22" s="18">
        <v>507.3</v>
      </c>
      <c r="AB22" s="20">
        <v>545.9</v>
      </c>
      <c r="AC22" s="15">
        <v>554.79999999999995</v>
      </c>
      <c r="AD22" s="221">
        <v>619</v>
      </c>
      <c r="AE22" s="15">
        <v>604.70000000000005</v>
      </c>
      <c r="AF22" s="15">
        <v>311.2</v>
      </c>
      <c r="AG22" s="148">
        <v>449.8</v>
      </c>
      <c r="AH22" s="335">
        <f t="shared" si="0"/>
        <v>10066.600000000002</v>
      </c>
      <c r="AI22" s="118">
        <v>100</v>
      </c>
      <c r="AJ22" s="121">
        <f t="shared" si="31"/>
        <v>0</v>
      </c>
      <c r="AK22" s="67">
        <f t="shared" si="22"/>
        <v>0.14245833333333333</v>
      </c>
      <c r="AL22" s="68">
        <f t="shared" si="18"/>
        <v>1.925E-2</v>
      </c>
      <c r="AM22" s="68">
        <f t="shared" si="19"/>
        <v>0</v>
      </c>
      <c r="AN22" s="68">
        <f t="shared" si="20"/>
        <v>0</v>
      </c>
      <c r="AO22" s="68">
        <f t="shared" si="21"/>
        <v>0</v>
      </c>
      <c r="AP22" s="68">
        <f t="shared" si="23"/>
        <v>0</v>
      </c>
      <c r="AQ22" s="68">
        <f t="shared" si="24"/>
        <v>9.7416666666666665E-2</v>
      </c>
      <c r="AR22" s="68">
        <f t="shared" si="44"/>
        <v>9.0333333333333335E-2</v>
      </c>
      <c r="AS22" s="68">
        <f t="shared" si="45"/>
        <v>0.11970833333333333</v>
      </c>
      <c r="AT22" s="68" t="e">
        <f>IF(OR(#REF!="",#REF!="Sem monitoramento"),"VAZIO",IFERROR(#REF!/($AI22*24),"-"))</f>
        <v>#REF!</v>
      </c>
      <c r="AU22" s="68">
        <f>IF(OR(N22="",N22="Sem monitoramento"),"VAZIO",IFERROR(N22/($AI22*24),"-"))</f>
        <v>0.21833333333333332</v>
      </c>
      <c r="AV22" s="68">
        <f t="shared" si="36"/>
        <v>0.23275000000000001</v>
      </c>
      <c r="AW22" s="68">
        <f t="shared" si="25"/>
        <v>1.9791666666666666E-2</v>
      </c>
      <c r="AX22" s="68">
        <f t="shared" si="40"/>
        <v>0.13554166666666667</v>
      </c>
      <c r="AY22" s="68">
        <f t="shared" si="46"/>
        <v>0.12879166666666667</v>
      </c>
      <c r="AZ22" s="68">
        <f t="shared" ref="AZ22:AZ31" si="48">IF(OR(S22="",S22="Sem monitoramento"),"VAZIO",IFERROR(S22/($AI22*24),"-"))</f>
        <v>4.0333333333333332E-2</v>
      </c>
      <c r="BA22" s="68">
        <f t="shared" si="37"/>
        <v>0.17820833333333333</v>
      </c>
      <c r="BB22" s="68">
        <f t="shared" si="39"/>
        <v>0.22291666666666668</v>
      </c>
      <c r="BC22" s="68">
        <f>IF(OR(V22="",V22="Sem monitoramento"),"VAZIO",IFERROR(V22/($AI22*24),"-"))</f>
        <v>0.25258333333333333</v>
      </c>
      <c r="BD22" s="68">
        <f t="shared" si="32"/>
        <v>0.12483333333333334</v>
      </c>
      <c r="BE22" s="68">
        <f>IF(OR(X22="",X22="Sem monitoramento"),"VAZIO",IFERROR(X22/($AI22*24),"-"))</f>
        <v>0.17945833333333333</v>
      </c>
      <c r="BF22" s="68">
        <f t="shared" si="47"/>
        <v>0.15816666666666668</v>
      </c>
      <c r="BG22" s="68">
        <f t="shared" si="38"/>
        <v>0.13316666666666668</v>
      </c>
      <c r="BH22" s="68">
        <f t="shared" si="38"/>
        <v>0.21137500000000001</v>
      </c>
      <c r="BI22" s="68">
        <f>IF(OR(AB21="",AB21="Sem monitoramento"),"VAZIO",IFERROR(AB21/($AI22*24),"-"))</f>
        <v>0.16604166666666667</v>
      </c>
      <c r="BJ22" s="68">
        <f t="shared" si="28"/>
        <v>0.23116666666666666</v>
      </c>
      <c r="BK22" s="68">
        <f t="shared" ref="BK22:BK31" si="49">IF(OR(AD22="",AD22="Sem monitoramento"),"VAZIO",IFERROR(AD22/($AI22*24),"-"))</f>
        <v>0.25791666666666668</v>
      </c>
      <c r="BL22" s="68">
        <f t="shared" si="41"/>
        <v>0.25195833333333334</v>
      </c>
      <c r="BM22" s="68">
        <f t="shared" si="42"/>
        <v>0.12966666666666665</v>
      </c>
      <c r="BN22" s="68">
        <f>IF(OR(AG23="",AG23="Sem monitoramento"),"VAZIO",IFERROR(AG23/($AI22*24),"-"))</f>
        <v>0.16779166666666667</v>
      </c>
      <c r="BO22" s="70">
        <f t="shared" si="6"/>
        <v>0.13981388888888893</v>
      </c>
      <c r="BP22" s="198">
        <f t="shared" si="43"/>
        <v>0.168125</v>
      </c>
      <c r="BQ22" s="72">
        <f t="shared" si="33"/>
        <v>16.8125</v>
      </c>
      <c r="BR22" s="73">
        <f t="shared" si="34"/>
        <v>-0.168125</v>
      </c>
      <c r="BS22" s="74">
        <f t="shared" si="9"/>
        <v>-2.8311111111111065E-2</v>
      </c>
      <c r="BT22" s="15" t="s">
        <v>27</v>
      </c>
      <c r="BU22" s="3"/>
      <c r="BV22" s="2"/>
      <c r="BW22" s="2"/>
    </row>
    <row r="23" spans="2:75" x14ac:dyDescent="0.3">
      <c r="B23" s="775"/>
      <c r="C23" s="326" t="s">
        <v>29</v>
      </c>
      <c r="D23" s="223">
        <v>560.70000000000005</v>
      </c>
      <c r="E23" s="63">
        <v>492.1</v>
      </c>
      <c r="F23" s="283">
        <v>394.2</v>
      </c>
      <c r="G23" s="63">
        <v>222.7</v>
      </c>
      <c r="H23" s="259">
        <v>248.4</v>
      </c>
      <c r="I23" s="63">
        <v>316.89999999999998</v>
      </c>
      <c r="J23" s="63">
        <v>353.7</v>
      </c>
      <c r="K23" s="63">
        <v>190.2</v>
      </c>
      <c r="L23" s="63">
        <v>256.10000000000002</v>
      </c>
      <c r="M23" s="316">
        <v>437.3</v>
      </c>
      <c r="N23" s="63">
        <v>466.3</v>
      </c>
      <c r="O23" s="519">
        <v>518</v>
      </c>
      <c r="P23" s="282">
        <v>45</v>
      </c>
      <c r="Q23" s="283">
        <v>284.39999999999998</v>
      </c>
      <c r="R23" s="63">
        <v>270.3</v>
      </c>
      <c r="S23" s="63">
        <v>85.6</v>
      </c>
      <c r="T23" s="63">
        <v>375.7</v>
      </c>
      <c r="U23" s="63">
        <v>475.9</v>
      </c>
      <c r="V23" s="63">
        <v>559.5</v>
      </c>
      <c r="W23" s="283">
        <v>275.3</v>
      </c>
      <c r="X23" s="63">
        <v>396.7</v>
      </c>
      <c r="Y23" s="63">
        <v>340.7</v>
      </c>
      <c r="Z23" s="15">
        <v>283.60000000000002</v>
      </c>
      <c r="AA23" s="18">
        <v>451.2</v>
      </c>
      <c r="AB23" s="20">
        <v>499.2</v>
      </c>
      <c r="AC23" s="15">
        <v>505.4</v>
      </c>
      <c r="AD23" s="15">
        <v>562.9</v>
      </c>
      <c r="AE23" s="15">
        <v>549.4</v>
      </c>
      <c r="AF23" s="15">
        <v>277.89999999999998</v>
      </c>
      <c r="AG23" s="15">
        <v>402.7</v>
      </c>
      <c r="AH23" s="335">
        <f t="shared" si="0"/>
        <v>11098</v>
      </c>
      <c r="AI23" s="118">
        <v>100</v>
      </c>
      <c r="AJ23" s="121">
        <f t="shared" si="31"/>
        <v>9.1249999999999994E-3</v>
      </c>
      <c r="AK23" s="67">
        <f t="shared" si="22"/>
        <v>0.23362500000000003</v>
      </c>
      <c r="AL23" s="68">
        <f t="shared" si="18"/>
        <v>0.20504166666666668</v>
      </c>
      <c r="AM23" s="68">
        <f t="shared" si="19"/>
        <v>0.16425000000000001</v>
      </c>
      <c r="AN23" s="68">
        <f t="shared" si="20"/>
        <v>9.2791666666666661E-2</v>
      </c>
      <c r="AO23" s="68">
        <f t="shared" si="21"/>
        <v>0.10350000000000001</v>
      </c>
      <c r="AP23" s="68">
        <f t="shared" si="23"/>
        <v>0.13204166666666667</v>
      </c>
      <c r="AQ23" s="68">
        <f t="shared" si="24"/>
        <v>0.14737500000000001</v>
      </c>
      <c r="AR23" s="68">
        <f t="shared" si="44"/>
        <v>7.9250000000000001E-2</v>
      </c>
      <c r="AS23" s="68">
        <f t="shared" si="45"/>
        <v>0.10670833333333335</v>
      </c>
      <c r="AT23" s="68">
        <f>IF(OR(M22="",M22="Sem monitoramento"),"VAZIO",IFERROR(M22/($AI23*24),"-"))</f>
        <v>0.20341666666666666</v>
      </c>
      <c r="AU23" s="68">
        <f>IF(OR(N23="",N23="Sem monitoramento"),"VAZIO",IFERROR(N23/($AI23*24),"-"))</f>
        <v>0.19429166666666667</v>
      </c>
      <c r="AV23" s="68">
        <f>IF(OR(O20="",O20="Sem monitoramento"),"VAZIO",IFERROR(O20/($AI23*24),"-"))</f>
        <v>0.24187500000000001</v>
      </c>
      <c r="AW23" s="68">
        <f t="shared" si="25"/>
        <v>1.8749999999999999E-2</v>
      </c>
      <c r="AX23" s="68">
        <f t="shared" si="40"/>
        <v>0.11849999999999999</v>
      </c>
      <c r="AY23" s="68">
        <f t="shared" si="46"/>
        <v>0.112625</v>
      </c>
      <c r="AZ23" s="68">
        <f t="shared" si="48"/>
        <v>3.5666666666666666E-2</v>
      </c>
      <c r="BA23" s="68">
        <f t="shared" si="37"/>
        <v>0.15654166666666666</v>
      </c>
      <c r="BB23" s="68">
        <f t="shared" si="39"/>
        <v>0.19829166666666664</v>
      </c>
      <c r="BC23" s="68">
        <f>IF(OR(V23="",V23="Sem monitoramento"),"VAZIO",IFERROR(V23/($AI23*24),"-"))</f>
        <v>0.233125</v>
      </c>
      <c r="BD23" s="68">
        <f>IF(OR(W24="",W24="Sem monitoramento"),"VAZIO",IFERROR(W24/($AI23*24),"-"))</f>
        <v>1.2E-2</v>
      </c>
      <c r="BE23" s="68">
        <f>IF(OR(X23="",X23="Sem monitoramento"),"VAZIO",IFERROR(X23/($AI23*24),"-"))</f>
        <v>0.16529166666666667</v>
      </c>
      <c r="BF23" s="68">
        <f t="shared" si="47"/>
        <v>0.14195833333333333</v>
      </c>
      <c r="BG23" s="68">
        <f t="shared" si="38"/>
        <v>0.11816666666666667</v>
      </c>
      <c r="BH23" s="68">
        <f t="shared" si="38"/>
        <v>0.188</v>
      </c>
      <c r="BI23" s="68">
        <f t="shared" ref="BI23:BI31" si="50">IF(OR(AB23="",AB23="Sem monitoramento"),"VAZIO",IFERROR(AB23/($AI23*24),"-"))</f>
        <v>0.20799999999999999</v>
      </c>
      <c r="BJ23" s="68">
        <f t="shared" si="28"/>
        <v>0.21058333333333332</v>
      </c>
      <c r="BK23" s="68">
        <f t="shared" si="49"/>
        <v>0.23454166666666665</v>
      </c>
      <c r="BL23" s="68">
        <f t="shared" si="41"/>
        <v>0.22891666666666666</v>
      </c>
      <c r="BM23" s="68">
        <f t="shared" si="42"/>
        <v>0.11579166666666665</v>
      </c>
      <c r="BN23" s="68" t="e">
        <f>IF(OR(#REF!="",#REF!="Sem monitoramento"),"VAZIO",IFERROR(#REF!/($AI23*24),"-"))</f>
        <v>#REF!</v>
      </c>
      <c r="BO23" s="70">
        <f t="shared" si="6"/>
        <v>0.15413888888888888</v>
      </c>
      <c r="BP23" s="198">
        <f t="shared" si="43"/>
        <v>0.168125</v>
      </c>
      <c r="BQ23" s="72">
        <f t="shared" si="33"/>
        <v>16.8125</v>
      </c>
      <c r="BR23" s="73">
        <f t="shared" si="34"/>
        <v>-3.8749999999999896E-3</v>
      </c>
      <c r="BS23" s="74">
        <f t="shared" si="9"/>
        <v>-1.3986111111111116E-2</v>
      </c>
      <c r="BT23" s="15" t="s">
        <v>28</v>
      </c>
      <c r="BU23" s="3"/>
      <c r="BV23" s="2"/>
      <c r="BW23" s="2"/>
    </row>
    <row r="24" spans="2:75" x14ac:dyDescent="0.3">
      <c r="B24" s="775"/>
      <c r="C24" s="326" t="s">
        <v>30</v>
      </c>
      <c r="D24" s="223">
        <v>2169.4</v>
      </c>
      <c r="E24" s="63">
        <v>1888.3</v>
      </c>
      <c r="F24" s="63">
        <f>573.8+420.3+556.4</f>
        <v>1550.5</v>
      </c>
      <c r="G24" s="63">
        <v>898.2</v>
      </c>
      <c r="H24" s="283">
        <v>966.6</v>
      </c>
      <c r="I24" s="63">
        <v>1247.4000000000001</v>
      </c>
      <c r="J24" s="316">
        <v>1394.2</v>
      </c>
      <c r="K24" s="63">
        <v>748.9</v>
      </c>
      <c r="L24" s="63">
        <v>995.9</v>
      </c>
      <c r="M24" s="63">
        <f>635.7+462+618</f>
        <v>1715.7</v>
      </c>
      <c r="N24" s="283">
        <v>1837.7</v>
      </c>
      <c r="O24" s="283">
        <v>1989.4</v>
      </c>
      <c r="P24" s="282">
        <v>166.3</v>
      </c>
      <c r="Q24" s="283">
        <v>1120</v>
      </c>
      <c r="R24" s="63">
        <v>1066.5</v>
      </c>
      <c r="S24" s="63">
        <v>332.4</v>
      </c>
      <c r="T24" s="63">
        <v>1480</v>
      </c>
      <c r="U24" s="63">
        <v>1871.7</v>
      </c>
      <c r="V24" s="31">
        <v>2134.6999999999998</v>
      </c>
      <c r="W24" s="283">
        <v>28.8</v>
      </c>
      <c r="X24" s="316">
        <v>1560</v>
      </c>
      <c r="Y24" s="63">
        <v>1341.2</v>
      </c>
      <c r="Z24" s="15">
        <v>1117.0999999999999</v>
      </c>
      <c r="AA24" s="18">
        <v>1773.2</v>
      </c>
      <c r="AB24" s="323">
        <f>687.1+522.3+702.7</f>
        <v>1912.1000000000001</v>
      </c>
      <c r="AC24" s="221">
        <v>1934.8</v>
      </c>
      <c r="AD24" s="15">
        <v>2122</v>
      </c>
      <c r="AE24" s="15">
        <v>2052.3000000000002</v>
      </c>
      <c r="AF24" s="15">
        <v>1090.0999999999999</v>
      </c>
      <c r="AG24" s="15">
        <v>1564.8</v>
      </c>
      <c r="AH24" s="335">
        <f t="shared" si="0"/>
        <v>42070.200000000012</v>
      </c>
      <c r="AI24" s="118">
        <v>383</v>
      </c>
      <c r="AJ24" s="121">
        <f t="shared" si="31"/>
        <v>9.3710714631080171E-3</v>
      </c>
      <c r="AK24" s="67">
        <f t="shared" si="22"/>
        <v>0.23600957354221064</v>
      </c>
      <c r="AL24" s="68">
        <f t="shared" si="18"/>
        <v>0.20542863359442992</v>
      </c>
      <c r="AM24" s="68">
        <f t="shared" si="19"/>
        <v>0.16867928633594431</v>
      </c>
      <c r="AN24" s="68">
        <f t="shared" si="20"/>
        <v>9.7715404699738911E-2</v>
      </c>
      <c r="AO24" s="68">
        <f t="shared" si="21"/>
        <v>0.10515665796344648</v>
      </c>
      <c r="AP24" s="68">
        <f t="shared" ref="AP24:AP31" si="51">IF(OR(I24="",I24="Sem monitoramento"),"VAZIO",IFERROR(I24/($AI24*24),"-"))</f>
        <v>0.13570496083550915</v>
      </c>
      <c r="AQ24" s="68">
        <f>IF(OR(J29="",J29="Sem monitoramento"),"VAZIO",IFERROR(J29/($AI24*24),"-"))</f>
        <v>4.6562228024369018E-2</v>
      </c>
      <c r="AR24" s="68">
        <f t="shared" si="44"/>
        <v>8.1473020017406445E-2</v>
      </c>
      <c r="AS24" s="68">
        <f t="shared" si="45"/>
        <v>0.10834421235857267</v>
      </c>
      <c r="AT24" s="68">
        <f t="shared" ref="AT24:AT31" si="52">IF(OR(M24="",M24="Sem monitoramento"),"VAZIO",IFERROR(M24/($AI24*24),"-"))</f>
        <v>0.18665143603133161</v>
      </c>
      <c r="AU24" s="68">
        <f>IF(OR(N24="",N24="Sem monitoramento"),"VAZIO",IFERROR(N24/($AI24*24),"-"))</f>
        <v>0.19992384682332465</v>
      </c>
      <c r="AV24" s="68">
        <f t="shared" ref="AV24:AV31" si="53">IF(OR(O24="",O24="Sem monitoramento"),"VAZIO",IFERROR(O24/($AI24*24),"-"))</f>
        <v>0.21642732811140122</v>
      </c>
      <c r="AW24" s="68">
        <f t="shared" si="25"/>
        <v>1.8091818973020018E-2</v>
      </c>
      <c r="AX24" s="68">
        <f t="shared" si="40"/>
        <v>0.12184508268059181</v>
      </c>
      <c r="AY24" s="68">
        <f t="shared" si="46"/>
        <v>0.1160248041775457</v>
      </c>
      <c r="AZ24" s="68">
        <f t="shared" si="48"/>
        <v>3.6161879895561355E-2</v>
      </c>
      <c r="BA24" s="68">
        <f t="shared" si="37"/>
        <v>0.16100957354221063</v>
      </c>
      <c r="BB24" s="68">
        <f t="shared" si="39"/>
        <v>0.20362271540469976</v>
      </c>
      <c r="BC24" s="68" t="e">
        <f>IF(OR(#REF!="",#REF!="Sem monitoramento"),"VAZIO",IFERROR(#REF!/($AI24*24),"-"))</f>
        <v>#REF!</v>
      </c>
      <c r="BD24" s="68" t="e">
        <f>IF(OR(#REF!="",#REF!="Sem monitoramento"),"VAZIO",IFERROR(#REF!/($AI24*24),"-"))</f>
        <v>#REF!</v>
      </c>
      <c r="BE24" s="68" t="e">
        <f>IF(OR(#REF!="",#REF!="Sem monitoramento"),"VAZIO",IFERROR(#REF!/($AI24*24),"-"))</f>
        <v>#REF!</v>
      </c>
      <c r="BF24" s="68">
        <f t="shared" si="47"/>
        <v>0.14590948651000871</v>
      </c>
      <c r="BG24" s="68">
        <f t="shared" si="38"/>
        <v>0.121529590948651</v>
      </c>
      <c r="BH24" s="68">
        <f t="shared" si="38"/>
        <v>0.19290687554395128</v>
      </c>
      <c r="BI24" s="68">
        <f t="shared" si="50"/>
        <v>0.20801784160139253</v>
      </c>
      <c r="BJ24" s="68">
        <f t="shared" si="28"/>
        <v>0.21048738033072237</v>
      </c>
      <c r="BK24" s="68">
        <f t="shared" si="49"/>
        <v>0.23085291557876414</v>
      </c>
      <c r="BL24" s="68">
        <f t="shared" si="41"/>
        <v>0.22327023498694518</v>
      </c>
      <c r="BM24" s="68">
        <f t="shared" si="42"/>
        <v>0.11859225413402959</v>
      </c>
      <c r="BN24" s="68">
        <f>IF(OR(AG24="",AG24="Sem monitoramento"),"VAZIO",IFERROR(AG24/($AI24*24),"-"))</f>
        <v>0.1702349869451697</v>
      </c>
      <c r="BO24" s="70">
        <f t="shared" si="6"/>
        <v>0.15256092254134035</v>
      </c>
      <c r="BP24" s="198">
        <f t="shared" si="43"/>
        <v>0.168125</v>
      </c>
      <c r="BQ24" s="72">
        <f>AI24*BP24</f>
        <v>64.391874999999999</v>
      </c>
      <c r="BR24" s="73">
        <f t="shared" si="34"/>
        <v>5.5428633594431509E-4</v>
      </c>
      <c r="BS24" s="74">
        <f t="shared" si="9"/>
        <v>-1.5564077458659648E-2</v>
      </c>
      <c r="BT24" s="15" t="s">
        <v>29</v>
      </c>
      <c r="BU24" s="3"/>
      <c r="BV24" s="2"/>
      <c r="BW24" s="2"/>
    </row>
    <row r="25" spans="2:75" x14ac:dyDescent="0.3">
      <c r="B25" s="775"/>
      <c r="C25" s="326" t="s">
        <v>111</v>
      </c>
      <c r="D25" s="223">
        <v>606</v>
      </c>
      <c r="E25" s="63">
        <v>575.4</v>
      </c>
      <c r="F25" s="319">
        <v>455</v>
      </c>
      <c r="G25" s="319">
        <v>415</v>
      </c>
      <c r="H25" s="63">
        <v>351.2</v>
      </c>
      <c r="I25" s="63">
        <v>357.7</v>
      </c>
      <c r="J25" s="63">
        <v>384.9</v>
      </c>
      <c r="K25" s="63">
        <v>200.3</v>
      </c>
      <c r="L25" s="63">
        <v>412.8</v>
      </c>
      <c r="M25" s="63">
        <v>282.89999999999998</v>
      </c>
      <c r="N25" s="63">
        <v>644.29999999999995</v>
      </c>
      <c r="O25" s="63">
        <v>527</v>
      </c>
      <c r="P25" s="63">
        <v>208.2</v>
      </c>
      <c r="Q25" s="283">
        <v>203.4</v>
      </c>
      <c r="R25" s="63">
        <v>289.10000000000002</v>
      </c>
      <c r="S25" s="63">
        <v>110.7</v>
      </c>
      <c r="T25" s="316">
        <v>495.7</v>
      </c>
      <c r="U25" s="63">
        <v>606</v>
      </c>
      <c r="V25" s="283">
        <v>577.70000000000005</v>
      </c>
      <c r="W25" s="283">
        <v>550.5</v>
      </c>
      <c r="X25" s="63">
        <v>462.7</v>
      </c>
      <c r="Y25" s="63">
        <v>255.5</v>
      </c>
      <c r="Z25" s="148">
        <v>212.7</v>
      </c>
      <c r="AA25" s="18">
        <v>419</v>
      </c>
      <c r="AB25" s="20">
        <v>527.29999999999995</v>
      </c>
      <c r="AC25" s="15">
        <v>644.1</v>
      </c>
      <c r="AD25" s="15">
        <v>618.9</v>
      </c>
      <c r="AE25" s="193">
        <v>585.70000000000005</v>
      </c>
      <c r="AF25" s="15">
        <v>246.4</v>
      </c>
      <c r="AG25" s="221">
        <v>413.8</v>
      </c>
      <c r="AH25" s="335">
        <f t="shared" si="0"/>
        <v>12639.9</v>
      </c>
      <c r="AI25" s="118">
        <v>100</v>
      </c>
      <c r="AJ25" s="121">
        <f t="shared" si="31"/>
        <v>1.0532407407407407E-2</v>
      </c>
      <c r="AK25" s="67">
        <f t="shared" si="22"/>
        <v>0.2525</v>
      </c>
      <c r="AL25" s="68">
        <f t="shared" si="18"/>
        <v>0.23974999999999999</v>
      </c>
      <c r="AM25" s="68">
        <f t="shared" si="19"/>
        <v>0.18958333333333333</v>
      </c>
      <c r="AN25" s="68">
        <f t="shared" si="20"/>
        <v>0.17291666666666666</v>
      </c>
      <c r="AO25" s="68">
        <f t="shared" si="21"/>
        <v>0.14633333333333332</v>
      </c>
      <c r="AP25" s="68">
        <f t="shared" si="51"/>
        <v>0.14904166666666666</v>
      </c>
      <c r="AQ25" s="68">
        <f>IF(OR(J25="",J25="Sem monitoramento"),"VAZIO",IFERROR(J25/($AI25*24),"-"))</f>
        <v>0.16037499999999999</v>
      </c>
      <c r="AR25" s="68">
        <f t="shared" si="44"/>
        <v>8.3458333333333343E-2</v>
      </c>
      <c r="AS25" s="68">
        <f t="shared" si="45"/>
        <v>0.17200000000000001</v>
      </c>
      <c r="AT25" s="68">
        <f t="shared" si="52"/>
        <v>0.11787499999999999</v>
      </c>
      <c r="AU25" s="68" t="e">
        <f>IF(OR(#REF!="",#REF!="Sem monitoramento"),"VAZIO",IFERROR(#REF!/($AI25*24),"-"))</f>
        <v>#REF!</v>
      </c>
      <c r="AV25" s="68">
        <f t="shared" si="53"/>
        <v>0.21958333333333332</v>
      </c>
      <c r="AW25" s="68">
        <f t="shared" si="25"/>
        <v>8.6749999999999994E-2</v>
      </c>
      <c r="AX25" s="68">
        <f t="shared" si="40"/>
        <v>8.4750000000000006E-2</v>
      </c>
      <c r="AY25" s="68">
        <f t="shared" si="46"/>
        <v>0.12045833333333335</v>
      </c>
      <c r="AZ25" s="68">
        <f t="shared" si="48"/>
        <v>4.6124999999999999E-2</v>
      </c>
      <c r="BA25" s="68">
        <f>IF(OR(T26="",T26="Sem monitoramento"),"VAZIO",IFERROR(T26/($AI25*24),"-"))</f>
        <v>0.18954166666666666</v>
      </c>
      <c r="BB25" s="68">
        <f t="shared" si="39"/>
        <v>0.2525</v>
      </c>
      <c r="BC25" s="68">
        <f t="shared" ref="BC25:BC31" si="54">IF(OR(V25="",V25="Sem monitoramento"),"VAZIO",IFERROR(V25/($AI25*24),"-"))</f>
        <v>0.24070833333333336</v>
      </c>
      <c r="BD25" s="68" t="e">
        <f>IF(OR(#REF!="",#REF!="Sem monitoramento"),"VAZIO",IFERROR(#REF!/($AI25*24),"-"))</f>
        <v>#REF!</v>
      </c>
      <c r="BE25" s="68">
        <f t="shared" ref="BE25:BE31" si="55">IF(OR(X25="",X25="Sem monitoramento"),"VAZIO",IFERROR(X25/($AI25*24),"-"))</f>
        <v>0.19279166666666667</v>
      </c>
      <c r="BF25" s="68">
        <f t="shared" si="47"/>
        <v>0.10645833333333334</v>
      </c>
      <c r="BG25" s="68">
        <f>IF(OR(Z26="",Z26="Sem monitoramento"),"VAZIO",IFERROR(Z26/($AI25*24),"-"))</f>
        <v>0.18841666666666665</v>
      </c>
      <c r="BH25" s="68">
        <f>IF(OR(AA25="",AA25="Sem monitoramento"),"VAZIO",IFERROR(AA25/($AI25*24),"-"))</f>
        <v>0.17458333333333334</v>
      </c>
      <c r="BI25" s="68">
        <f t="shared" si="50"/>
        <v>0.21970833333333331</v>
      </c>
      <c r="BJ25" s="68">
        <f t="shared" si="28"/>
        <v>0.26837500000000003</v>
      </c>
      <c r="BK25" s="68">
        <f t="shared" si="49"/>
        <v>0.25787499999999997</v>
      </c>
      <c r="BL25" s="68">
        <f t="shared" si="41"/>
        <v>0.24404166666666668</v>
      </c>
      <c r="BM25" s="68">
        <f t="shared" si="42"/>
        <v>0.10266666666666667</v>
      </c>
      <c r="BN25" s="68">
        <f>IF(OR(AG25="",AG25="Sem monitoramento"),"VAZIO",IFERROR(AG25/($AI25*24),"-"))</f>
        <v>0.17241666666666666</v>
      </c>
      <c r="BO25" s="70">
        <f t="shared" si="6"/>
        <v>0.17555416666666665</v>
      </c>
      <c r="BP25" s="198">
        <f t="shared" si="43"/>
        <v>0.168125</v>
      </c>
      <c r="BQ25" s="72">
        <f t="shared" si="33"/>
        <v>16.8125</v>
      </c>
      <c r="BR25" s="73">
        <f t="shared" si="34"/>
        <v>2.1458333333333329E-2</v>
      </c>
      <c r="BS25" s="74">
        <f t="shared" si="9"/>
        <v>7.4291666666666534E-3</v>
      </c>
      <c r="BT25" s="15" t="s">
        <v>30</v>
      </c>
      <c r="BU25" s="3"/>
      <c r="BV25" s="2"/>
      <c r="BW25" s="2"/>
    </row>
    <row r="26" spans="2:75" x14ac:dyDescent="0.3">
      <c r="B26" s="775"/>
      <c r="C26" s="326" t="s">
        <v>32</v>
      </c>
      <c r="D26" s="62">
        <v>543.5</v>
      </c>
      <c r="E26" s="283">
        <v>495.4</v>
      </c>
      <c r="F26" s="63">
        <v>395.7</v>
      </c>
      <c r="G26" s="63">
        <v>211.4</v>
      </c>
      <c r="H26" s="63">
        <v>190.5</v>
      </c>
      <c r="I26" s="283">
        <v>356.7</v>
      </c>
      <c r="J26" s="63">
        <v>426.8</v>
      </c>
      <c r="K26" s="63">
        <v>426.8</v>
      </c>
      <c r="L26" s="63">
        <v>229</v>
      </c>
      <c r="M26" s="282">
        <v>141.69999999999999</v>
      </c>
      <c r="N26" s="316">
        <v>540.70000000000005</v>
      </c>
      <c r="O26" s="63">
        <v>513.5</v>
      </c>
      <c r="P26" s="63">
        <v>128.30000000000001</v>
      </c>
      <c r="Q26" s="283">
        <v>205.8</v>
      </c>
      <c r="R26" s="63">
        <v>274.60000000000002</v>
      </c>
      <c r="S26" s="63">
        <v>90.1</v>
      </c>
      <c r="T26" s="63">
        <v>454.9</v>
      </c>
      <c r="U26" s="63">
        <v>553.70000000000005</v>
      </c>
      <c r="V26" s="283">
        <v>545.70000000000005</v>
      </c>
      <c r="W26" s="519">
        <v>514.5</v>
      </c>
      <c r="X26" s="63">
        <v>435.2</v>
      </c>
      <c r="Y26" s="63">
        <v>304</v>
      </c>
      <c r="Z26" s="221">
        <v>452.2</v>
      </c>
      <c r="AA26" s="320">
        <v>386</v>
      </c>
      <c r="AB26" s="323">
        <v>540.9</v>
      </c>
      <c r="AC26" s="15">
        <v>570.20000000000005</v>
      </c>
      <c r="AD26" s="221">
        <v>577.5</v>
      </c>
      <c r="AE26" s="15">
        <v>553</v>
      </c>
      <c r="AF26" s="283">
        <v>306</v>
      </c>
      <c r="AG26" s="221">
        <v>442</v>
      </c>
      <c r="AH26" s="335">
        <f t="shared" si="0"/>
        <v>11806.300000000001</v>
      </c>
      <c r="AI26" s="118">
        <v>100</v>
      </c>
      <c r="AJ26" s="121">
        <f t="shared" si="31"/>
        <v>9.1597222222222219E-3</v>
      </c>
      <c r="AK26" s="67">
        <f t="shared" si="22"/>
        <v>0.22645833333333334</v>
      </c>
      <c r="AL26" s="68">
        <f t="shared" ref="AL26:AN31" si="56">IF(OR(E26="",E26="Sem monitoramento"),"VAZIO",IFERROR(E26/($AI26*24),"-"))</f>
        <v>0.20641666666666666</v>
      </c>
      <c r="AM26" s="68">
        <f t="shared" si="56"/>
        <v>0.16487499999999999</v>
      </c>
      <c r="AN26" s="68">
        <f t="shared" si="56"/>
        <v>8.8083333333333333E-2</v>
      </c>
      <c r="AO26" s="68" t="e">
        <f>IF(OR(#REF!="",#REF!="Sem monitoramento"),"VAZIO",IFERROR(#REF!/($AI26*24),"-"))</f>
        <v>#REF!</v>
      </c>
      <c r="AP26" s="68">
        <f t="shared" si="51"/>
        <v>0.14862500000000001</v>
      </c>
      <c r="AQ26" s="68">
        <f>IF(OR(J26="",J26="Sem monitoramento"),"VAZIO",IFERROR(J26/($AI26*24),"-"))</f>
        <v>0.17783333333333334</v>
      </c>
      <c r="AR26" s="68">
        <f t="shared" si="44"/>
        <v>0.17783333333333334</v>
      </c>
      <c r="AS26" s="68">
        <f t="shared" si="45"/>
        <v>9.5416666666666664E-2</v>
      </c>
      <c r="AT26" s="68">
        <f t="shared" si="52"/>
        <v>5.9041666666666659E-2</v>
      </c>
      <c r="AU26" s="68">
        <f>IF(OR(N25="",N25="Sem monitoramento"),"VAZIO",IFERROR(N25/($AI26*24),"-"))</f>
        <v>0.2684583333333333</v>
      </c>
      <c r="AV26" s="68">
        <f t="shared" si="53"/>
        <v>0.21395833333333333</v>
      </c>
      <c r="AW26" s="68">
        <f t="shared" si="25"/>
        <v>5.3458333333333337E-2</v>
      </c>
      <c r="AX26" s="68">
        <f t="shared" si="40"/>
        <v>8.5750000000000007E-2</v>
      </c>
      <c r="AY26" s="68">
        <f t="shared" si="46"/>
        <v>0.11441666666666668</v>
      </c>
      <c r="AZ26" s="68">
        <f t="shared" si="48"/>
        <v>3.7541666666666668E-2</v>
      </c>
      <c r="BA26" s="68" t="e">
        <f>IF(OR(#REF!="",#REF!="Sem monitoramento"),"VAZIO",IFERROR(#REF!/($AI26*24),"-"))</f>
        <v>#REF!</v>
      </c>
      <c r="BB26" s="68">
        <f t="shared" si="39"/>
        <v>0.23070833333333335</v>
      </c>
      <c r="BC26" s="68">
        <f t="shared" si="54"/>
        <v>0.22737500000000002</v>
      </c>
      <c r="BD26" s="68">
        <f>IF(OR(W25="",W25="Sem monitoramento"),"VAZIO",IFERROR(W25/($AI26*24),"-"))</f>
        <v>0.229375</v>
      </c>
      <c r="BE26" s="68">
        <f t="shared" si="55"/>
        <v>0.18133333333333332</v>
      </c>
      <c r="BF26" s="68">
        <f t="shared" si="47"/>
        <v>0.12666666666666668</v>
      </c>
      <c r="BG26" s="68" t="e">
        <f>IF(OR(#REF!="",#REF!="Sem monitoramento"),"VAZIO",IFERROR(#REF!/($AI26*24),"-"))</f>
        <v>#REF!</v>
      </c>
      <c r="BH26" s="68">
        <f>IF(OR(AA26="",AA26="Sem monitoramento"),"VAZIO",IFERROR(AA26/($AI26*24),"-"))</f>
        <v>0.16083333333333333</v>
      </c>
      <c r="BI26" s="68">
        <f t="shared" si="50"/>
        <v>0.22537499999999999</v>
      </c>
      <c r="BJ26" s="68">
        <f t="shared" si="28"/>
        <v>0.23758333333333334</v>
      </c>
      <c r="BK26" s="68">
        <f t="shared" si="49"/>
        <v>0.24062500000000001</v>
      </c>
      <c r="BL26" s="68">
        <f t="shared" si="41"/>
        <v>0.23041666666666666</v>
      </c>
      <c r="BM26" s="68">
        <f t="shared" si="42"/>
        <v>0.1275</v>
      </c>
      <c r="BN26" s="68">
        <f>IF(OR(AG26="",AG26="Sem monitoramento"),"VAZIO",IFERROR(AG26/($AI26*24),"-"))</f>
        <v>0.18416666666666667</v>
      </c>
      <c r="BO26" s="70">
        <f t="shared" si="6"/>
        <v>0.16397638888888891</v>
      </c>
      <c r="BP26" s="198">
        <f t="shared" si="43"/>
        <v>0.168125</v>
      </c>
      <c r="BQ26" s="72">
        <f t="shared" si="33"/>
        <v>16.8125</v>
      </c>
      <c r="BR26" s="73">
        <f t="shared" si="34"/>
        <v>-3.2500000000000029E-3</v>
      </c>
      <c r="BS26" s="74">
        <f t="shared" si="9"/>
        <v>-4.148611111111089E-3</v>
      </c>
      <c r="BT26" s="15" t="s">
        <v>111</v>
      </c>
      <c r="BU26" s="3"/>
      <c r="BV26" s="2"/>
      <c r="BW26" s="2"/>
    </row>
    <row r="27" spans="2:75" x14ac:dyDescent="0.3">
      <c r="B27" s="775"/>
      <c r="C27" s="326" t="s">
        <v>288</v>
      </c>
      <c r="D27" s="223">
        <v>543.29999999999995</v>
      </c>
      <c r="E27" s="63">
        <v>526.70000000000005</v>
      </c>
      <c r="F27" s="63">
        <v>382.3</v>
      </c>
      <c r="G27" s="308">
        <v>181.6</v>
      </c>
      <c r="H27" s="316">
        <v>349.5</v>
      </c>
      <c r="I27" s="282">
        <v>250.4</v>
      </c>
      <c r="J27" s="283">
        <v>428.4</v>
      </c>
      <c r="K27" s="283">
        <v>285.60000000000002</v>
      </c>
      <c r="L27" s="283">
        <v>222.2</v>
      </c>
      <c r="M27" s="283">
        <v>315.5</v>
      </c>
      <c r="N27" s="283">
        <v>606.29999999999995</v>
      </c>
      <c r="O27" s="283">
        <v>557</v>
      </c>
      <c r="P27" s="63">
        <v>79.7</v>
      </c>
      <c r="Q27" s="283">
        <v>198.2</v>
      </c>
      <c r="R27" s="283">
        <v>297.3</v>
      </c>
      <c r="S27" s="63">
        <v>93.9</v>
      </c>
      <c r="T27" s="283">
        <v>428.6</v>
      </c>
      <c r="U27" s="283">
        <v>554.5</v>
      </c>
      <c r="V27" s="283">
        <v>535</v>
      </c>
      <c r="W27" s="283">
        <v>554.29999999999995</v>
      </c>
      <c r="X27" s="283">
        <v>234.2</v>
      </c>
      <c r="Y27" s="283">
        <v>177.8</v>
      </c>
      <c r="Z27" s="221">
        <v>198</v>
      </c>
      <c r="AA27" s="283">
        <v>424.4</v>
      </c>
      <c r="AB27" s="323">
        <v>492.6</v>
      </c>
      <c r="AC27" s="283">
        <v>595.6</v>
      </c>
      <c r="AD27" s="283">
        <v>560.70000000000005</v>
      </c>
      <c r="AE27" s="283">
        <v>554</v>
      </c>
      <c r="AF27" s="283">
        <v>214.6</v>
      </c>
      <c r="AG27" s="221">
        <v>490.6</v>
      </c>
      <c r="AH27" s="335">
        <f t="shared" si="0"/>
        <v>11332.800000000001</v>
      </c>
      <c r="AI27" s="118">
        <v>100</v>
      </c>
      <c r="AJ27" s="121">
        <f t="shared" si="31"/>
        <v>8.8495370370370377E-3</v>
      </c>
      <c r="AK27" s="67">
        <f t="shared" si="22"/>
        <v>0.22637499999999999</v>
      </c>
      <c r="AL27" s="68">
        <f t="shared" si="56"/>
        <v>0.21945833333333334</v>
      </c>
      <c r="AM27" s="68">
        <f t="shared" si="56"/>
        <v>0.15929166666666666</v>
      </c>
      <c r="AN27" s="68">
        <f t="shared" si="56"/>
        <v>7.566666666666666E-2</v>
      </c>
      <c r="AO27" s="68">
        <f>IF(OR(H26="",H26="Sem monitoramento"),"VAZIO",IFERROR(H26/($AI27*24),"-"))</f>
        <v>7.9375000000000001E-2</v>
      </c>
      <c r="AP27" s="68">
        <f t="shared" si="51"/>
        <v>0.10433333333333333</v>
      </c>
      <c r="AQ27" s="68">
        <f>IF(OR(J27="",J27="Sem monitoramento"),"VAZIO",IFERROR(J27/($AI27*24),"-"))</f>
        <v>0.17849999999999999</v>
      </c>
      <c r="AR27" s="68">
        <f t="shared" si="44"/>
        <v>0.11900000000000001</v>
      </c>
      <c r="AS27" s="68">
        <f t="shared" si="45"/>
        <v>9.2583333333333323E-2</v>
      </c>
      <c r="AT27" s="68">
        <f t="shared" si="52"/>
        <v>0.13145833333333334</v>
      </c>
      <c r="AU27" s="68">
        <f>IF(OR(N27="",N27="Sem monitoramento"),"VAZIO",IFERROR(N27/($AI27*24),"-"))</f>
        <v>0.25262499999999999</v>
      </c>
      <c r="AV27" s="68">
        <f t="shared" si="53"/>
        <v>0.23208333333333334</v>
      </c>
      <c r="AW27" s="68">
        <f t="shared" si="25"/>
        <v>3.3208333333333333E-2</v>
      </c>
      <c r="AX27" s="68">
        <f t="shared" si="40"/>
        <v>8.2583333333333328E-2</v>
      </c>
      <c r="AY27" s="68">
        <f t="shared" si="46"/>
        <v>0.123875</v>
      </c>
      <c r="AZ27" s="68">
        <f t="shared" si="48"/>
        <v>3.9125E-2</v>
      </c>
      <c r="BA27" s="68">
        <f>IF(OR(T27="",T27="Sem monitoramento"),"VAZIO",IFERROR(T27/($AI27*24),"-"))</f>
        <v>0.17858333333333334</v>
      </c>
      <c r="BB27" s="68">
        <f t="shared" si="39"/>
        <v>0.23104166666666667</v>
      </c>
      <c r="BC27" s="68">
        <f t="shared" si="54"/>
        <v>0.22291666666666668</v>
      </c>
      <c r="BD27" s="68">
        <f>IF(OR(W27="",W27="Sem monitoramento"),"VAZIO",IFERROR(W27/($AI27*24),"-"))</f>
        <v>0.23095833333333332</v>
      </c>
      <c r="BE27" s="68">
        <f t="shared" si="55"/>
        <v>9.7583333333333327E-2</v>
      </c>
      <c r="BF27" s="68">
        <f t="shared" si="47"/>
        <v>7.4083333333333334E-2</v>
      </c>
      <c r="BG27" s="68">
        <f>IF(OR(Z27="",Z27="Sem monitoramento"),"VAZIO",IFERROR(Z27/($AI27*24),"-"))</f>
        <v>8.2500000000000004E-2</v>
      </c>
      <c r="BH27" s="68" t="e">
        <f>IF(OR(#REF!="",#REF!="Sem monitoramento"),"VAZIO",IFERROR(#REF!/($AI27*24),"-"))</f>
        <v>#REF!</v>
      </c>
      <c r="BI27" s="68">
        <f t="shared" si="50"/>
        <v>0.20525000000000002</v>
      </c>
      <c r="BJ27" s="68">
        <f t="shared" si="28"/>
        <v>0.24816666666666667</v>
      </c>
      <c r="BK27" s="68">
        <f t="shared" si="49"/>
        <v>0.23362500000000003</v>
      </c>
      <c r="BL27" s="68">
        <f t="shared" si="41"/>
        <v>0.23083333333333333</v>
      </c>
      <c r="BM27" s="68">
        <f t="shared" si="42"/>
        <v>8.9416666666666658E-2</v>
      </c>
      <c r="BN27" s="68">
        <f>IF(OR(AG27="",AG27="Sem monitoramento"),"VAZIO",IFERROR(AG27/($AI27*24),"-"))</f>
        <v>0.20441666666666666</v>
      </c>
      <c r="BO27" s="70">
        <f t="shared" si="6"/>
        <v>0.15740000000000001</v>
      </c>
      <c r="BP27" s="198">
        <f t="shared" si="43"/>
        <v>0.168125</v>
      </c>
      <c r="BQ27" s="72">
        <f t="shared" si="33"/>
        <v>16.8125</v>
      </c>
      <c r="BR27" s="73">
        <f t="shared" si="34"/>
        <v>-8.8333333333333319E-3</v>
      </c>
      <c r="BS27" s="74">
        <f t="shared" si="9"/>
        <v>-1.0724999999999985E-2</v>
      </c>
      <c r="BT27" s="15" t="s">
        <v>32</v>
      </c>
      <c r="BU27" s="3"/>
      <c r="BV27" s="2"/>
      <c r="BW27" s="2"/>
    </row>
    <row r="28" spans="2:75" x14ac:dyDescent="0.3">
      <c r="B28" s="775"/>
      <c r="C28" s="326" t="s">
        <v>112</v>
      </c>
      <c r="D28" s="223">
        <v>458.2</v>
      </c>
      <c r="E28" s="223">
        <v>514.1</v>
      </c>
      <c r="F28" s="63">
        <v>376.9</v>
      </c>
      <c r="G28" s="308">
        <v>175.7</v>
      </c>
      <c r="H28" s="283">
        <v>303.5</v>
      </c>
      <c r="I28" s="282">
        <v>179.7</v>
      </c>
      <c r="J28" s="283">
        <v>433.5</v>
      </c>
      <c r="K28" s="283">
        <v>269.5</v>
      </c>
      <c r="L28" s="283">
        <v>214.7</v>
      </c>
      <c r="M28" s="63">
        <v>281.3</v>
      </c>
      <c r="N28" s="63">
        <v>529.1</v>
      </c>
      <c r="O28" s="283">
        <v>522</v>
      </c>
      <c r="P28" s="63">
        <v>13.8</v>
      </c>
      <c r="Q28" s="283">
        <v>185.4</v>
      </c>
      <c r="R28" s="283">
        <v>279.2</v>
      </c>
      <c r="S28" s="63">
        <v>94.6</v>
      </c>
      <c r="T28" s="283">
        <v>374.5</v>
      </c>
      <c r="U28" s="283">
        <v>497.9</v>
      </c>
      <c r="V28" s="283">
        <v>506.8</v>
      </c>
      <c r="W28" s="283">
        <v>497.1</v>
      </c>
      <c r="X28" s="283">
        <v>210.9</v>
      </c>
      <c r="Y28" s="283">
        <v>171.2</v>
      </c>
      <c r="Z28" s="283">
        <v>188.9</v>
      </c>
      <c r="AA28" s="519">
        <v>339.4</v>
      </c>
      <c r="AB28" s="323">
        <v>406.7</v>
      </c>
      <c r="AC28" s="283">
        <v>561.4</v>
      </c>
      <c r="AD28" s="283">
        <v>517.29999999999995</v>
      </c>
      <c r="AE28" s="221">
        <v>531.4</v>
      </c>
      <c r="AF28" s="221">
        <v>199.5</v>
      </c>
      <c r="AG28" s="354">
        <v>298.8</v>
      </c>
      <c r="AH28" s="335">
        <f t="shared" si="0"/>
        <v>10132.999999999996</v>
      </c>
      <c r="AI28" s="301">
        <v>100</v>
      </c>
      <c r="AJ28" s="121">
        <f t="shared" si="31"/>
        <v>8.7245370370370359E-3</v>
      </c>
      <c r="AK28" s="302">
        <f t="shared" si="22"/>
        <v>0.19091666666666665</v>
      </c>
      <c r="AL28" s="303" t="e">
        <f>IF(OR(#REF!="",#REF!="Sem monitoramento"),"VAZIO",IFERROR(#REF!/($AI28*24),"-"))</f>
        <v>#REF!</v>
      </c>
      <c r="AM28" s="303">
        <f t="shared" si="56"/>
        <v>0.15704166666666666</v>
      </c>
      <c r="AN28" s="303">
        <f t="shared" si="56"/>
        <v>7.3208333333333334E-2</v>
      </c>
      <c r="AO28" s="303">
        <f>IF(OR(H28="",H28="Sem monitoramento"),"VAZIO",IFERROR(H28/($AI28*24),"-"))</f>
        <v>0.12645833333333334</v>
      </c>
      <c r="AP28" s="303">
        <f t="shared" si="51"/>
        <v>7.4874999999999997E-2</v>
      </c>
      <c r="AQ28" s="303">
        <f>IF(OR(J28="",J28="Sem monitoramento"),"VAZIO",IFERROR(J28/($AI28*24),"-"))</f>
        <v>0.18062500000000001</v>
      </c>
      <c r="AR28" s="303">
        <f t="shared" si="44"/>
        <v>0.11229166666666666</v>
      </c>
      <c r="AS28" s="303">
        <f t="shared" si="45"/>
        <v>8.9458333333333334E-2</v>
      </c>
      <c r="AT28" s="303">
        <f t="shared" si="52"/>
        <v>0.11720833333333334</v>
      </c>
      <c r="AU28" s="303">
        <f>IF(OR(N28="",N28="Sem monitoramento"),"VAZIO",IFERROR(N28/($AI28*24),"-"))</f>
        <v>0.22045833333333334</v>
      </c>
      <c r="AV28" s="303">
        <f t="shared" si="53"/>
        <v>0.2175</v>
      </c>
      <c r="AW28" s="303">
        <f t="shared" si="25"/>
        <v>5.7499999999999999E-3</v>
      </c>
      <c r="AX28" s="303">
        <f t="shared" si="40"/>
        <v>7.7249999999999999E-2</v>
      </c>
      <c r="AY28" s="303">
        <f t="shared" si="46"/>
        <v>0.11633333333333333</v>
      </c>
      <c r="AZ28" s="303">
        <f t="shared" si="48"/>
        <v>3.9416666666666662E-2</v>
      </c>
      <c r="BA28" s="303">
        <f>IF(OR(T28="",T28="Sem monitoramento"),"VAZIO",IFERROR(T28/($AI28*24),"-"))</f>
        <v>0.15604166666666666</v>
      </c>
      <c r="BB28" s="303">
        <f t="shared" si="39"/>
        <v>0.20745833333333333</v>
      </c>
      <c r="BC28" s="303">
        <f t="shared" si="54"/>
        <v>0.21116666666666667</v>
      </c>
      <c r="BD28" s="303">
        <f>IF(OR(W28="",W28="Sem monitoramento"),"VAZIO",IFERROR(W28/($AI28*24),"-"))</f>
        <v>0.207125</v>
      </c>
      <c r="BE28" s="303">
        <f t="shared" si="55"/>
        <v>8.7875000000000009E-2</v>
      </c>
      <c r="BF28" s="303">
        <f t="shared" si="47"/>
        <v>7.1333333333333332E-2</v>
      </c>
      <c r="BG28" s="303">
        <f>IF(OR(Z28="",Z28="Sem monitoramento"),"VAZIO",IFERROR(Z28/($AI28*24),"-"))</f>
        <v>7.8708333333333338E-2</v>
      </c>
      <c r="BH28" s="303">
        <f>IF(OR(AA27="",AA27="Sem monitoramento"),"VAZIO",IFERROR(AA27/($AI28*24),"-"))</f>
        <v>0.17683333333333331</v>
      </c>
      <c r="BI28" s="303">
        <f t="shared" si="50"/>
        <v>0.16945833333333332</v>
      </c>
      <c r="BJ28" s="303">
        <f t="shared" si="28"/>
        <v>0.23391666666666666</v>
      </c>
      <c r="BK28" s="303">
        <f t="shared" si="49"/>
        <v>0.21554166666666666</v>
      </c>
      <c r="BL28" s="303">
        <f t="shared" si="41"/>
        <v>0.22141666666666665</v>
      </c>
      <c r="BM28" s="303">
        <f t="shared" si="42"/>
        <v>8.3125000000000004E-2</v>
      </c>
      <c r="BN28" s="303" t="e">
        <f>IF(OR(#REF!="",#REF!="Sem monitoramento"),"VAZIO",IFERROR(#REF!/($AI28*24),"-"))</f>
        <v>#REF!</v>
      </c>
      <c r="BO28" s="304">
        <f t="shared" si="6"/>
        <v>0.14073611111111106</v>
      </c>
      <c r="BP28" s="198">
        <f t="shared" si="43"/>
        <v>0.168125</v>
      </c>
      <c r="BQ28" s="72">
        <f t="shared" si="33"/>
        <v>16.8125</v>
      </c>
      <c r="BR28" s="73">
        <f t="shared" si="34"/>
        <v>-1.1083333333333334E-2</v>
      </c>
      <c r="BS28" s="74">
        <f>BO28-BP28</f>
        <v>-2.7388888888888935E-2</v>
      </c>
      <c r="BT28" s="15" t="s">
        <v>440</v>
      </c>
      <c r="BU28" s="3"/>
      <c r="BV28" s="2"/>
      <c r="BW28" s="2"/>
    </row>
    <row r="29" spans="2:75" ht="15" thickBot="1" x14ac:dyDescent="0.35">
      <c r="B29" s="775"/>
      <c r="C29" s="326" t="s">
        <v>289</v>
      </c>
      <c r="D29" s="223">
        <v>508.3</v>
      </c>
      <c r="E29" s="283">
        <v>516</v>
      </c>
      <c r="F29" s="283">
        <v>366.6</v>
      </c>
      <c r="G29" s="308">
        <v>169</v>
      </c>
      <c r="H29" s="283">
        <v>302</v>
      </c>
      <c r="I29" s="308">
        <v>226.5</v>
      </c>
      <c r="J29" s="63">
        <v>428</v>
      </c>
      <c r="K29" s="283">
        <v>274</v>
      </c>
      <c r="L29" s="283">
        <v>206.1</v>
      </c>
      <c r="M29" s="283">
        <v>285.10000000000002</v>
      </c>
      <c r="N29" s="316">
        <v>574.70000000000005</v>
      </c>
      <c r="O29" s="283">
        <v>533.4</v>
      </c>
      <c r="P29" s="283">
        <v>71</v>
      </c>
      <c r="Q29" s="283">
        <v>175.2</v>
      </c>
      <c r="R29" s="283">
        <v>280.8</v>
      </c>
      <c r="S29" s="283">
        <v>85.1</v>
      </c>
      <c r="T29" s="283">
        <v>378.1</v>
      </c>
      <c r="U29" s="283">
        <v>515.79999999999995</v>
      </c>
      <c r="V29" s="283">
        <v>515.4</v>
      </c>
      <c r="W29" s="283">
        <v>515.70000000000005</v>
      </c>
      <c r="X29" s="283">
        <v>204.4</v>
      </c>
      <c r="Y29" s="283">
        <v>158.80000000000001</v>
      </c>
      <c r="Z29" s="221">
        <v>176.3</v>
      </c>
      <c r="AA29" s="320">
        <v>357.8</v>
      </c>
      <c r="AB29" s="323">
        <v>434</v>
      </c>
      <c r="AC29" s="283">
        <v>541.29999999999995</v>
      </c>
      <c r="AD29" s="283">
        <v>510.8</v>
      </c>
      <c r="AE29" s="221">
        <v>509.3</v>
      </c>
      <c r="AF29" s="221">
        <v>186</v>
      </c>
      <c r="AG29" s="221">
        <v>443.4</v>
      </c>
      <c r="AH29" s="335">
        <f t="shared" si="0"/>
        <v>10448.899999999998</v>
      </c>
      <c r="AI29" s="119">
        <v>100</v>
      </c>
      <c r="AJ29" s="121">
        <f t="shared" si="31"/>
        <v>8.4861111111111109E-3</v>
      </c>
      <c r="AK29" s="98">
        <f t="shared" si="22"/>
        <v>0.21179166666666668</v>
      </c>
      <c r="AL29" s="99">
        <f t="shared" si="56"/>
        <v>0.215</v>
      </c>
      <c r="AM29" s="99">
        <f t="shared" si="56"/>
        <v>0.15275</v>
      </c>
      <c r="AN29" s="99">
        <f t="shared" si="56"/>
        <v>7.0416666666666669E-2</v>
      </c>
      <c r="AO29" s="99">
        <f>IF(OR(H29="",H29="Sem monitoramento"),"VAZIO",IFERROR(H29/($AI29*24),"-"))</f>
        <v>0.12583333333333332</v>
      </c>
      <c r="AP29" s="99">
        <f t="shared" si="51"/>
        <v>9.4375000000000001E-2</v>
      </c>
      <c r="AQ29" s="99">
        <f>IF(OR(J30="",J30="Sem monitoramento"),"VAZIO",IFERROR(J30/($AI29*24),"-"))</f>
        <v>0.15562500000000001</v>
      </c>
      <c r="AR29" s="99">
        <f t="shared" si="44"/>
        <v>0.11416666666666667</v>
      </c>
      <c r="AS29" s="99">
        <f t="shared" si="45"/>
        <v>8.5874999999999993E-2</v>
      </c>
      <c r="AT29" s="99">
        <f t="shared" si="52"/>
        <v>0.11879166666666667</v>
      </c>
      <c r="AU29" s="99">
        <f>IF(OR(N30="",N30="Sem monitoramento"),"VAZIO",IFERROR(N30/($AI29*24),"-"))</f>
        <v>0.19337500000000002</v>
      </c>
      <c r="AV29" s="99">
        <f t="shared" si="53"/>
        <v>0.22225</v>
      </c>
      <c r="AW29" s="99">
        <f t="shared" si="25"/>
        <v>2.9583333333333333E-2</v>
      </c>
      <c r="AX29" s="99">
        <f t="shared" si="40"/>
        <v>7.2999999999999995E-2</v>
      </c>
      <c r="AY29" s="99">
        <f t="shared" si="46"/>
        <v>0.11700000000000001</v>
      </c>
      <c r="AZ29" s="99">
        <f t="shared" si="48"/>
        <v>3.5458333333333328E-2</v>
      </c>
      <c r="BA29" s="99">
        <f>IF(OR(T29="",T29="Sem monitoramento"),"VAZIO",IFERROR(T29/($AI29*24),"-"))</f>
        <v>0.15754166666666666</v>
      </c>
      <c r="BB29" s="99">
        <f t="shared" si="39"/>
        <v>0.21491666666666664</v>
      </c>
      <c r="BC29" s="99">
        <f t="shared" si="54"/>
        <v>0.21475</v>
      </c>
      <c r="BD29" s="99">
        <f>IF(OR(W29="",W29="Sem monitoramento"),"VAZIO",IFERROR(W29/($AI29*24),"-"))</f>
        <v>0.21487500000000001</v>
      </c>
      <c r="BE29" s="99">
        <f t="shared" si="55"/>
        <v>8.5166666666666668E-2</v>
      </c>
      <c r="BF29" s="99">
        <f t="shared" si="47"/>
        <v>6.6166666666666665E-2</v>
      </c>
      <c r="BG29" s="99">
        <f>IF(OR(Z29="",Z29="Sem monitoramento"),"VAZIO",IFERROR(Z29/($AI29*24),"-"))</f>
        <v>7.3458333333333334E-2</v>
      </c>
      <c r="BH29" s="99">
        <f>IF(OR(AA29="",AA29="Sem monitoramento"),"VAZIO",IFERROR(AA29/($AI29*24),"-"))</f>
        <v>0.14908333333333335</v>
      </c>
      <c r="BI29" s="99">
        <f t="shared" si="50"/>
        <v>0.18083333333333335</v>
      </c>
      <c r="BJ29" s="99">
        <f t="shared" si="28"/>
        <v>0.22554166666666664</v>
      </c>
      <c r="BK29" s="99">
        <f t="shared" si="49"/>
        <v>0.21283333333333335</v>
      </c>
      <c r="BL29" s="99">
        <f t="shared" si="41"/>
        <v>0.21220833333333333</v>
      </c>
      <c r="BM29" s="99">
        <f t="shared" si="42"/>
        <v>7.7499999999999999E-2</v>
      </c>
      <c r="BN29" s="99">
        <f>IF(OR(AG28="",AG28="Sem monitoramento"),"VAZIO",IFERROR(AG28/($AI29*24),"-"))</f>
        <v>0.1245</v>
      </c>
      <c r="BO29" s="101">
        <f t="shared" si="6"/>
        <v>0.14512361111111108</v>
      </c>
      <c r="BP29" s="198">
        <f t="shared" si="43"/>
        <v>0.168125</v>
      </c>
      <c r="BQ29" s="72">
        <f t="shared" si="33"/>
        <v>16.8125</v>
      </c>
      <c r="BR29" s="73">
        <f t="shared" si="34"/>
        <v>-1.5375E-2</v>
      </c>
      <c r="BS29" s="74">
        <f t="shared" si="9"/>
        <v>-2.3001388888888918E-2</v>
      </c>
      <c r="BT29" s="15" t="s">
        <v>112</v>
      </c>
      <c r="BU29" s="3"/>
      <c r="BV29" s="2"/>
      <c r="BW29" s="2"/>
    </row>
    <row r="30" spans="2:75" ht="15" thickBot="1" x14ac:dyDescent="0.35">
      <c r="B30" s="773" t="s">
        <v>290</v>
      </c>
      <c r="C30" s="326" t="s">
        <v>291</v>
      </c>
      <c r="D30" s="223">
        <v>522.29999999999995</v>
      </c>
      <c r="E30" s="31">
        <v>456.7</v>
      </c>
      <c r="F30" s="63">
        <v>338.4</v>
      </c>
      <c r="G30" s="63">
        <v>268.5</v>
      </c>
      <c r="H30" s="283">
        <v>248.9</v>
      </c>
      <c r="I30" s="470">
        <v>321.8</v>
      </c>
      <c r="J30" s="308">
        <v>373.5</v>
      </c>
      <c r="K30" s="283">
        <v>161.6</v>
      </c>
      <c r="L30" s="283">
        <v>221.7</v>
      </c>
      <c r="M30" s="283">
        <v>290</v>
      </c>
      <c r="N30" s="283">
        <v>464.1</v>
      </c>
      <c r="O30" s="283">
        <v>423.6</v>
      </c>
      <c r="P30" s="283">
        <v>91.2</v>
      </c>
      <c r="Q30" s="283">
        <v>214.7</v>
      </c>
      <c r="R30" s="283">
        <v>280.10000000000002</v>
      </c>
      <c r="S30" s="283">
        <v>106.2</v>
      </c>
      <c r="T30" s="283">
        <v>286.89999999999998</v>
      </c>
      <c r="U30" s="283">
        <v>445.1</v>
      </c>
      <c r="V30" s="283">
        <v>530.9</v>
      </c>
      <c r="W30" s="283">
        <v>474.6</v>
      </c>
      <c r="X30" s="283">
        <v>401.8</v>
      </c>
      <c r="Y30" s="320">
        <v>271.60000000000002</v>
      </c>
      <c r="Z30" s="320">
        <v>227.1</v>
      </c>
      <c r="AA30" s="320">
        <v>342.5</v>
      </c>
      <c r="AB30" s="323">
        <v>415.5</v>
      </c>
      <c r="AC30" s="15">
        <v>510.5</v>
      </c>
      <c r="AD30" s="221">
        <v>527.20000000000005</v>
      </c>
      <c r="AE30" s="221">
        <v>518</v>
      </c>
      <c r="AF30" s="15">
        <v>320.8</v>
      </c>
      <c r="AG30" s="277">
        <v>366.6</v>
      </c>
      <c r="AH30" s="335">
        <f t="shared" si="0"/>
        <v>10422.400000000001</v>
      </c>
      <c r="AI30" s="2">
        <v>100</v>
      </c>
      <c r="AJ30" s="285">
        <f t="shared" si="31"/>
        <v>7.8333333333333328E-3</v>
      </c>
      <c r="AK30" s="98">
        <f t="shared" si="22"/>
        <v>0.21762499999999999</v>
      </c>
      <c r="AL30" s="99">
        <f>IF(OR(E28="",E28="Sem monitoramento"),"VAZIO",IFERROR(E28/($AI30*24),"-"))</f>
        <v>0.21420833333333333</v>
      </c>
      <c r="AM30" s="99">
        <f t="shared" si="56"/>
        <v>0.14099999999999999</v>
      </c>
      <c r="AN30" s="99">
        <f t="shared" si="56"/>
        <v>0.111875</v>
      </c>
      <c r="AO30" s="99">
        <f>IF(OR(H30="",H30="Sem monitoramento"),"VAZIO",IFERROR(H30/($AI30*24),"-"))</f>
        <v>0.10370833333333333</v>
      </c>
      <c r="AP30" s="99">
        <f t="shared" si="51"/>
        <v>0.13408333333333333</v>
      </c>
      <c r="AQ30" s="99" t="e">
        <f>IF(OR(#REF!="",#REF!="Sem monitoramento"),"VAZIO",IFERROR(#REF!/($AI30*24),"-"))</f>
        <v>#REF!</v>
      </c>
      <c r="AR30" s="99">
        <f t="shared" si="44"/>
        <v>6.7333333333333328E-2</v>
      </c>
      <c r="AS30" s="99">
        <f t="shared" si="45"/>
        <v>9.2374999999999999E-2</v>
      </c>
      <c r="AT30" s="99">
        <f t="shared" si="52"/>
        <v>0.12083333333333333</v>
      </c>
      <c r="AU30" s="99" t="e">
        <f>IF(OR(#REF!="",#REF!="Sem monitoramento"),"VAZIO",IFERROR(#REF!/($AI30*24),"-"))</f>
        <v>#REF!</v>
      </c>
      <c r="AV30" s="99">
        <f t="shared" si="53"/>
        <v>0.17650000000000002</v>
      </c>
      <c r="AW30" s="99">
        <f t="shared" si="25"/>
        <v>3.7999999999999999E-2</v>
      </c>
      <c r="AX30" s="99">
        <f t="shared" si="40"/>
        <v>8.9458333333333334E-2</v>
      </c>
      <c r="AY30" s="99">
        <f t="shared" si="46"/>
        <v>0.11670833333333334</v>
      </c>
      <c r="AZ30" s="99">
        <f t="shared" si="48"/>
        <v>4.4250000000000005E-2</v>
      </c>
      <c r="BA30" s="99">
        <f>IF(OR(T30="",T30="Sem monitoramento"),"VAZIO",IFERROR(T30/($AI30*24),"-"))</f>
        <v>0.11954166666666666</v>
      </c>
      <c r="BB30" s="99">
        <f t="shared" si="39"/>
        <v>0.18545833333333334</v>
      </c>
      <c r="BC30" s="99">
        <f t="shared" si="54"/>
        <v>0.22120833333333331</v>
      </c>
      <c r="BD30" s="99">
        <f>IF(OR(W30="",W30="Sem monitoramento"),"VAZIO",IFERROR(W30/($AI30*24),"-"))</f>
        <v>0.19775000000000001</v>
      </c>
      <c r="BE30" s="99">
        <f t="shared" si="55"/>
        <v>0.16741666666666666</v>
      </c>
      <c r="BF30" s="99">
        <f t="shared" si="47"/>
        <v>0.11316666666666668</v>
      </c>
      <c r="BG30" s="99">
        <f>IF(OR(Z30="",Z30="Sem monitoramento"),"VAZIO",IFERROR(Z30/($AI30*24),"-"))</f>
        <v>9.4625000000000001E-2</v>
      </c>
      <c r="BH30" s="99">
        <f>IF(OR(AA30="",AA30="Sem monitoramento"),"VAZIO",IFERROR(AA30/($AI30*24),"-"))</f>
        <v>0.14270833333333333</v>
      </c>
      <c r="BI30" s="99">
        <f t="shared" si="50"/>
        <v>0.173125</v>
      </c>
      <c r="BJ30" s="99">
        <f t="shared" si="28"/>
        <v>0.21270833333333333</v>
      </c>
      <c r="BK30" s="99">
        <f t="shared" si="49"/>
        <v>0.21966666666666668</v>
      </c>
      <c r="BL30" s="99">
        <f t="shared" si="41"/>
        <v>0.21583333333333332</v>
      </c>
      <c r="BM30" s="286">
        <f t="shared" si="42"/>
        <v>0.13366666666666668</v>
      </c>
      <c r="BN30" s="286">
        <f>IF(OR(AG30="",AG30="Sem monitoramento"),"VAZIO",IFERROR(AG30/($AI30*24),"-"))</f>
        <v>0.15275</v>
      </c>
      <c r="BO30" s="286">
        <f t="shared" si="6"/>
        <v>0.14475555555555558</v>
      </c>
      <c r="BP30" s="198">
        <f t="shared" si="43"/>
        <v>0.168125</v>
      </c>
      <c r="BQ30" s="72">
        <f t="shared" si="33"/>
        <v>16.8125</v>
      </c>
      <c r="BR30" s="73">
        <f t="shared" si="34"/>
        <v>-2.712500000000001E-2</v>
      </c>
      <c r="BS30" s="74">
        <f t="shared" si="9"/>
        <v>-2.3369444444444415E-2</v>
      </c>
      <c r="BT30" s="2"/>
      <c r="BU30" s="3"/>
      <c r="BV30" s="2"/>
      <c r="BW30" s="2"/>
    </row>
    <row r="31" spans="2:75" ht="15" thickBot="1" x14ac:dyDescent="0.35">
      <c r="B31" s="777"/>
      <c r="C31" s="329" t="s">
        <v>563</v>
      </c>
      <c r="D31" s="224">
        <v>530.5</v>
      </c>
      <c r="E31" s="93">
        <v>480.9</v>
      </c>
      <c r="F31" s="93">
        <v>321.60000000000002</v>
      </c>
      <c r="G31" s="115">
        <v>287.89999999999998</v>
      </c>
      <c r="H31" s="532">
        <v>239.3</v>
      </c>
      <c r="I31" s="115">
        <v>252.9</v>
      </c>
      <c r="J31" s="115">
        <v>317.39999999999998</v>
      </c>
      <c r="K31" s="93">
        <v>122.9</v>
      </c>
      <c r="L31" s="93">
        <v>183.2</v>
      </c>
      <c r="M31" s="93">
        <v>303.60000000000002</v>
      </c>
      <c r="N31" s="93">
        <v>397.2</v>
      </c>
      <c r="O31" s="622">
        <v>215.1</v>
      </c>
      <c r="P31" s="93">
        <v>55</v>
      </c>
      <c r="Q31" s="622">
        <v>0</v>
      </c>
      <c r="R31" s="622">
        <v>0</v>
      </c>
      <c r="S31" s="622">
        <v>0</v>
      </c>
      <c r="T31" s="622">
        <v>0</v>
      </c>
      <c r="U31" s="622">
        <v>0</v>
      </c>
      <c r="V31" s="622">
        <v>0</v>
      </c>
      <c r="W31" s="622">
        <v>0</v>
      </c>
      <c r="X31" s="578">
        <v>0</v>
      </c>
      <c r="Y31" s="622">
        <v>0</v>
      </c>
      <c r="Z31" s="622">
        <v>0</v>
      </c>
      <c r="AA31" s="622">
        <v>0</v>
      </c>
      <c r="AB31" s="631">
        <v>136.5</v>
      </c>
      <c r="AC31" s="22">
        <v>292.8</v>
      </c>
      <c r="AD31" s="277">
        <v>341.2</v>
      </c>
      <c r="AE31" s="22">
        <v>336.1</v>
      </c>
      <c r="AF31" s="22">
        <v>202.3</v>
      </c>
      <c r="AG31" s="277">
        <v>212.9</v>
      </c>
      <c r="AH31" s="335">
        <f t="shared" si="0"/>
        <v>5229.2999999999993</v>
      </c>
      <c r="AI31" s="2"/>
      <c r="AJ31" s="285"/>
      <c r="AK31" s="286" t="str">
        <f t="shared" si="22"/>
        <v>-</v>
      </c>
      <c r="AL31" s="286" t="str">
        <f t="shared" si="56"/>
        <v>-</v>
      </c>
      <c r="AM31" s="286" t="str">
        <f t="shared" si="56"/>
        <v>-</v>
      </c>
      <c r="AN31" s="286" t="str">
        <f t="shared" si="56"/>
        <v>-</v>
      </c>
      <c r="AO31" s="286" t="str">
        <f>IF(OR(H31="",H31="Sem monitoramento"),"VAZIO",IFERROR(H31/($AI31*24),"-"))</f>
        <v>-</v>
      </c>
      <c r="AP31" s="286" t="str">
        <f t="shared" si="51"/>
        <v>-</v>
      </c>
      <c r="AQ31" s="286" t="str">
        <f>IF(OR(J31="",J31="Sem monitoramento"),"VAZIO",IFERROR(J31/($AI31*24),"-"))</f>
        <v>-</v>
      </c>
      <c r="AR31" s="286" t="str">
        <f t="shared" si="44"/>
        <v>-</v>
      </c>
      <c r="AS31" s="286" t="str">
        <f t="shared" si="45"/>
        <v>-</v>
      </c>
      <c r="AT31" s="286" t="str">
        <f t="shared" si="52"/>
        <v>-</v>
      </c>
      <c r="AU31" s="286" t="str">
        <f>IF(OR(N31="",N31="Sem monitoramento"),"VAZIO",IFERROR(N31/($AI31*24),"-"))</f>
        <v>-</v>
      </c>
      <c r="AV31" s="286" t="str">
        <f t="shared" si="53"/>
        <v>-</v>
      </c>
      <c r="AW31" s="286" t="str">
        <f t="shared" si="25"/>
        <v>-</v>
      </c>
      <c r="AX31" s="286" t="str">
        <f t="shared" si="40"/>
        <v>-</v>
      </c>
      <c r="AY31" s="286" t="str">
        <f t="shared" si="46"/>
        <v>-</v>
      </c>
      <c r="AZ31" s="286" t="str">
        <f t="shared" si="48"/>
        <v>-</v>
      </c>
      <c r="BA31" s="286" t="str">
        <f>IF(OR(T31="",T31="Sem monitoramento"),"VAZIO",IFERROR(T31/($AI31*24),"-"))</f>
        <v>-</v>
      </c>
      <c r="BB31" s="286" t="str">
        <f t="shared" si="39"/>
        <v>-</v>
      </c>
      <c r="BC31" s="286" t="str">
        <f t="shared" si="54"/>
        <v>-</v>
      </c>
      <c r="BD31" s="286" t="str">
        <f>IF(OR(W31="",W31="Sem monitoramento"),"VAZIO",IFERROR(W31/($AI31*24),"-"))</f>
        <v>-</v>
      </c>
      <c r="BE31" s="286" t="str">
        <f t="shared" si="55"/>
        <v>-</v>
      </c>
      <c r="BF31" s="286" t="str">
        <f t="shared" si="47"/>
        <v>-</v>
      </c>
      <c r="BG31" s="286" t="str">
        <f>IF(OR(Z31="",Z31="Sem monitoramento"),"VAZIO",IFERROR(Z31/($AI31*24),"-"))</f>
        <v>-</v>
      </c>
      <c r="BH31" s="286" t="str">
        <f>IF(OR(AA31="",AA31="Sem monitoramento"),"VAZIO",IFERROR(AA31/($AI31*24),"-"))</f>
        <v>-</v>
      </c>
      <c r="BI31" s="286" t="str">
        <f t="shared" si="50"/>
        <v>-</v>
      </c>
      <c r="BJ31" s="286" t="str">
        <f t="shared" si="28"/>
        <v>-</v>
      </c>
      <c r="BK31" s="286" t="str">
        <f t="shared" si="49"/>
        <v>-</v>
      </c>
      <c r="BL31" s="286" t="str">
        <f t="shared" si="41"/>
        <v>-</v>
      </c>
      <c r="BM31" s="286" t="str">
        <f t="shared" si="42"/>
        <v>-</v>
      </c>
      <c r="BN31" s="286" t="str">
        <f>IF(OR(AG31="",AG31="Sem monitoramento"),"VAZIO",IFERROR(AG31/($AI31*24),"-"))</f>
        <v>-</v>
      </c>
      <c r="BO31" s="286" t="e">
        <f t="shared" si="6"/>
        <v>#DIV/0!</v>
      </c>
      <c r="BP31" s="198"/>
      <c r="BQ31" s="287"/>
      <c r="BR31" s="288"/>
      <c r="BS31" s="289"/>
      <c r="BT31" s="2"/>
      <c r="BU31" s="3"/>
      <c r="BV31" s="2"/>
      <c r="BW31" s="2"/>
    </row>
    <row r="32" spans="2:75" ht="18" x14ac:dyDescent="0.3">
      <c r="B32" s="776" t="s">
        <v>113</v>
      </c>
      <c r="C32" s="776"/>
      <c r="D32" s="103">
        <f>SUM(D5:D31)</f>
        <v>13115.999999999998</v>
      </c>
      <c r="E32" s="103">
        <f>SUM(E5:E31)</f>
        <v>11390.700000000003</v>
      </c>
      <c r="F32" s="103">
        <f>SUM(F5:F31)</f>
        <v>8822.4</v>
      </c>
      <c r="G32" s="103">
        <f>SUM(G5:G31)</f>
        <v>5780.9999999999991</v>
      </c>
      <c r="H32" s="103">
        <f t="shared" ref="H32:AG32" si="57">SUM(H5:H31)</f>
        <v>5643.9</v>
      </c>
      <c r="I32" s="103">
        <f t="shared" si="57"/>
        <v>7323.0999999999985</v>
      </c>
      <c r="J32" s="103">
        <f t="shared" si="57"/>
        <v>9572.2999999999975</v>
      </c>
      <c r="K32" s="103">
        <f t="shared" si="57"/>
        <v>5402.4000000000005</v>
      </c>
      <c r="L32" s="103">
        <f t="shared" si="57"/>
        <v>6261.4</v>
      </c>
      <c r="M32" s="103">
        <f t="shared" si="57"/>
        <v>8990.5</v>
      </c>
      <c r="N32" s="103">
        <f t="shared" si="57"/>
        <v>12053.400000000003</v>
      </c>
      <c r="O32" s="103">
        <f t="shared" si="57"/>
        <v>12172.7</v>
      </c>
      <c r="P32" s="103">
        <f t="shared" si="57"/>
        <v>2382.2999999999997</v>
      </c>
      <c r="Q32" s="103">
        <f t="shared" si="57"/>
        <v>5760.9999999999991</v>
      </c>
      <c r="R32" s="103">
        <f t="shared" si="57"/>
        <v>7481.0000000000018</v>
      </c>
      <c r="S32" s="103">
        <f t="shared" si="57"/>
        <v>2656.099999999999</v>
      </c>
      <c r="T32" s="103">
        <f t="shared" si="57"/>
        <v>8189.8</v>
      </c>
      <c r="U32" s="103">
        <f>SUM(U5:U31)</f>
        <v>11475.1</v>
      </c>
      <c r="V32" s="103">
        <f t="shared" si="57"/>
        <v>13069.099999999999</v>
      </c>
      <c r="W32" s="103">
        <f t="shared" si="57"/>
        <v>9664.3000000000011</v>
      </c>
      <c r="X32" s="103">
        <f t="shared" si="57"/>
        <v>8215.8999999999978</v>
      </c>
      <c r="Y32" s="103">
        <f t="shared" si="57"/>
        <v>7172.5000000000009</v>
      </c>
      <c r="Z32" s="103">
        <f t="shared" si="57"/>
        <v>6434.4</v>
      </c>
      <c r="AA32" s="103">
        <f t="shared" si="57"/>
        <v>9674.1999999999971</v>
      </c>
      <c r="AB32" s="103">
        <f>SUM(AB5:AB31)</f>
        <v>11016.6</v>
      </c>
      <c r="AC32" s="103">
        <f t="shared" si="57"/>
        <v>12354.199999999999</v>
      </c>
      <c r="AD32" s="103">
        <f t="shared" si="57"/>
        <v>13272.499999999998</v>
      </c>
      <c r="AE32" s="103">
        <f t="shared" si="57"/>
        <v>12953.4</v>
      </c>
      <c r="AF32" s="103">
        <f t="shared" si="57"/>
        <v>7209.1</v>
      </c>
      <c r="AG32" s="103">
        <f t="shared" si="57"/>
        <v>9710.6</v>
      </c>
      <c r="AH32" s="189">
        <f>SUM(AH5:AH31)</f>
        <v>265221.89999999997</v>
      </c>
      <c r="AI32" s="104">
        <f>SUM(AI5:AI31)</f>
        <v>2329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U32" s="3"/>
      <c r="BV32" s="2"/>
      <c r="BW32" s="2"/>
    </row>
    <row r="33" spans="2:75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190" t="str">
        <f>_xlfn.CONCAT(ROUND(AH32/1000,3)," MWh")</f>
        <v>265,222 MWh</v>
      </c>
      <c r="AI33" s="2"/>
      <c r="AM33" s="778">
        <v>12</v>
      </c>
      <c r="AV33">
        <v>1000</v>
      </c>
      <c r="AW33">
        <v>1000</v>
      </c>
      <c r="BQ33" s="9"/>
      <c r="BS33" s="2"/>
      <c r="BU33" s="2"/>
      <c r="BV33" s="2"/>
      <c r="BW33" s="2"/>
    </row>
    <row r="34" spans="2:75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91" t="str">
        <f>_xlfn.CONCAT(ROUND($AH$32/COUNTIF($D$32:$AG$32,"&lt;&gt;0"),3)," kWh")</f>
        <v>8840,73 kWh</v>
      </c>
      <c r="AI34" s="2"/>
      <c r="AJ34" s="2"/>
      <c r="AK34" s="2"/>
      <c r="AL34" s="2"/>
      <c r="AM34" s="779"/>
      <c r="AU34">
        <v>900</v>
      </c>
      <c r="AV34">
        <v>100</v>
      </c>
      <c r="BQ34" s="11"/>
      <c r="BS34" s="106"/>
      <c r="BT34" s="3" t="s">
        <v>114</v>
      </c>
    </row>
    <row r="35" spans="2:75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91" t="str">
        <f>_xlfn.CONCAT(ROUND($AH$32/COUNTIF($D$32:$AG$32,"&lt;&gt;0"),3)*30," kWh")</f>
        <v>265221,9 kWh</v>
      </c>
      <c r="AI35" s="2"/>
      <c r="AJ35" s="2"/>
      <c r="AK35" s="2"/>
      <c r="AL35" s="2"/>
      <c r="AM35" s="780"/>
      <c r="BQ35" s="2"/>
      <c r="BS35" s="109"/>
      <c r="BT35" s="5" t="s">
        <v>116</v>
      </c>
    </row>
    <row r="36" spans="2:75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91" t="str">
        <f>_xlfn.CONCAT(ROUND(($AH$32/COUNTIF($D$32:$AG$32,"&lt;&gt;0"))*30/1000,3)," MWh")</f>
        <v>265,222 MWh</v>
      </c>
      <c r="AM36" s="778">
        <v>67</v>
      </c>
    </row>
    <row r="37" spans="2:75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  <c r="AM37" s="779"/>
    </row>
    <row r="38" spans="2:75" x14ac:dyDescent="0.3">
      <c r="AC38">
        <v>60.6</v>
      </c>
      <c r="AM38" s="780"/>
    </row>
    <row r="39" spans="2:75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  <c r="AM39" s="778">
        <v>49</v>
      </c>
    </row>
    <row r="40" spans="2:75" x14ac:dyDescent="0.3">
      <c r="N40">
        <v>91151.5</v>
      </c>
      <c r="O40">
        <f>N41-N40</f>
        <v>734</v>
      </c>
      <c r="X40" s="102"/>
      <c r="AF40">
        <f>AF39-20.4</f>
        <v>53905.2</v>
      </c>
      <c r="AM40" s="779"/>
    </row>
    <row r="41" spans="2:75" x14ac:dyDescent="0.3">
      <c r="N41">
        <v>91885.5</v>
      </c>
      <c r="X41" s="102"/>
      <c r="AF41">
        <f>AF40-AD39</f>
        <v>263.19999999999709</v>
      </c>
      <c r="AM41" s="780"/>
    </row>
    <row r="42" spans="2:75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  <c r="AM42" s="778">
        <v>33</v>
      </c>
    </row>
    <row r="43" spans="2:75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L43" s="63">
        <v>19.7</v>
      </c>
      <c r="AM43" s="779"/>
    </row>
    <row r="44" spans="2:75" x14ac:dyDescent="0.3">
      <c r="B44" s="751" t="s">
        <v>6</v>
      </c>
      <c r="C44" s="18" t="s">
        <v>7</v>
      </c>
      <c r="D44" s="163">
        <f>D5+Agosto23!AF41</f>
        <v>48906.400000000001</v>
      </c>
      <c r="E44" s="164">
        <f t="shared" ref="E44:F59" si="58">D44+E5</f>
        <v>48957.599999999999</v>
      </c>
      <c r="F44" s="164">
        <f t="shared" si="58"/>
        <v>48994.6</v>
      </c>
      <c r="G44" s="165">
        <v>49036.4</v>
      </c>
      <c r="H44" s="166">
        <v>49076</v>
      </c>
      <c r="I44" s="163">
        <f t="shared" ref="I44:V59" si="59">H44+I5</f>
        <v>49117</v>
      </c>
      <c r="J44" s="163">
        <f t="shared" si="59"/>
        <v>49161.4</v>
      </c>
      <c r="K44" s="163">
        <f t="shared" si="59"/>
        <v>49192.700000000004</v>
      </c>
      <c r="L44" s="163">
        <f t="shared" si="59"/>
        <v>49221.4</v>
      </c>
      <c r="M44" s="163">
        <f t="shared" si="59"/>
        <v>49262.1</v>
      </c>
      <c r="N44" s="163">
        <f t="shared" si="59"/>
        <v>49316.4</v>
      </c>
      <c r="O44" s="163">
        <f t="shared" si="59"/>
        <v>49365.4</v>
      </c>
      <c r="P44" s="163">
        <f t="shared" si="59"/>
        <v>49378.6</v>
      </c>
      <c r="Q44" s="163">
        <f t="shared" si="59"/>
        <v>49399.9</v>
      </c>
      <c r="R44" s="163">
        <f t="shared" si="59"/>
        <v>49432.5</v>
      </c>
      <c r="S44" s="163">
        <f t="shared" si="59"/>
        <v>49442</v>
      </c>
      <c r="T44" s="163">
        <f t="shared" si="59"/>
        <v>49473.9</v>
      </c>
      <c r="U44" s="163">
        <f t="shared" si="59"/>
        <v>49524.4</v>
      </c>
      <c r="V44" s="163">
        <f t="shared" si="59"/>
        <v>49579.4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L44" s="63">
        <f>20.7+88.5</f>
        <v>109.2</v>
      </c>
      <c r="AM44" s="780"/>
    </row>
    <row r="45" spans="2:75" x14ac:dyDescent="0.3">
      <c r="B45" s="752"/>
      <c r="C45" s="18" t="s">
        <v>8</v>
      </c>
      <c r="D45" s="163">
        <f>D6+Agosto23!AF42</f>
        <v>99097.8</v>
      </c>
      <c r="E45" s="164">
        <f t="shared" si="58"/>
        <v>99367.8</v>
      </c>
      <c r="F45" s="164">
        <f t="shared" si="58"/>
        <v>99575</v>
      </c>
      <c r="G45" s="165">
        <f>21775+78123.8</f>
        <v>99898.8</v>
      </c>
      <c r="H45" s="166">
        <f>21823+78322.8</f>
        <v>100145.8</v>
      </c>
      <c r="I45" s="163">
        <f t="shared" si="59"/>
        <v>100367.40000000001</v>
      </c>
      <c r="J45" s="163">
        <f t="shared" si="59"/>
        <v>100656.6</v>
      </c>
      <c r="K45" s="163">
        <f t="shared" si="59"/>
        <v>100844.90000000001</v>
      </c>
      <c r="L45" s="163">
        <f t="shared" si="59"/>
        <v>101008.1</v>
      </c>
      <c r="M45" s="163">
        <f t="shared" si="59"/>
        <v>101271.3</v>
      </c>
      <c r="N45" s="163">
        <f t="shared" si="59"/>
        <v>101601.5</v>
      </c>
      <c r="O45" s="163">
        <f t="shared" si="59"/>
        <v>101912.4</v>
      </c>
      <c r="P45" s="163">
        <f t="shared" si="59"/>
        <v>101985.09999999999</v>
      </c>
      <c r="Q45" s="163">
        <f t="shared" si="59"/>
        <v>102111.29999999999</v>
      </c>
      <c r="R45" s="163">
        <f t="shared" si="59"/>
        <v>102293.69999999998</v>
      </c>
      <c r="S45" s="163">
        <f t="shared" si="59"/>
        <v>102352.89999999998</v>
      </c>
      <c r="T45" s="163">
        <f t="shared" si="59"/>
        <v>102550.39999999998</v>
      </c>
      <c r="U45" s="163">
        <f t="shared" si="59"/>
        <v>102853.69999999998</v>
      </c>
      <c r="V45" s="163">
        <f t="shared" si="59"/>
        <v>103214.69999999998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L45" s="63">
        <v>82.2</v>
      </c>
      <c r="AM45" s="778">
        <v>12</v>
      </c>
    </row>
    <row r="46" spans="2:75" x14ac:dyDescent="0.3">
      <c r="B46" s="752"/>
      <c r="C46" s="18" t="s">
        <v>9</v>
      </c>
      <c r="D46" s="163">
        <f>D7+Agosto23!AF43</f>
        <v>69917.600000000006</v>
      </c>
      <c r="E46" s="164">
        <f t="shared" si="58"/>
        <v>70137.3</v>
      </c>
      <c r="F46" s="164">
        <f t="shared" si="58"/>
        <v>70301.400000000009</v>
      </c>
      <c r="G46" s="165">
        <v>70458.2</v>
      </c>
      <c r="H46" s="166">
        <v>70615.5</v>
      </c>
      <c r="I46" s="163">
        <f t="shared" si="59"/>
        <v>70804.2</v>
      </c>
      <c r="J46" s="163">
        <f t="shared" si="59"/>
        <v>71000.3</v>
      </c>
      <c r="K46" s="163">
        <f t="shared" si="59"/>
        <v>71138.600000000006</v>
      </c>
      <c r="L46" s="163">
        <f t="shared" si="59"/>
        <v>71265.5</v>
      </c>
      <c r="M46" s="163">
        <f t="shared" si="59"/>
        <v>71440.800000000003</v>
      </c>
      <c r="N46" s="163">
        <f t="shared" si="59"/>
        <v>71688.7</v>
      </c>
      <c r="O46" s="163">
        <f t="shared" si="59"/>
        <v>71884.599999999991</v>
      </c>
      <c r="P46" s="163">
        <f t="shared" si="59"/>
        <v>71938.999999999985</v>
      </c>
      <c r="Q46" s="163">
        <f t="shared" si="59"/>
        <v>72032.799999999988</v>
      </c>
      <c r="R46" s="163">
        <f t="shared" si="59"/>
        <v>72180.699999999983</v>
      </c>
      <c r="S46" s="163">
        <f t="shared" si="59"/>
        <v>72223.099999999977</v>
      </c>
      <c r="T46" s="163">
        <f t="shared" si="59"/>
        <v>72371.699999999983</v>
      </c>
      <c r="U46" s="163" t="e">
        <f>T46+#REF!</f>
        <v>#REF!</v>
      </c>
      <c r="V46" s="163" t="e">
        <f t="shared" si="59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L46" s="63">
        <v>57.3</v>
      </c>
      <c r="AM46" s="779"/>
    </row>
    <row r="47" spans="2:75" x14ac:dyDescent="0.3">
      <c r="B47" s="752"/>
      <c r="C47" s="18" t="s">
        <v>10</v>
      </c>
      <c r="D47" s="163">
        <f>D8+Agosto23!AF44</f>
        <v>95765.9</v>
      </c>
      <c r="E47" s="164">
        <f t="shared" si="58"/>
        <v>95889.799999999988</v>
      </c>
      <c r="F47" s="164">
        <f t="shared" si="58"/>
        <v>95983.199999999983</v>
      </c>
      <c r="G47" s="165">
        <v>96154</v>
      </c>
      <c r="H47" s="166">
        <v>96261.9</v>
      </c>
      <c r="I47" s="163" t="e">
        <f>H47+#REF!</f>
        <v>#REF!</v>
      </c>
      <c r="J47" s="163" t="e">
        <f t="shared" si="59"/>
        <v>#REF!</v>
      </c>
      <c r="K47" s="163" t="e">
        <f t="shared" si="59"/>
        <v>#REF!</v>
      </c>
      <c r="L47" s="163" t="e">
        <f t="shared" si="59"/>
        <v>#REF!</v>
      </c>
      <c r="M47" s="163" t="e">
        <f t="shared" si="59"/>
        <v>#REF!</v>
      </c>
      <c r="N47" s="163" t="e">
        <f t="shared" si="59"/>
        <v>#REF!</v>
      </c>
      <c r="O47" s="163" t="e">
        <f t="shared" si="59"/>
        <v>#REF!</v>
      </c>
      <c r="P47" s="163" t="e">
        <f t="shared" si="59"/>
        <v>#REF!</v>
      </c>
      <c r="Q47" s="163" t="e">
        <f t="shared" si="59"/>
        <v>#REF!</v>
      </c>
      <c r="R47" s="163" t="e">
        <f t="shared" si="59"/>
        <v>#REF!</v>
      </c>
      <c r="S47" s="163" t="e">
        <f t="shared" si="59"/>
        <v>#REF!</v>
      </c>
      <c r="T47" s="163" t="e">
        <f t="shared" si="59"/>
        <v>#REF!</v>
      </c>
      <c r="U47" s="163" t="e">
        <f>T47+#REF!</f>
        <v>#REF!</v>
      </c>
      <c r="V47" s="163" t="e">
        <f t="shared" si="59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L47" s="63">
        <v>17.7</v>
      </c>
      <c r="AM47" s="780"/>
    </row>
    <row r="48" spans="2:75" x14ac:dyDescent="0.3">
      <c r="B48" s="752"/>
      <c r="C48" s="18" t="s">
        <v>11</v>
      </c>
      <c r="D48" s="163">
        <f>D10+Agosto23!AF45</f>
        <v>18859.400000000001</v>
      </c>
      <c r="E48" s="164">
        <f t="shared" si="58"/>
        <v>18903.400000000001</v>
      </c>
      <c r="F48" s="164">
        <f t="shared" si="58"/>
        <v>18938.900000000001</v>
      </c>
      <c r="G48" s="165">
        <v>18957</v>
      </c>
      <c r="H48" s="166">
        <v>18998</v>
      </c>
      <c r="I48" s="163">
        <f t="shared" si="59"/>
        <v>19030.3</v>
      </c>
      <c r="J48" s="163">
        <f>I48+J10</f>
        <v>19138</v>
      </c>
      <c r="K48" s="163">
        <f t="shared" si="59"/>
        <v>19169.900000000001</v>
      </c>
      <c r="L48" s="163">
        <f t="shared" si="59"/>
        <v>19195.5</v>
      </c>
      <c r="M48" s="163">
        <f t="shared" si="59"/>
        <v>19237.900000000001</v>
      </c>
      <c r="N48" s="163">
        <f t="shared" si="59"/>
        <v>19284.7</v>
      </c>
      <c r="O48" s="163">
        <f t="shared" si="59"/>
        <v>19330.7</v>
      </c>
      <c r="P48" s="163">
        <f>O48+P10</f>
        <v>19357.8</v>
      </c>
      <c r="Q48" s="163">
        <f t="shared" si="59"/>
        <v>19379.099999999999</v>
      </c>
      <c r="R48" s="163">
        <f t="shared" si="59"/>
        <v>19413.099999999999</v>
      </c>
      <c r="S48" s="163">
        <f t="shared" si="59"/>
        <v>19424.099999999999</v>
      </c>
      <c r="T48" s="163">
        <f t="shared" si="59"/>
        <v>19455.8</v>
      </c>
      <c r="U48" s="163">
        <f>T48+U7</f>
        <v>19685.5</v>
      </c>
      <c r="V48" s="163">
        <f t="shared" si="59"/>
        <v>19737.3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L48" s="63">
        <v>37.700000000000003</v>
      </c>
      <c r="AM48" s="778">
        <v>25</v>
      </c>
    </row>
    <row r="49" spans="2:39" x14ac:dyDescent="0.3">
      <c r="B49" s="752"/>
      <c r="C49" s="18" t="s">
        <v>12</v>
      </c>
      <c r="D49" s="163" t="e">
        <f>#REF!+Agosto23!AF46</f>
        <v>#REF!</v>
      </c>
      <c r="E49" s="164" t="e">
        <f t="shared" si="58"/>
        <v>#REF!</v>
      </c>
      <c r="F49" s="164" t="e">
        <f t="shared" si="58"/>
        <v>#REF!</v>
      </c>
      <c r="G49" s="165">
        <v>58550</v>
      </c>
      <c r="H49" s="166">
        <v>58640</v>
      </c>
      <c r="I49" s="163">
        <f>H49+I8</f>
        <v>58744.800000000003</v>
      </c>
      <c r="J49" s="163" t="e">
        <f>I49+#REF!</f>
        <v>#REF!</v>
      </c>
      <c r="K49" s="163" t="e">
        <f t="shared" si="59"/>
        <v>#REF!</v>
      </c>
      <c r="L49" s="163" t="e">
        <f t="shared" si="59"/>
        <v>#REF!</v>
      </c>
      <c r="M49" s="163" t="e">
        <f t="shared" si="59"/>
        <v>#REF!</v>
      </c>
      <c r="N49" s="163" t="e">
        <f t="shared" si="59"/>
        <v>#REF!</v>
      </c>
      <c r="O49" s="163" t="e">
        <f t="shared" si="59"/>
        <v>#REF!</v>
      </c>
      <c r="P49" s="163" t="e">
        <f>O49+#REF!</f>
        <v>#REF!</v>
      </c>
      <c r="Q49" s="163" t="e">
        <f t="shared" si="59"/>
        <v>#REF!</v>
      </c>
      <c r="R49" s="163" t="e">
        <f t="shared" si="59"/>
        <v>#REF!</v>
      </c>
      <c r="S49" s="163" t="e">
        <f t="shared" si="59"/>
        <v>#REF!</v>
      </c>
      <c r="T49" s="163" t="e">
        <f t="shared" si="59"/>
        <v>#REF!</v>
      </c>
      <c r="U49" s="163" t="e">
        <f>T49+U8</f>
        <v>#REF!</v>
      </c>
      <c r="V49" s="163" t="e">
        <f t="shared" si="59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L49" s="63">
        <v>151.30000000000001</v>
      </c>
      <c r="AM49" s="779"/>
    </row>
    <row r="50" spans="2:39" x14ac:dyDescent="0.3">
      <c r="B50" s="752"/>
      <c r="C50" s="18" t="s">
        <v>13</v>
      </c>
      <c r="D50" s="163">
        <f>D11+Agosto23!AF47</f>
        <v>230357.30000000002</v>
      </c>
      <c r="E50" s="164">
        <f t="shared" si="58"/>
        <v>230708.7</v>
      </c>
      <c r="F50" s="164">
        <f t="shared" si="58"/>
        <v>230971.5</v>
      </c>
      <c r="G50" s="165">
        <v>231148.9</v>
      </c>
      <c r="H50" s="166">
        <v>231319.5</v>
      </c>
      <c r="I50" s="163">
        <f t="shared" si="59"/>
        <v>231555.7</v>
      </c>
      <c r="J50" s="163">
        <f t="shared" si="59"/>
        <v>231876.2</v>
      </c>
      <c r="K50" s="163">
        <f t="shared" si="59"/>
        <v>232073.7</v>
      </c>
      <c r="L50" s="163">
        <f t="shared" si="59"/>
        <v>232278.90000000002</v>
      </c>
      <c r="M50" s="163">
        <f t="shared" si="59"/>
        <v>232526.50000000003</v>
      </c>
      <c r="N50" s="163">
        <f t="shared" si="59"/>
        <v>232888.70000000004</v>
      </c>
      <c r="O50" s="163">
        <f t="shared" si="59"/>
        <v>233252.20000000004</v>
      </c>
      <c r="P50" s="163">
        <f t="shared" si="59"/>
        <v>233350.40000000005</v>
      </c>
      <c r="Q50" s="163">
        <f t="shared" si="59"/>
        <v>233530.70000000004</v>
      </c>
      <c r="R50" s="163">
        <f t="shared" si="59"/>
        <v>233732.60000000003</v>
      </c>
      <c r="S50" s="163">
        <f t="shared" si="59"/>
        <v>233810.70000000004</v>
      </c>
      <c r="T50" s="163">
        <f t="shared" si="59"/>
        <v>234040.10000000003</v>
      </c>
      <c r="U50" s="163">
        <f t="shared" si="59"/>
        <v>234417.70000000004</v>
      </c>
      <c r="V50" s="163">
        <f t="shared" si="59"/>
        <v>234861.80000000005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L50" s="82">
        <v>81.099999999999994</v>
      </c>
      <c r="AM50" s="780"/>
    </row>
    <row r="51" spans="2:39" x14ac:dyDescent="0.3">
      <c r="B51" s="753"/>
      <c r="C51" s="18" t="s">
        <v>14</v>
      </c>
      <c r="D51" s="163">
        <f>D12+Agosto23!AF48</f>
        <v>924</v>
      </c>
      <c r="E51" s="164">
        <f t="shared" si="58"/>
        <v>1174</v>
      </c>
      <c r="F51" s="164">
        <f t="shared" si="58"/>
        <v>1394</v>
      </c>
      <c r="G51" s="165">
        <v>1440</v>
      </c>
      <c r="H51" s="166">
        <v>1620</v>
      </c>
      <c r="I51" s="163">
        <f t="shared" si="59"/>
        <v>1840</v>
      </c>
      <c r="J51" s="163">
        <f t="shared" si="59"/>
        <v>2150</v>
      </c>
      <c r="K51" s="163">
        <f t="shared" si="59"/>
        <v>2192</v>
      </c>
      <c r="L51" s="163">
        <f t="shared" si="59"/>
        <v>2394</v>
      </c>
      <c r="M51" s="163">
        <f t="shared" si="59"/>
        <v>2702</v>
      </c>
      <c r="N51" s="163">
        <f t="shared" si="59"/>
        <v>3002</v>
      </c>
      <c r="O51" s="163">
        <f t="shared" si="59"/>
        <v>3322</v>
      </c>
      <c r="P51" s="163">
        <f t="shared" si="59"/>
        <v>3397</v>
      </c>
      <c r="Q51" s="163">
        <f t="shared" si="59"/>
        <v>3525</v>
      </c>
      <c r="R51" s="163">
        <f t="shared" si="59"/>
        <v>3750</v>
      </c>
      <c r="S51" s="163">
        <f t="shared" si="59"/>
        <v>3816</v>
      </c>
      <c r="T51" s="163">
        <f t="shared" si="59"/>
        <v>4026</v>
      </c>
      <c r="U51" s="163">
        <f t="shared" si="59"/>
        <v>4327</v>
      </c>
      <c r="V51" s="163">
        <f t="shared" si="59"/>
        <v>4747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L51" s="63">
        <v>156.9</v>
      </c>
      <c r="AM51" s="778">
        <v>78</v>
      </c>
    </row>
    <row r="52" spans="2:39" x14ac:dyDescent="0.3">
      <c r="B52" s="751" t="s">
        <v>16</v>
      </c>
      <c r="C52" s="18" t="s">
        <v>17</v>
      </c>
      <c r="D52" s="163">
        <f>D13+Agosto23!AF49</f>
        <v>137417.70000000001</v>
      </c>
      <c r="E52" s="164">
        <f t="shared" si="58"/>
        <v>137793.70000000001</v>
      </c>
      <c r="F52" s="164">
        <f t="shared" si="58"/>
        <v>138109.5</v>
      </c>
      <c r="G52" s="165">
        <v>138545</v>
      </c>
      <c r="H52" s="166">
        <v>138937</v>
      </c>
      <c r="I52" s="163">
        <f t="shared" si="59"/>
        <v>139223.6</v>
      </c>
      <c r="J52" s="163">
        <f t="shared" si="59"/>
        <v>139652.20000000001</v>
      </c>
      <c r="K52" s="163">
        <f t="shared" si="59"/>
        <v>139731.40000000002</v>
      </c>
      <c r="L52" s="163">
        <f t="shared" si="59"/>
        <v>139976.70000000001</v>
      </c>
      <c r="M52" s="163">
        <f t="shared" si="59"/>
        <v>140404.70000000001</v>
      </c>
      <c r="N52" s="163">
        <f t="shared" si="59"/>
        <v>140809</v>
      </c>
      <c r="O52" s="163">
        <f t="shared" si="59"/>
        <v>141287.79999999999</v>
      </c>
      <c r="P52" s="163">
        <f t="shared" si="59"/>
        <v>141410.09999999998</v>
      </c>
      <c r="Q52" s="163">
        <f t="shared" si="59"/>
        <v>141608.89999999997</v>
      </c>
      <c r="R52" s="163">
        <f t="shared" si="59"/>
        <v>141911.99999999997</v>
      </c>
      <c r="S52" s="163">
        <f t="shared" si="59"/>
        <v>142015.19999999998</v>
      </c>
      <c r="T52" s="163">
        <f t="shared" si="59"/>
        <v>142279.9</v>
      </c>
      <c r="U52" s="163">
        <f t="shared" si="59"/>
        <v>142678.29999999999</v>
      </c>
      <c r="V52" s="163">
        <f t="shared" si="59"/>
        <v>143235.4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L52" s="63">
        <v>195.6</v>
      </c>
      <c r="AM52" s="779"/>
    </row>
    <row r="53" spans="2:39" x14ac:dyDescent="0.3">
      <c r="B53" s="752"/>
      <c r="C53" s="18" t="s">
        <v>18</v>
      </c>
      <c r="D53" s="163">
        <f>D14+Agosto23!AF50</f>
        <v>127796.8</v>
      </c>
      <c r="E53" s="164">
        <f t="shared" si="58"/>
        <v>128362.1</v>
      </c>
      <c r="F53" s="164">
        <f t="shared" si="58"/>
        <v>128727.1</v>
      </c>
      <c r="G53" s="165">
        <v>128878</v>
      </c>
      <c r="H53" s="166">
        <v>129112</v>
      </c>
      <c r="I53" s="163">
        <f t="shared" si="59"/>
        <v>129437</v>
      </c>
      <c r="J53" s="163">
        <f t="shared" si="59"/>
        <v>129883.2</v>
      </c>
      <c r="K53" s="163">
        <f t="shared" si="59"/>
        <v>130152.7</v>
      </c>
      <c r="L53" s="163">
        <f t="shared" si="59"/>
        <v>130432</v>
      </c>
      <c r="M53" s="163">
        <f t="shared" si="59"/>
        <v>130776.8</v>
      </c>
      <c r="N53" s="163">
        <f t="shared" si="59"/>
        <v>131261</v>
      </c>
      <c r="O53" s="163">
        <f>N53+O14</f>
        <v>131795.5</v>
      </c>
      <c r="P53" s="163">
        <f t="shared" si="59"/>
        <v>131921.79999999999</v>
      </c>
      <c r="Q53" s="163">
        <f t="shared" si="59"/>
        <v>132168.5</v>
      </c>
      <c r="R53" s="163">
        <f t="shared" si="59"/>
        <v>132448.1</v>
      </c>
      <c r="S53" s="163">
        <f t="shared" si="59"/>
        <v>132542.80000000002</v>
      </c>
      <c r="T53" s="163" t="e">
        <f>S53+#REF!</f>
        <v>#REF!</v>
      </c>
      <c r="U53" s="163" t="e">
        <f>T53+U14</f>
        <v>#REF!</v>
      </c>
      <c r="V53" s="163" t="e">
        <f t="shared" si="59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L53" s="63">
        <v>55.4</v>
      </c>
      <c r="AM53" s="780"/>
    </row>
    <row r="54" spans="2:39" x14ac:dyDescent="0.3">
      <c r="B54" s="752"/>
      <c r="C54" s="18" t="s">
        <v>19</v>
      </c>
      <c r="D54" s="163">
        <f>D15+Agosto23!AF51</f>
        <v>37855.200000000004</v>
      </c>
      <c r="E54" s="164">
        <f t="shared" si="58"/>
        <v>37989.000000000007</v>
      </c>
      <c r="F54" s="164">
        <f t="shared" si="58"/>
        <v>38085.400000000009</v>
      </c>
      <c r="G54" s="165">
        <v>38160</v>
      </c>
      <c r="H54" s="166">
        <v>38222</v>
      </c>
      <c r="I54" s="163">
        <f t="shared" si="59"/>
        <v>38308.699999999997</v>
      </c>
      <c r="J54" s="163">
        <f t="shared" si="59"/>
        <v>38441.699999999997</v>
      </c>
      <c r="K54" s="163">
        <f t="shared" si="59"/>
        <v>38513.199999999997</v>
      </c>
      <c r="L54" s="163">
        <f t="shared" si="59"/>
        <v>38586.799999999996</v>
      </c>
      <c r="M54" s="163">
        <f t="shared" si="59"/>
        <v>38678.299999999996</v>
      </c>
      <c r="N54" s="163">
        <f t="shared" si="59"/>
        <v>38818.199999999997</v>
      </c>
      <c r="O54" s="163">
        <f>N54+O15</f>
        <v>38967.5</v>
      </c>
      <c r="P54" s="163">
        <f t="shared" si="59"/>
        <v>39000.300000000003</v>
      </c>
      <c r="Q54" s="163">
        <f t="shared" si="59"/>
        <v>39064.9</v>
      </c>
      <c r="R54" s="163">
        <f t="shared" si="59"/>
        <v>39138.200000000004</v>
      </c>
      <c r="S54" s="163">
        <f t="shared" si="59"/>
        <v>39162.800000000003</v>
      </c>
      <c r="T54" s="163">
        <f>S54+T15</f>
        <v>39247</v>
      </c>
      <c r="U54" s="163">
        <f>T54+U15</f>
        <v>39390.199999999997</v>
      </c>
      <c r="V54" s="163">
        <f t="shared" si="59"/>
        <v>39557.1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L54" s="63">
        <v>183.6</v>
      </c>
      <c r="AM54" s="778">
        <v>60</v>
      </c>
    </row>
    <row r="55" spans="2:39" x14ac:dyDescent="0.3">
      <c r="B55" s="753"/>
      <c r="C55" s="18" t="s">
        <v>20</v>
      </c>
      <c r="D55" s="163">
        <f>D16+Agosto23!AF52</f>
        <v>97445.2</v>
      </c>
      <c r="E55" s="164">
        <f t="shared" si="58"/>
        <v>97858.2</v>
      </c>
      <c r="F55" s="164">
        <f t="shared" si="58"/>
        <v>98225.7</v>
      </c>
      <c r="G55" s="165">
        <v>98510</v>
      </c>
      <c r="H55" s="166">
        <v>98809</v>
      </c>
      <c r="I55" s="163">
        <f t="shared" si="59"/>
        <v>99100.2</v>
      </c>
      <c r="J55" s="163">
        <f t="shared" si="59"/>
        <v>99487.4</v>
      </c>
      <c r="K55" s="163">
        <f t="shared" si="59"/>
        <v>99686.5</v>
      </c>
      <c r="L55" s="163">
        <f t="shared" si="59"/>
        <v>99930.5</v>
      </c>
      <c r="M55" s="163">
        <f t="shared" si="59"/>
        <v>100255.1</v>
      </c>
      <c r="N55" s="163">
        <f t="shared" si="59"/>
        <v>100750.20000000001</v>
      </c>
      <c r="O55" s="163">
        <f t="shared" si="59"/>
        <v>101222.50000000001</v>
      </c>
      <c r="P55" s="163">
        <f t="shared" si="59"/>
        <v>101340.80000000002</v>
      </c>
      <c r="Q55" s="163">
        <f t="shared" si="59"/>
        <v>101497.20000000001</v>
      </c>
      <c r="R55" s="163">
        <f t="shared" si="59"/>
        <v>101785.00000000001</v>
      </c>
      <c r="S55" s="163">
        <f t="shared" si="59"/>
        <v>101883.00000000001</v>
      </c>
      <c r="T55" s="163">
        <f>S55+T14</f>
        <v>102193.20000000001</v>
      </c>
      <c r="U55" s="163">
        <f t="shared" si="59"/>
        <v>102712.70000000001</v>
      </c>
      <c r="V55" s="163">
        <f t="shared" si="59"/>
        <v>103233.80000000002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L55" s="63" t="s">
        <v>31</v>
      </c>
      <c r="AM55" s="779"/>
    </row>
    <row r="56" spans="2:39" x14ac:dyDescent="0.3">
      <c r="B56" s="754" t="s">
        <v>21</v>
      </c>
      <c r="C56" s="18" t="s">
        <v>22</v>
      </c>
      <c r="D56" s="163">
        <f>D17+Agosto23!AF53</f>
        <v>66328.100000000006</v>
      </c>
      <c r="E56" s="164">
        <f t="shared" si="58"/>
        <v>66838.100000000006</v>
      </c>
      <c r="F56" s="164">
        <f t="shared" si="58"/>
        <v>67248.100000000006</v>
      </c>
      <c r="G56" s="165">
        <v>67299</v>
      </c>
      <c r="H56" s="166">
        <v>67726</v>
      </c>
      <c r="I56" s="163">
        <f t="shared" si="59"/>
        <v>68086.7</v>
      </c>
      <c r="J56" s="163">
        <f t="shared" si="59"/>
        <v>68504.099999999991</v>
      </c>
      <c r="K56" s="163" t="e">
        <f>J56+#REF!</f>
        <v>#REF!</v>
      </c>
      <c r="L56" s="163" t="e">
        <f t="shared" si="59"/>
        <v>#REF!</v>
      </c>
      <c r="M56" s="163" t="e">
        <f t="shared" si="59"/>
        <v>#REF!</v>
      </c>
      <c r="N56" s="163" t="e">
        <f>M56+N18</f>
        <v>#REF!</v>
      </c>
      <c r="O56" s="163" t="e">
        <f t="shared" si="59"/>
        <v>#REF!</v>
      </c>
      <c r="P56" s="163" t="e">
        <f t="shared" si="59"/>
        <v>#REF!</v>
      </c>
      <c r="Q56" s="163" t="e">
        <f t="shared" si="59"/>
        <v>#REF!</v>
      </c>
      <c r="R56" s="163" t="e">
        <f t="shared" si="59"/>
        <v>#REF!</v>
      </c>
      <c r="S56" s="163" t="e">
        <f t="shared" si="59"/>
        <v>#REF!</v>
      </c>
      <c r="T56" s="163" t="e">
        <f t="shared" si="59"/>
        <v>#REF!</v>
      </c>
      <c r="U56" s="163" t="e">
        <f t="shared" si="59"/>
        <v>#REF!</v>
      </c>
      <c r="V56" s="163" t="e">
        <f t="shared" si="59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L56" s="63">
        <v>40.200000000000003</v>
      </c>
      <c r="AM56" s="780"/>
    </row>
    <row r="57" spans="2:39" x14ac:dyDescent="0.3">
      <c r="B57" s="754"/>
      <c r="C57" s="18" t="s">
        <v>23</v>
      </c>
      <c r="D57" s="163">
        <f>D18+Agosto23!AF54</f>
        <v>74877.600000000006</v>
      </c>
      <c r="E57" s="164">
        <f t="shared" si="58"/>
        <v>75378.600000000006</v>
      </c>
      <c r="F57" s="164">
        <f t="shared" si="58"/>
        <v>75783.600000000006</v>
      </c>
      <c r="G57" s="165">
        <v>75901</v>
      </c>
      <c r="H57" s="166">
        <v>76333</v>
      </c>
      <c r="I57" s="163">
        <f t="shared" si="59"/>
        <v>76697</v>
      </c>
      <c r="J57" s="163">
        <f t="shared" si="59"/>
        <v>77130.399999999994</v>
      </c>
      <c r="K57" s="163">
        <f t="shared" si="59"/>
        <v>77373.799999999988</v>
      </c>
      <c r="L57" s="163">
        <f t="shared" si="59"/>
        <v>77663.199999999983</v>
      </c>
      <c r="M57" s="163">
        <f>L57+M19</f>
        <v>78013.999999999985</v>
      </c>
      <c r="N57" s="163" t="e">
        <f>M57+#REF!</f>
        <v>#REF!</v>
      </c>
      <c r="O57" s="163" t="e">
        <f t="shared" si="59"/>
        <v>#REF!</v>
      </c>
      <c r="P57" s="163" t="e">
        <f t="shared" si="59"/>
        <v>#REF!</v>
      </c>
      <c r="Q57" s="163" t="e">
        <f>P57+Q19</f>
        <v>#REF!</v>
      </c>
      <c r="R57" s="163" t="e">
        <f>Q57+#REF!</f>
        <v>#REF!</v>
      </c>
      <c r="S57" s="163" t="e">
        <f t="shared" si="59"/>
        <v>#REF!</v>
      </c>
      <c r="T57" s="163" t="e">
        <f t="shared" si="59"/>
        <v>#REF!</v>
      </c>
      <c r="U57" s="163" t="e">
        <f t="shared" si="59"/>
        <v>#REF!</v>
      </c>
      <c r="V57" s="163" t="e">
        <f t="shared" si="59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L57" s="63">
        <v>115</v>
      </c>
      <c r="AM57" s="784">
        <v>100</v>
      </c>
    </row>
    <row r="58" spans="2:39" x14ac:dyDescent="0.3">
      <c r="B58" s="754"/>
      <c r="C58" s="18" t="s">
        <v>24</v>
      </c>
      <c r="D58" s="163">
        <f>D19+Agosto23!AF55</f>
        <v>136497.90000000002</v>
      </c>
      <c r="E58" s="164">
        <f t="shared" si="58"/>
        <v>136954.20000000001</v>
      </c>
      <c r="F58" s="164">
        <f t="shared" si="58"/>
        <v>137308.40000000002</v>
      </c>
      <c r="G58" s="165">
        <v>137294</v>
      </c>
      <c r="H58" s="166">
        <v>137664</v>
      </c>
      <c r="I58" s="163">
        <f>H58+I19</f>
        <v>137965.79999999999</v>
      </c>
      <c r="J58" s="163">
        <f t="shared" si="59"/>
        <v>138311.9</v>
      </c>
      <c r="K58" s="163">
        <f t="shared" si="59"/>
        <v>138502.1</v>
      </c>
      <c r="L58" s="163">
        <f>K58+L21</f>
        <v>138731.5</v>
      </c>
      <c r="M58" s="163" t="e">
        <f>L58+#REF!</f>
        <v>#REF!</v>
      </c>
      <c r="N58" s="163" t="e">
        <f t="shared" si="59"/>
        <v>#REF!</v>
      </c>
      <c r="O58" s="163" t="e">
        <f t="shared" si="59"/>
        <v>#REF!</v>
      </c>
      <c r="P58" s="163" t="e">
        <f t="shared" si="59"/>
        <v>#REF!</v>
      </c>
      <c r="Q58" s="163" t="e">
        <f>P58+#REF!</f>
        <v>#REF!</v>
      </c>
      <c r="R58" s="163" t="e">
        <f t="shared" si="59"/>
        <v>#REF!</v>
      </c>
      <c r="S58" s="163" t="e">
        <f t="shared" si="59"/>
        <v>#REF!</v>
      </c>
      <c r="T58" s="163" t="e">
        <f t="shared" si="59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L58" s="63">
        <v>160.30000000000001</v>
      </c>
      <c r="AM58" s="785"/>
    </row>
    <row r="59" spans="2:39" x14ac:dyDescent="0.3">
      <c r="B59" s="754"/>
      <c r="C59" s="18" t="s">
        <v>25</v>
      </c>
      <c r="D59" s="163">
        <f>D20+Agosto23!AF56</f>
        <v>174956.2</v>
      </c>
      <c r="E59" s="164">
        <f t="shared" si="58"/>
        <v>175519.5</v>
      </c>
      <c r="F59" s="164">
        <f t="shared" si="58"/>
        <v>175976.9</v>
      </c>
      <c r="G59" s="165">
        <v>176032</v>
      </c>
      <c r="H59" s="166">
        <v>176536</v>
      </c>
      <c r="I59" s="163">
        <f>H59+I20</f>
        <v>176912.2</v>
      </c>
      <c r="J59" s="163">
        <f t="shared" si="59"/>
        <v>177342.6</v>
      </c>
      <c r="K59" s="163">
        <f>J59+K17</f>
        <v>177576.1</v>
      </c>
      <c r="L59" s="163">
        <f t="shared" si="59"/>
        <v>177865.4</v>
      </c>
      <c r="M59" s="163">
        <f t="shared" si="59"/>
        <v>178325.6</v>
      </c>
      <c r="N59" s="163">
        <f>M59+N21</f>
        <v>178731.4</v>
      </c>
      <c r="O59" s="163" t="e">
        <f>N59+#REF!</f>
        <v>#REF!</v>
      </c>
      <c r="P59" s="163" t="e">
        <f t="shared" si="59"/>
        <v>#REF!</v>
      </c>
      <c r="Q59" s="163" t="e">
        <f t="shared" si="59"/>
        <v>#REF!</v>
      </c>
      <c r="R59" s="163" t="e">
        <f>Q59+R18</f>
        <v>#REF!</v>
      </c>
      <c r="S59" s="163" t="e">
        <f>R59+S21</f>
        <v>#REF!</v>
      </c>
      <c r="T59" s="163" t="e">
        <f t="shared" si="59"/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L59" s="63">
        <v>136.9</v>
      </c>
      <c r="AM59" s="786"/>
    </row>
    <row r="60" spans="2:39" x14ac:dyDescent="0.3">
      <c r="B60" s="754"/>
      <c r="C60" s="18" t="s">
        <v>26</v>
      </c>
      <c r="D60" s="163">
        <f>D21+Agosto23!AF57</f>
        <v>82714.5</v>
      </c>
      <c r="E60" s="164">
        <f t="shared" ref="E60:F66" si="60">D60+E21</f>
        <v>83200.3</v>
      </c>
      <c r="F60" s="164">
        <f t="shared" si="60"/>
        <v>83580.400000000009</v>
      </c>
      <c r="G60" s="165">
        <v>83628</v>
      </c>
      <c r="H60" s="166">
        <v>84081</v>
      </c>
      <c r="I60" s="163">
        <f t="shared" ref="I60:L66" si="61">H60+I21</f>
        <v>84393.7</v>
      </c>
      <c r="J60" s="163">
        <f t="shared" si="61"/>
        <v>84747.599999999991</v>
      </c>
      <c r="K60" s="163">
        <f t="shared" si="61"/>
        <v>84945.099999999991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2">N60+O21</f>
        <v>#REF!</v>
      </c>
      <c r="P60" s="163" t="e">
        <f t="shared" si="62"/>
        <v>#REF!</v>
      </c>
      <c r="Q60" s="163" t="e">
        <f t="shared" si="62"/>
        <v>#REF!</v>
      </c>
      <c r="R60" s="163" t="e">
        <f t="shared" si="62"/>
        <v>#REF!</v>
      </c>
      <c r="S60" s="163" t="e">
        <f>R60+#REF!</f>
        <v>#REF!</v>
      </c>
      <c r="T60" s="163" t="e">
        <f t="shared" ref="T60:V66" si="63">S60+T21</f>
        <v>#REF!</v>
      </c>
      <c r="U60" s="163" t="e">
        <f t="shared" si="63"/>
        <v>#REF!</v>
      </c>
      <c r="V60" s="163" t="e">
        <f t="shared" si="63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L60" s="63">
        <v>147.5</v>
      </c>
      <c r="AM60" s="784">
        <v>100</v>
      </c>
    </row>
    <row r="61" spans="2:39" x14ac:dyDescent="0.3">
      <c r="B61" s="754"/>
      <c r="C61" s="18" t="s">
        <v>27</v>
      </c>
      <c r="D61" s="163">
        <f>D22+Agosto23!AF58</f>
        <v>61451.5</v>
      </c>
      <c r="E61" s="164">
        <f t="shared" si="60"/>
        <v>61497.7</v>
      </c>
      <c r="F61" s="164">
        <f t="shared" si="60"/>
        <v>61497.7</v>
      </c>
      <c r="G61" s="165">
        <v>63058</v>
      </c>
      <c r="H61" s="166">
        <v>63281</v>
      </c>
      <c r="I61" s="163">
        <f t="shared" si="61"/>
        <v>63281</v>
      </c>
      <c r="J61" s="163">
        <f t="shared" si="61"/>
        <v>63514.8</v>
      </c>
      <c r="K61" s="163">
        <f t="shared" si="61"/>
        <v>63731.600000000006</v>
      </c>
      <c r="L61" s="163">
        <f t="shared" si="61"/>
        <v>64018.900000000009</v>
      </c>
      <c r="M61" s="163" t="e">
        <f>L61+#REF!</f>
        <v>#REF!</v>
      </c>
      <c r="N61" s="163" t="e">
        <f t="shared" si="62"/>
        <v>#REF!</v>
      </c>
      <c r="O61" s="163" t="e">
        <f t="shared" si="62"/>
        <v>#REF!</v>
      </c>
      <c r="P61" s="163" t="e">
        <f t="shared" si="62"/>
        <v>#REF!</v>
      </c>
      <c r="Q61" s="163" t="e">
        <f t="shared" si="62"/>
        <v>#REF!</v>
      </c>
      <c r="R61" s="163" t="e">
        <f t="shared" si="62"/>
        <v>#REF!</v>
      </c>
      <c r="S61" s="163" t="e">
        <f t="shared" si="62"/>
        <v>#REF!</v>
      </c>
      <c r="T61" s="163" t="e">
        <f t="shared" si="63"/>
        <v>#REF!</v>
      </c>
      <c r="U61" s="163" t="e">
        <f t="shared" si="63"/>
        <v>#REF!</v>
      </c>
      <c r="V61" s="163" t="e">
        <f t="shared" si="63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L61" s="63">
        <v>189.83</v>
      </c>
      <c r="AM61" s="785"/>
    </row>
    <row r="62" spans="2:39" x14ac:dyDescent="0.3">
      <c r="B62" s="754"/>
      <c r="C62" s="18" t="s">
        <v>28</v>
      </c>
      <c r="D62" s="163">
        <f>D23+Agosto23!AF59</f>
        <v>87836.17</v>
      </c>
      <c r="E62" s="164">
        <f t="shared" si="60"/>
        <v>88328.27</v>
      </c>
      <c r="F62" s="164">
        <f t="shared" si="60"/>
        <v>88722.47</v>
      </c>
      <c r="G62" s="165">
        <v>87693.64</v>
      </c>
      <c r="H62" s="166">
        <v>87903.16</v>
      </c>
      <c r="I62" s="163">
        <f t="shared" si="61"/>
        <v>88220.06</v>
      </c>
      <c r="J62" s="163">
        <f t="shared" si="61"/>
        <v>88573.759999999995</v>
      </c>
      <c r="K62" s="163">
        <f>J62+K23</f>
        <v>88763.959999999992</v>
      </c>
      <c r="L62" s="163">
        <f t="shared" si="61"/>
        <v>89020.06</v>
      </c>
      <c r="M62" s="163">
        <f>L62+M22</f>
        <v>89508.26</v>
      </c>
      <c r="N62" s="163">
        <f t="shared" si="62"/>
        <v>89974.56</v>
      </c>
      <c r="O62" s="163">
        <f>N62+O20</f>
        <v>90555.06</v>
      </c>
      <c r="P62" s="163">
        <f t="shared" si="62"/>
        <v>90600.06</v>
      </c>
      <c r="Q62" s="163">
        <f t="shared" si="62"/>
        <v>90884.459999999992</v>
      </c>
      <c r="R62" s="163">
        <f t="shared" si="62"/>
        <v>91154.76</v>
      </c>
      <c r="S62" s="163">
        <f t="shared" si="62"/>
        <v>91240.36</v>
      </c>
      <c r="T62" s="163">
        <f t="shared" si="63"/>
        <v>91616.06</v>
      </c>
      <c r="U62" s="163">
        <f t="shared" si="63"/>
        <v>92091.959999999992</v>
      </c>
      <c r="V62" s="163">
        <f>U62+V23</f>
        <v>92651.459999999992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L62" s="63">
        <v>223.4</v>
      </c>
      <c r="AM62" s="786"/>
    </row>
    <row r="63" spans="2:39" x14ac:dyDescent="0.3">
      <c r="B63" s="754"/>
      <c r="C63" s="18" t="s">
        <v>29</v>
      </c>
      <c r="D63" s="163">
        <f>D24+Agosto23!AF60</f>
        <v>130698.29999999999</v>
      </c>
      <c r="E63" s="164">
        <f t="shared" si="60"/>
        <v>132586.59999999998</v>
      </c>
      <c r="F63" s="164">
        <f t="shared" si="60"/>
        <v>134137.09999999998</v>
      </c>
      <c r="G63" s="165">
        <v>130195</v>
      </c>
      <c r="H63" s="166">
        <v>130451</v>
      </c>
      <c r="I63" s="163">
        <f t="shared" si="61"/>
        <v>131698.4</v>
      </c>
      <c r="J63" s="163">
        <f>I63+J29</f>
        <v>132126.39999999999</v>
      </c>
      <c r="K63" s="163">
        <f>J63+K24</f>
        <v>132875.29999999999</v>
      </c>
      <c r="L63" s="163">
        <f t="shared" si="61"/>
        <v>133871.19999999998</v>
      </c>
      <c r="M63" s="163">
        <f t="shared" si="62"/>
        <v>135586.9</v>
      </c>
      <c r="N63" s="163">
        <f t="shared" si="62"/>
        <v>137424.6</v>
      </c>
      <c r="O63" s="163">
        <f t="shared" si="62"/>
        <v>139414</v>
      </c>
      <c r="P63" s="163">
        <f t="shared" si="62"/>
        <v>139580.29999999999</v>
      </c>
      <c r="Q63" s="163">
        <f t="shared" si="62"/>
        <v>140700.29999999999</v>
      </c>
      <c r="R63" s="163">
        <f t="shared" si="62"/>
        <v>141766.79999999999</v>
      </c>
      <c r="S63" s="163">
        <f t="shared" si="62"/>
        <v>142099.19999999998</v>
      </c>
      <c r="T63" s="163">
        <f t="shared" si="63"/>
        <v>143579.19999999998</v>
      </c>
      <c r="U63" s="163">
        <f t="shared" si="63"/>
        <v>145450.9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L63" s="63">
        <v>619</v>
      </c>
      <c r="AM63" s="778">
        <v>29</v>
      </c>
    </row>
    <row r="64" spans="2:39" x14ac:dyDescent="0.3">
      <c r="B64" s="754"/>
      <c r="C64" s="18" t="s">
        <v>30</v>
      </c>
      <c r="D64" s="163">
        <f>D25+Agosto23!AF61</f>
        <v>14684</v>
      </c>
      <c r="E64" s="164">
        <f t="shared" si="60"/>
        <v>15259.4</v>
      </c>
      <c r="F64" s="164">
        <f t="shared" si="60"/>
        <v>15714.4</v>
      </c>
      <c r="G64" s="165">
        <v>18667</v>
      </c>
      <c r="H64" s="166">
        <v>19364</v>
      </c>
      <c r="I64" s="163">
        <f t="shared" si="61"/>
        <v>19721.7</v>
      </c>
      <c r="J64" s="163">
        <f t="shared" si="61"/>
        <v>20106.600000000002</v>
      </c>
      <c r="K64" s="163">
        <f t="shared" si="61"/>
        <v>20306.900000000001</v>
      </c>
      <c r="L64" s="163">
        <f t="shared" si="61"/>
        <v>20719.7</v>
      </c>
      <c r="M64" s="163">
        <f t="shared" si="62"/>
        <v>21002.600000000002</v>
      </c>
      <c r="N64" s="163" t="e">
        <f>M64+#REF!</f>
        <v>#REF!</v>
      </c>
      <c r="O64" s="163" t="e">
        <f t="shared" si="62"/>
        <v>#REF!</v>
      </c>
      <c r="P64" s="163" t="e">
        <f t="shared" si="62"/>
        <v>#REF!</v>
      </c>
      <c r="Q64" s="163" t="e">
        <f t="shared" si="62"/>
        <v>#REF!</v>
      </c>
      <c r="R64" s="163" t="e">
        <f t="shared" si="62"/>
        <v>#REF!</v>
      </c>
      <c r="S64" s="163" t="e">
        <f t="shared" si="62"/>
        <v>#REF!</v>
      </c>
      <c r="T64" s="163" t="e">
        <f>S64+T26</f>
        <v>#REF!</v>
      </c>
      <c r="U64" s="163" t="e">
        <f t="shared" si="63"/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L64" s="63">
        <v>219.3</v>
      </c>
      <c r="AM64" s="779"/>
    </row>
    <row r="65" spans="2:39" x14ac:dyDescent="0.3">
      <c r="B65" s="754"/>
      <c r="C65" s="18" t="s">
        <v>111</v>
      </c>
      <c r="D65" s="163">
        <f>D26+Agosto23!AF62</f>
        <v>45369.4</v>
      </c>
      <c r="E65" s="164">
        <f t="shared" si="60"/>
        <v>45864.800000000003</v>
      </c>
      <c r="F65" s="164">
        <f t="shared" si="60"/>
        <v>46260.5</v>
      </c>
      <c r="G65" s="165">
        <v>46772</v>
      </c>
      <c r="H65" s="166">
        <v>47086</v>
      </c>
      <c r="I65" s="163">
        <f t="shared" si="61"/>
        <v>47442.7</v>
      </c>
      <c r="J65" s="163">
        <f t="shared" si="61"/>
        <v>47869.5</v>
      </c>
      <c r="K65" s="163">
        <f t="shared" si="61"/>
        <v>48296.3</v>
      </c>
      <c r="L65" s="163">
        <f t="shared" si="61"/>
        <v>48525.3</v>
      </c>
      <c r="M65" s="163">
        <f t="shared" si="62"/>
        <v>48667</v>
      </c>
      <c r="N65" s="163">
        <f>M65+N25</f>
        <v>49311.3</v>
      </c>
      <c r="O65" s="163">
        <f t="shared" si="62"/>
        <v>49824.800000000003</v>
      </c>
      <c r="P65" s="163">
        <f t="shared" si="62"/>
        <v>49953.100000000006</v>
      </c>
      <c r="Q65" s="163">
        <f t="shared" si="62"/>
        <v>50158.900000000009</v>
      </c>
      <c r="R65" s="163">
        <f t="shared" si="62"/>
        <v>50433.500000000007</v>
      </c>
      <c r="S65" s="163">
        <f t="shared" si="62"/>
        <v>50523.600000000006</v>
      </c>
      <c r="T65" s="163" t="e">
        <f>S65+#REF!</f>
        <v>#REF!</v>
      </c>
      <c r="U65" s="163" t="e">
        <f t="shared" si="63"/>
        <v>#REF!</v>
      </c>
      <c r="V65" s="163" t="e">
        <f t="shared" si="63"/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L65" s="63">
        <v>66.900000000000006</v>
      </c>
      <c r="AM65" s="780"/>
    </row>
    <row r="66" spans="2:39" ht="15" thickBot="1" x14ac:dyDescent="0.35">
      <c r="B66" s="754"/>
      <c r="C66" s="18" t="s">
        <v>32</v>
      </c>
      <c r="D66" s="163">
        <f>D27+Agosto23!AF63</f>
        <v>9695</v>
      </c>
      <c r="E66" s="164">
        <f t="shared" si="60"/>
        <v>10221.700000000001</v>
      </c>
      <c r="F66" s="164">
        <f t="shared" si="60"/>
        <v>10604</v>
      </c>
      <c r="G66" s="165">
        <v>10779</v>
      </c>
      <c r="H66" s="166">
        <v>10940</v>
      </c>
      <c r="I66" s="163">
        <f t="shared" si="61"/>
        <v>11190.4</v>
      </c>
      <c r="J66" s="163">
        <f t="shared" si="61"/>
        <v>11618.8</v>
      </c>
      <c r="K66" s="163">
        <f t="shared" si="61"/>
        <v>11904.4</v>
      </c>
      <c r="L66" s="163">
        <f t="shared" si="61"/>
        <v>12126.6</v>
      </c>
      <c r="M66" s="163">
        <f t="shared" si="62"/>
        <v>12442.1</v>
      </c>
      <c r="N66" s="163">
        <f t="shared" si="62"/>
        <v>13048.4</v>
      </c>
      <c r="O66" s="163">
        <f t="shared" si="62"/>
        <v>13605.4</v>
      </c>
      <c r="P66" s="163">
        <f t="shared" si="62"/>
        <v>13685.1</v>
      </c>
      <c r="Q66" s="163">
        <f t="shared" si="62"/>
        <v>13883.300000000001</v>
      </c>
      <c r="R66" s="163">
        <f t="shared" si="62"/>
        <v>14180.6</v>
      </c>
      <c r="S66" s="163">
        <f t="shared" si="62"/>
        <v>14274.5</v>
      </c>
      <c r="T66" s="163">
        <f t="shared" si="63"/>
        <v>14703.1</v>
      </c>
      <c r="U66" s="163">
        <f t="shared" si="63"/>
        <v>15257.6</v>
      </c>
      <c r="V66" s="163">
        <f t="shared" si="63"/>
        <v>15792.6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L66" s="93">
        <v>150.6</v>
      </c>
      <c r="AM66" s="784">
        <v>100</v>
      </c>
    </row>
    <row r="67" spans="2:39" x14ac:dyDescent="0.3">
      <c r="B67" s="754"/>
      <c r="C67" s="18" t="s">
        <v>112</v>
      </c>
      <c r="D67" s="163">
        <f>D29+Agosto23!AF64</f>
        <v>19114.099999999999</v>
      </c>
      <c r="E67" s="164">
        <f>D67+E29</f>
        <v>19630.099999999999</v>
      </c>
      <c r="F67" s="164">
        <f>E67+F29</f>
        <v>19996.699999999997</v>
      </c>
      <c r="G67" s="165">
        <v>20520.400000000001</v>
      </c>
      <c r="H67" s="166">
        <v>20739</v>
      </c>
      <c r="I67" s="163">
        <f t="shared" ref="I67:V67" si="64">H67+I29</f>
        <v>20965.5</v>
      </c>
      <c r="J67" s="163">
        <f>I67+J30</f>
        <v>21339</v>
      </c>
      <c r="K67" s="163">
        <f t="shared" si="64"/>
        <v>21613</v>
      </c>
      <c r="L67" s="163">
        <f t="shared" si="64"/>
        <v>21819.1</v>
      </c>
      <c r="M67" s="163">
        <f t="shared" si="64"/>
        <v>22104.199999999997</v>
      </c>
      <c r="N67" s="163">
        <f>M67+N30</f>
        <v>22568.299999999996</v>
      </c>
      <c r="O67" s="163">
        <f t="shared" si="64"/>
        <v>23101.699999999997</v>
      </c>
      <c r="P67" s="163">
        <f t="shared" si="64"/>
        <v>23172.699999999997</v>
      </c>
      <c r="Q67" s="163">
        <f t="shared" si="64"/>
        <v>23347.899999999998</v>
      </c>
      <c r="R67" s="163">
        <f t="shared" si="64"/>
        <v>23628.699999999997</v>
      </c>
      <c r="S67" s="163">
        <f t="shared" si="64"/>
        <v>23713.799999999996</v>
      </c>
      <c r="T67" s="163">
        <f t="shared" si="64"/>
        <v>24091.899999999994</v>
      </c>
      <c r="U67" s="163">
        <f t="shared" si="64"/>
        <v>24607.699999999993</v>
      </c>
      <c r="V67" s="163">
        <f t="shared" si="64"/>
        <v>25123.099999999995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M67" s="785"/>
    </row>
    <row r="68" spans="2:39" x14ac:dyDescent="0.3">
      <c r="B68" s="756" t="s">
        <v>196</v>
      </c>
      <c r="C68" s="756"/>
      <c r="D68" s="756"/>
      <c r="E68" s="756"/>
      <c r="AM68" s="786"/>
    </row>
    <row r="69" spans="2:39" x14ac:dyDescent="0.3">
      <c r="B69" s="757" t="s">
        <v>132</v>
      </c>
      <c r="C69" s="757"/>
      <c r="D69" s="757"/>
      <c r="E69" s="757"/>
      <c r="AM69" s="784">
        <v>110</v>
      </c>
    </row>
    <row r="70" spans="2:39" x14ac:dyDescent="0.3">
      <c r="AM70" s="785"/>
    </row>
    <row r="71" spans="2:39" x14ac:dyDescent="0.3">
      <c r="AM71" s="786"/>
    </row>
    <row r="72" spans="2:39" x14ac:dyDescent="0.3">
      <c r="AM72" s="784">
        <v>110</v>
      </c>
    </row>
    <row r="73" spans="2:39" x14ac:dyDescent="0.3">
      <c r="AM73" s="785"/>
    </row>
    <row r="74" spans="2:39" x14ac:dyDescent="0.3">
      <c r="AM74" s="786"/>
    </row>
    <row r="75" spans="2:39" x14ac:dyDescent="0.3">
      <c r="AM75" s="778">
        <v>80</v>
      </c>
    </row>
    <row r="76" spans="2:39" x14ac:dyDescent="0.3">
      <c r="AM76" s="779"/>
    </row>
    <row r="77" spans="2:39" x14ac:dyDescent="0.3">
      <c r="AM77" s="780"/>
    </row>
    <row r="78" spans="2:39" x14ac:dyDescent="0.3">
      <c r="AM78" s="784">
        <v>100</v>
      </c>
    </row>
    <row r="79" spans="2:39" x14ac:dyDescent="0.3">
      <c r="AM79" s="785"/>
    </row>
    <row r="80" spans="2:39" x14ac:dyDescent="0.3">
      <c r="AM80" s="786"/>
    </row>
    <row r="81" spans="39:39" x14ac:dyDescent="0.3">
      <c r="AM81" s="784">
        <v>100</v>
      </c>
    </row>
    <row r="82" spans="39:39" x14ac:dyDescent="0.3">
      <c r="AM82" s="785"/>
    </row>
    <row r="83" spans="39:39" x14ac:dyDescent="0.3">
      <c r="AM83" s="786"/>
    </row>
    <row r="84" spans="39:39" x14ac:dyDescent="0.3">
      <c r="AM84" s="787">
        <v>110</v>
      </c>
    </row>
    <row r="85" spans="39:39" x14ac:dyDescent="0.3">
      <c r="AM85" s="788"/>
    </row>
    <row r="86" spans="39:39" x14ac:dyDescent="0.3">
      <c r="AM86" s="789"/>
    </row>
    <row r="87" spans="39:39" x14ac:dyDescent="0.3">
      <c r="AM87" s="784">
        <v>100</v>
      </c>
    </row>
    <row r="88" spans="39:39" x14ac:dyDescent="0.3">
      <c r="AM88" s="785"/>
    </row>
    <row r="89" spans="39:39" x14ac:dyDescent="0.3">
      <c r="AM89" s="786"/>
    </row>
    <row r="90" spans="39:39" x14ac:dyDescent="0.3">
      <c r="AM90" s="781">
        <v>395</v>
      </c>
    </row>
    <row r="91" spans="39:39" x14ac:dyDescent="0.3">
      <c r="AM91" s="782"/>
    </row>
    <row r="92" spans="39:39" x14ac:dyDescent="0.3">
      <c r="AM92" s="783"/>
    </row>
    <row r="93" spans="39:39" x14ac:dyDescent="0.3">
      <c r="AM93" s="784">
        <v>100</v>
      </c>
    </row>
    <row r="94" spans="39:39" x14ac:dyDescent="0.3">
      <c r="AM94" s="785"/>
    </row>
    <row r="95" spans="39:39" x14ac:dyDescent="0.3">
      <c r="AM95" s="786"/>
    </row>
    <row r="96" spans="39:39" x14ac:dyDescent="0.3">
      <c r="AM96" s="784">
        <v>100</v>
      </c>
    </row>
    <row r="97" spans="39:39" x14ac:dyDescent="0.3">
      <c r="AM97" s="785"/>
    </row>
    <row r="98" spans="39:39" x14ac:dyDescent="0.3">
      <c r="AM98" s="786"/>
    </row>
    <row r="99" spans="39:39" x14ac:dyDescent="0.3">
      <c r="AM99" s="784">
        <v>100</v>
      </c>
    </row>
    <row r="100" spans="39:39" x14ac:dyDescent="0.3">
      <c r="AM100" s="785"/>
    </row>
    <row r="101" spans="39:39" x14ac:dyDescent="0.3">
      <c r="AM101" s="786"/>
    </row>
    <row r="102" spans="39:39" x14ac:dyDescent="0.3">
      <c r="AM102" s="781">
        <v>120</v>
      </c>
    </row>
    <row r="103" spans="39:39" x14ac:dyDescent="0.3">
      <c r="AM103" s="782"/>
    </row>
    <row r="104" spans="39:39" x14ac:dyDescent="0.3">
      <c r="AM104" s="783"/>
    </row>
    <row r="105" spans="39:39" x14ac:dyDescent="0.3">
      <c r="AM105" s="781">
        <v>110</v>
      </c>
    </row>
    <row r="106" spans="39:39" x14ac:dyDescent="0.3">
      <c r="AM106" s="782"/>
    </row>
    <row r="107" spans="39:39" x14ac:dyDescent="0.3">
      <c r="AM107" s="783"/>
    </row>
    <row r="108" spans="39:39" x14ac:dyDescent="0.3">
      <c r="AM108" s="784">
        <v>100</v>
      </c>
    </row>
    <row r="109" spans="39:39" x14ac:dyDescent="0.3">
      <c r="AM109" s="785"/>
    </row>
    <row r="110" spans="39:39" x14ac:dyDescent="0.3">
      <c r="AM110" s="786"/>
    </row>
    <row r="111" spans="39:39" x14ac:dyDescent="0.3">
      <c r="AM111" s="790">
        <v>100</v>
      </c>
    </row>
    <row r="112" spans="39:39" x14ac:dyDescent="0.3">
      <c r="AM112" s="790"/>
    </row>
    <row r="113" spans="39:39" x14ac:dyDescent="0.3">
      <c r="AM113" s="790"/>
    </row>
  </sheetData>
  <mergeCells count="41">
    <mergeCell ref="AM39:AM41"/>
    <mergeCell ref="B4:C4"/>
    <mergeCell ref="B5:B12"/>
    <mergeCell ref="B13:B16"/>
    <mergeCell ref="B17:B29"/>
    <mergeCell ref="B30:B31"/>
    <mergeCell ref="B32:C32"/>
    <mergeCell ref="AM33:AM35"/>
    <mergeCell ref="AE34:AG34"/>
    <mergeCell ref="AE35:AG35"/>
    <mergeCell ref="AE36:AG36"/>
    <mergeCell ref="AM36:AM38"/>
    <mergeCell ref="AM42:AM44"/>
    <mergeCell ref="B44:B51"/>
    <mergeCell ref="AM45:AM47"/>
    <mergeCell ref="AM48:AM50"/>
    <mergeCell ref="AM51:AM53"/>
    <mergeCell ref="B52:B55"/>
    <mergeCell ref="AM54:AM56"/>
    <mergeCell ref="B56:B67"/>
    <mergeCell ref="AM57:AM59"/>
    <mergeCell ref="AM60:AM62"/>
    <mergeCell ref="AM90:AM92"/>
    <mergeCell ref="AM63:AM65"/>
    <mergeCell ref="AM66:AM68"/>
    <mergeCell ref="B68:E68"/>
    <mergeCell ref="B69:E69"/>
    <mergeCell ref="AM69:AM71"/>
    <mergeCell ref="AM72:AM74"/>
    <mergeCell ref="AM75:AM77"/>
    <mergeCell ref="AM78:AM80"/>
    <mergeCell ref="AM81:AM83"/>
    <mergeCell ref="AM84:AM86"/>
    <mergeCell ref="AM87:AM89"/>
    <mergeCell ref="AM111:AM113"/>
    <mergeCell ref="AM93:AM95"/>
    <mergeCell ref="AM96:AM98"/>
    <mergeCell ref="AM99:AM101"/>
    <mergeCell ref="AM102:AM104"/>
    <mergeCell ref="AM105:AM107"/>
    <mergeCell ref="AM108:AM110"/>
  </mergeCells>
  <conditionalFormatting sqref="AK5:BN31">
    <cfRule type="cellIs" dxfId="73" priority="2" operator="equal">
      <formula>"VAZIO"</formula>
    </cfRule>
  </conditionalFormatting>
  <conditionalFormatting sqref="AK5:BO31">
    <cfRule type="expression" dxfId="72" priority="6">
      <formula>AK5&gt;$BP5</formula>
    </cfRule>
    <cfRule type="expression" dxfId="71" priority="7">
      <formula>AK5&lt;($BP5-0.01)</formula>
    </cfRule>
  </conditionalFormatting>
  <conditionalFormatting sqref="AL8:BN8 BI9 AL16:BN16 BF17 AL24:BN25">
    <cfRule type="cellIs" dxfId="70" priority="3" operator="equal">
      <formula>"""VAZIO"""</formula>
    </cfRule>
  </conditionalFormatting>
  <conditionalFormatting sqref="AO5:BN31">
    <cfRule type="expression" dxfId="69" priority="1">
      <formula>AO5=0</formula>
    </cfRule>
  </conditionalFormatting>
  <conditionalFormatting sqref="BS5:BS31">
    <cfRule type="cellIs" dxfId="68" priority="4" operator="greaterThan">
      <formula>0</formula>
    </cfRule>
    <cfRule type="cellIs" dxfId="67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F64EC-43B9-4FF4-8655-A18587C02F21}">
  <sheetPr>
    <tabColor theme="7" tint="-0.499984740745262"/>
  </sheetPr>
  <dimension ref="B1:BX113"/>
  <sheetViews>
    <sheetView zoomScaleNormal="100" workbookViewId="0">
      <pane xSplit="3" ySplit="4" topLeftCell="AC5" activePane="bottomRight" state="frozen"/>
      <selection pane="topRight" activeCell="D1" sqref="D1"/>
      <selection pane="bottomLeft" activeCell="A5" sqref="A5"/>
      <selection pane="bottomRight" activeCell="AF13" sqref="AF13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4" width="16.4414062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1" spans="2:76" x14ac:dyDescent="0.3">
      <c r="AI1">
        <f>16267+12136+16339</f>
        <v>44742</v>
      </c>
    </row>
    <row r="2" spans="2:76" x14ac:dyDescent="0.3">
      <c r="AI2" s="102">
        <f>12444-AI14</f>
        <v>0</v>
      </c>
    </row>
    <row r="3" spans="2:76" ht="15" thickBot="1" x14ac:dyDescent="0.35"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874</v>
      </c>
      <c r="E4" s="344" t="s">
        <v>875</v>
      </c>
      <c r="F4" s="344" t="s">
        <v>876</v>
      </c>
      <c r="G4" s="344" t="s">
        <v>877</v>
      </c>
      <c r="H4" s="344" t="s">
        <v>878</v>
      </c>
      <c r="I4" s="344" t="s">
        <v>879</v>
      </c>
      <c r="J4" s="344" t="s">
        <v>880</v>
      </c>
      <c r="K4" s="344" t="s">
        <v>881</v>
      </c>
      <c r="L4" s="344" t="s">
        <v>882</v>
      </c>
      <c r="M4" s="344" t="s">
        <v>883</v>
      </c>
      <c r="N4" s="344" t="s">
        <v>904</v>
      </c>
      <c r="O4" s="344" t="s">
        <v>884</v>
      </c>
      <c r="P4" s="344" t="s">
        <v>885</v>
      </c>
      <c r="Q4" s="344" t="s">
        <v>886</v>
      </c>
      <c r="R4" s="344" t="s">
        <v>887</v>
      </c>
      <c r="S4" s="344" t="s">
        <v>888</v>
      </c>
      <c r="T4" s="344" t="s">
        <v>889</v>
      </c>
      <c r="U4" s="344" t="s">
        <v>890</v>
      </c>
      <c r="V4" s="344" t="s">
        <v>891</v>
      </c>
      <c r="W4" s="344" t="s">
        <v>892</v>
      </c>
      <c r="X4" s="344" t="s">
        <v>893</v>
      </c>
      <c r="Y4" s="344" t="s">
        <v>894</v>
      </c>
      <c r="Z4" s="344" t="s">
        <v>895</v>
      </c>
      <c r="AA4" s="344" t="s">
        <v>896</v>
      </c>
      <c r="AB4" s="344" t="s">
        <v>897</v>
      </c>
      <c r="AC4" s="344" t="s">
        <v>898</v>
      </c>
      <c r="AD4" s="344" t="s">
        <v>899</v>
      </c>
      <c r="AE4" s="344" t="s">
        <v>900</v>
      </c>
      <c r="AF4" s="344" t="s">
        <v>901</v>
      </c>
      <c r="AG4" s="345" t="s">
        <v>902</v>
      </c>
      <c r="AH4" s="345" t="s">
        <v>903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60.6</v>
      </c>
      <c r="E5" s="103">
        <v>45.7</v>
      </c>
      <c r="F5" s="103">
        <v>29</v>
      </c>
      <c r="G5" s="103">
        <v>41.2</v>
      </c>
      <c r="H5" s="103">
        <v>39</v>
      </c>
      <c r="I5" s="331">
        <v>67.8</v>
      </c>
      <c r="J5" s="103">
        <v>62.9</v>
      </c>
      <c r="K5" s="103">
        <v>56</v>
      </c>
      <c r="L5" s="103">
        <v>47.3</v>
      </c>
      <c r="M5" s="103">
        <v>22.7</v>
      </c>
      <c r="N5" s="283">
        <v>37.299999999999997</v>
      </c>
      <c r="O5" s="103">
        <v>33.4</v>
      </c>
      <c r="P5" s="103">
        <v>34.200000000000003</v>
      </c>
      <c r="Q5" s="331">
        <v>34.9</v>
      </c>
      <c r="R5" s="103">
        <v>29.5</v>
      </c>
      <c r="S5" s="103">
        <v>41.9</v>
      </c>
      <c r="T5" s="103">
        <v>44.9</v>
      </c>
      <c r="U5" s="103">
        <v>41.2</v>
      </c>
      <c r="V5" s="103">
        <v>42.9</v>
      </c>
      <c r="W5" s="331">
        <v>33.799999999999997</v>
      </c>
      <c r="X5" s="103">
        <v>23.6</v>
      </c>
      <c r="Y5" s="103">
        <v>27.9</v>
      </c>
      <c r="Z5" s="104">
        <v>43.1</v>
      </c>
      <c r="AA5" s="332">
        <v>42</v>
      </c>
      <c r="AB5" s="333">
        <v>38.9</v>
      </c>
      <c r="AC5" s="629">
        <v>33.299999999999997</v>
      </c>
      <c r="AD5" s="104">
        <v>28.2</v>
      </c>
      <c r="AE5" s="104">
        <v>33.6</v>
      </c>
      <c r="AF5" s="104">
        <v>36.299999999999997</v>
      </c>
      <c r="AG5" s="104">
        <v>45.3</v>
      </c>
      <c r="AH5" s="104">
        <v>54.5</v>
      </c>
      <c r="AI5" s="335">
        <f>SUM(D5:AH5)</f>
        <v>1252.8999999999999</v>
      </c>
      <c r="AJ5" s="160">
        <v>12</v>
      </c>
      <c r="AK5" s="336">
        <f t="shared" ref="AK5:AK11" si="0">F5/(AJ5*432)</f>
        <v>5.5941358024691355E-3</v>
      </c>
      <c r="AL5" s="337">
        <f t="shared" ref="AL5:AU6" si="1">IF(OR(D5="",D5="Sem monitoramento"),"VAZIO",IFERROR(D5/($AJ5*24),"-"))</f>
        <v>0.21041666666666667</v>
      </c>
      <c r="AM5" s="338">
        <f t="shared" si="1"/>
        <v>0.15868055555555557</v>
      </c>
      <c r="AN5" s="338">
        <f t="shared" si="1"/>
        <v>0.10069444444444445</v>
      </c>
      <c r="AO5" s="338">
        <f t="shared" si="1"/>
        <v>0.14305555555555557</v>
      </c>
      <c r="AP5" s="338">
        <f t="shared" si="1"/>
        <v>0.13541666666666666</v>
      </c>
      <c r="AQ5" s="338">
        <f t="shared" si="1"/>
        <v>0.23541666666666666</v>
      </c>
      <c r="AR5" s="338">
        <f t="shared" si="1"/>
        <v>0.21840277777777778</v>
      </c>
      <c r="AS5" s="338">
        <f t="shared" si="1"/>
        <v>0.19444444444444445</v>
      </c>
      <c r="AT5" s="338">
        <f t="shared" si="1"/>
        <v>0.16423611111111111</v>
      </c>
      <c r="AU5" s="338">
        <f t="shared" si="1"/>
        <v>7.8819444444444442E-2</v>
      </c>
      <c r="AV5" s="338">
        <f t="shared" ref="AV5:BE6" si="2">IF(OR(N5="",N5="Sem monitoramento"),"VAZIO",IFERROR(N5/($AJ5*24),"-"))</f>
        <v>0.12951388888888887</v>
      </c>
      <c r="AW5" s="338">
        <f t="shared" si="2"/>
        <v>0.11597222222222221</v>
      </c>
      <c r="AX5" s="338">
        <f t="shared" si="2"/>
        <v>0.11875000000000001</v>
      </c>
      <c r="AY5" s="338">
        <f t="shared" si="2"/>
        <v>0.12118055555555556</v>
      </c>
      <c r="AZ5" s="338">
        <f t="shared" si="2"/>
        <v>0.10243055555555555</v>
      </c>
      <c r="BA5" s="338">
        <f t="shared" si="2"/>
        <v>0.14548611111111109</v>
      </c>
      <c r="BB5" s="338">
        <f t="shared" si="2"/>
        <v>0.15590277777777778</v>
      </c>
      <c r="BC5" s="338">
        <f t="shared" si="2"/>
        <v>0.14305555555555557</v>
      </c>
      <c r="BD5" s="338">
        <f t="shared" si="2"/>
        <v>0.14895833333333333</v>
      </c>
      <c r="BE5" s="338">
        <f t="shared" si="2"/>
        <v>0.1173611111111111</v>
      </c>
      <c r="BF5" s="338">
        <f t="shared" ref="BF5:BJ6" si="3">IF(OR(X5="",X5="Sem monitoramento"),"VAZIO",IFERROR(X5/($AJ5*24),"-"))</f>
        <v>8.1944444444444445E-2</v>
      </c>
      <c r="BG5" s="338">
        <f t="shared" si="3"/>
        <v>9.6874999999999989E-2</v>
      </c>
      <c r="BH5" s="338">
        <f t="shared" si="3"/>
        <v>0.14965277777777777</v>
      </c>
      <c r="BI5" s="338">
        <f t="shared" si="3"/>
        <v>0.14583333333333334</v>
      </c>
      <c r="BJ5" s="338">
        <f t="shared" si="3"/>
        <v>0.13506944444444444</v>
      </c>
      <c r="BK5" s="338" t="e">
        <f>IF(OR(#REF!="",#REF!="Sem monitoramento"),"VAZIO",IFERROR(#REF!/($AJ5*24),"-"))</f>
        <v>#REF!</v>
      </c>
      <c r="BL5" s="338">
        <f t="shared" ref="BL5:BO6" si="4">IF(OR(AD5="",AD5="Sem monitoramento"),"VAZIO",IFERROR(AD5/($AJ5*24),"-"))</f>
        <v>9.7916666666666666E-2</v>
      </c>
      <c r="BM5" s="338">
        <f t="shared" si="4"/>
        <v>0.11666666666666667</v>
      </c>
      <c r="BN5" s="338">
        <f t="shared" si="4"/>
        <v>0.12604166666666666</v>
      </c>
      <c r="BO5" s="338">
        <f t="shared" si="4"/>
        <v>0.15729166666666666</v>
      </c>
      <c r="BP5" s="339">
        <f t="shared" ref="BP5:BP31" si="5">AI5/(AJ5*(COUNTA(D5:AG5)*24))</f>
        <v>0.14501157407407406</v>
      </c>
      <c r="BQ5" s="180">
        <f>'FCs estimados em PVsyst'!Y3</f>
        <v>0.1804398148148148</v>
      </c>
      <c r="BR5" s="340">
        <f t="shared" ref="BR5:BR11" si="6">AJ5*BQ5</f>
        <v>2.1652777777777779</v>
      </c>
      <c r="BS5" s="341">
        <f t="shared" ref="BS5:BS11" si="7">AN5-BQ5</f>
        <v>-7.9745370370370355E-2</v>
      </c>
      <c r="BT5" s="342">
        <f t="shared" ref="BT5:BT30" si="8">BP5-BQ5</f>
        <v>-3.5428240740740746E-2</v>
      </c>
      <c r="BU5" s="15" t="s">
        <v>7</v>
      </c>
      <c r="BV5" s="75" t="s">
        <v>107</v>
      </c>
      <c r="BW5" s="7">
        <f>COUNTIF(BT5:BT29,"&gt;0")</f>
        <v>3</v>
      </c>
      <c r="BX5" s="2"/>
    </row>
    <row r="6" spans="2:76" x14ac:dyDescent="0.3">
      <c r="B6" s="771"/>
      <c r="C6" s="325" t="s">
        <v>8</v>
      </c>
      <c r="D6" s="62">
        <v>61.4</v>
      </c>
      <c r="E6" s="63">
        <v>54.2</v>
      </c>
      <c r="F6" s="63">
        <v>28.3</v>
      </c>
      <c r="G6" s="63">
        <v>47.2</v>
      </c>
      <c r="H6" s="63">
        <v>44.2</v>
      </c>
      <c r="I6" s="283">
        <v>103</v>
      </c>
      <c r="J6" s="63">
        <v>152.80000000000001</v>
      </c>
      <c r="K6" s="63">
        <v>142.5</v>
      </c>
      <c r="L6" s="283">
        <v>110.7</v>
      </c>
      <c r="M6" s="63">
        <v>55.1</v>
      </c>
      <c r="N6" s="283">
        <v>95</v>
      </c>
      <c r="O6" s="283">
        <v>105</v>
      </c>
      <c r="P6" s="283">
        <v>101</v>
      </c>
      <c r="Q6" s="283">
        <v>84</v>
      </c>
      <c r="R6" s="63">
        <v>70.099999999999994</v>
      </c>
      <c r="S6" s="63">
        <v>105</v>
      </c>
      <c r="T6" s="63">
        <v>107.3</v>
      </c>
      <c r="U6" s="63">
        <v>104.6</v>
      </c>
      <c r="V6" s="63">
        <v>103.9</v>
      </c>
      <c r="W6" s="283">
        <v>80.7</v>
      </c>
      <c r="X6" s="63">
        <v>59.5</v>
      </c>
      <c r="Y6" s="63">
        <v>72.5</v>
      </c>
      <c r="Z6" s="221">
        <v>105</v>
      </c>
      <c r="AA6" s="321">
        <v>102.3</v>
      </c>
      <c r="AB6" s="20">
        <v>87.8</v>
      </c>
      <c r="AC6" s="31">
        <v>82.6</v>
      </c>
      <c r="AD6" s="15">
        <v>74</v>
      </c>
      <c r="AE6" s="15">
        <v>81.2</v>
      </c>
      <c r="AF6" s="15">
        <v>93</v>
      </c>
      <c r="AG6" s="15">
        <v>106.2</v>
      </c>
      <c r="AH6" s="15">
        <v>134.1</v>
      </c>
      <c r="AI6" s="335">
        <f>SUM(D6:AH6)</f>
        <v>2754.2</v>
      </c>
      <c r="AJ6" s="118">
        <v>67</v>
      </c>
      <c r="AK6" s="121">
        <f t="shared" si="0"/>
        <v>9.7775013819789941E-4</v>
      </c>
      <c r="AL6" s="67">
        <f t="shared" si="1"/>
        <v>3.8184079601990051E-2</v>
      </c>
      <c r="AM6" s="68">
        <f t="shared" si="1"/>
        <v>3.3706467661691546E-2</v>
      </c>
      <c r="AN6" s="68">
        <f t="shared" si="1"/>
        <v>1.7599502487562188E-2</v>
      </c>
      <c r="AO6" s="68">
        <f t="shared" si="1"/>
        <v>2.9353233830845774E-2</v>
      </c>
      <c r="AP6" s="68">
        <f t="shared" si="1"/>
        <v>2.7487562189054727E-2</v>
      </c>
      <c r="AQ6" s="68">
        <f t="shared" si="1"/>
        <v>6.4054726368159204E-2</v>
      </c>
      <c r="AR6" s="68">
        <f t="shared" si="1"/>
        <v>9.5024875621890548E-2</v>
      </c>
      <c r="AS6" s="68">
        <f t="shared" si="1"/>
        <v>8.8619402985074633E-2</v>
      </c>
      <c r="AT6" s="68">
        <f t="shared" si="1"/>
        <v>6.8843283582089548E-2</v>
      </c>
      <c r="AU6" s="68">
        <f t="shared" si="1"/>
        <v>3.4266169154228858E-2</v>
      </c>
      <c r="AV6" s="68">
        <f t="shared" si="2"/>
        <v>5.9079601990049753E-2</v>
      </c>
      <c r="AW6" s="68">
        <f t="shared" si="2"/>
        <v>6.5298507462686561E-2</v>
      </c>
      <c r="AX6" s="68">
        <f t="shared" si="2"/>
        <v>6.2810945273631846E-2</v>
      </c>
      <c r="AY6" s="68">
        <f t="shared" si="2"/>
        <v>5.2238805970149252E-2</v>
      </c>
      <c r="AZ6" s="68">
        <f t="shared" si="2"/>
        <v>4.3594527363184074E-2</v>
      </c>
      <c r="BA6" s="68">
        <f t="shared" si="2"/>
        <v>6.5298507462686561E-2</v>
      </c>
      <c r="BB6" s="68">
        <f t="shared" si="2"/>
        <v>6.6728855721393032E-2</v>
      </c>
      <c r="BC6" s="68">
        <f t="shared" si="2"/>
        <v>6.5049751243781095E-2</v>
      </c>
      <c r="BD6" s="68">
        <f t="shared" si="2"/>
        <v>6.4614427860696516E-2</v>
      </c>
      <c r="BE6" s="68">
        <f t="shared" si="2"/>
        <v>5.0186567164179109E-2</v>
      </c>
      <c r="BF6" s="68">
        <f t="shared" si="3"/>
        <v>3.7002487562189053E-2</v>
      </c>
      <c r="BG6" s="68">
        <f t="shared" si="3"/>
        <v>4.5087064676616918E-2</v>
      </c>
      <c r="BH6" s="68">
        <f t="shared" si="3"/>
        <v>6.5298507462686561E-2</v>
      </c>
      <c r="BI6" s="68">
        <f t="shared" si="3"/>
        <v>6.3619402985074625E-2</v>
      </c>
      <c r="BJ6" s="68">
        <f t="shared" si="3"/>
        <v>5.4601990049751241E-2</v>
      </c>
      <c r="BK6" s="68">
        <f>IF(OR(AC5="",AC5="Sem monitoramento"),"VAZIO",IFERROR(AC5/($AJ6*24),"-"))</f>
        <v>2.0708955223880596E-2</v>
      </c>
      <c r="BL6" s="68">
        <f t="shared" si="4"/>
        <v>4.6019900497512436E-2</v>
      </c>
      <c r="BM6" s="68">
        <f t="shared" si="4"/>
        <v>5.0497512437810949E-2</v>
      </c>
      <c r="BN6" s="68">
        <f t="shared" si="4"/>
        <v>5.7835820895522388E-2</v>
      </c>
      <c r="BO6" s="68">
        <f t="shared" si="4"/>
        <v>6.6044776119402987E-2</v>
      </c>
      <c r="BP6" s="70">
        <f t="shared" si="5"/>
        <v>5.7093698175787723E-2</v>
      </c>
      <c r="BQ6" s="180">
        <f>'FCs estimados em PVsyst'!Y4</f>
        <v>0.1868988391376451</v>
      </c>
      <c r="BR6" s="72">
        <f t="shared" si="6"/>
        <v>12.522222222222222</v>
      </c>
      <c r="BS6" s="73">
        <f t="shared" si="7"/>
        <v>-0.1692993366500829</v>
      </c>
      <c r="BT6" s="74">
        <f t="shared" si="8"/>
        <v>-0.12980514096185738</v>
      </c>
      <c r="BU6" s="15" t="s">
        <v>8</v>
      </c>
      <c r="BV6" s="77" t="s">
        <v>108</v>
      </c>
      <c r="BW6" s="78">
        <f>(COUNTA(BU5:BU29)-BW5-BW7)</f>
        <v>8</v>
      </c>
      <c r="BX6" s="2"/>
    </row>
    <row r="7" spans="2:76" x14ac:dyDescent="0.3">
      <c r="B7" s="771"/>
      <c r="C7" s="326" t="s">
        <v>9</v>
      </c>
      <c r="D7" s="305">
        <v>53.2</v>
      </c>
      <c r="E7" s="63">
        <v>192.2</v>
      </c>
      <c r="F7" s="63">
        <v>128.1</v>
      </c>
      <c r="G7" s="63">
        <v>185.1</v>
      </c>
      <c r="H7" s="63">
        <v>173.2</v>
      </c>
      <c r="I7" s="283">
        <v>298.89999999999998</v>
      </c>
      <c r="J7" s="63">
        <v>271.2</v>
      </c>
      <c r="K7" s="63">
        <v>237.1</v>
      </c>
      <c r="L7" s="283">
        <v>193.2</v>
      </c>
      <c r="M7" s="283">
        <v>105</v>
      </c>
      <c r="N7" s="283">
        <v>213.3</v>
      </c>
      <c r="O7" s="360">
        <v>151</v>
      </c>
      <c r="P7" s="282">
        <v>38.200000000000003</v>
      </c>
      <c r="Q7" s="283">
        <v>149.19999999999999</v>
      </c>
      <c r="R7" s="283">
        <v>140.69999999999999</v>
      </c>
      <c r="S7" s="283">
        <v>192.7</v>
      </c>
      <c r="T7" s="283">
        <v>158.4</v>
      </c>
      <c r="U7" s="63">
        <v>189.1</v>
      </c>
      <c r="V7" s="283">
        <v>183.6</v>
      </c>
      <c r="W7" s="283">
        <v>148.80000000000001</v>
      </c>
      <c r="X7" s="283">
        <v>107.8</v>
      </c>
      <c r="Y7" s="283">
        <v>127</v>
      </c>
      <c r="Z7" s="15">
        <v>183.7</v>
      </c>
      <c r="AA7" s="519">
        <v>196.3</v>
      </c>
      <c r="AB7" s="323">
        <v>173</v>
      </c>
      <c r="AC7" s="221">
        <v>150.19999999999999</v>
      </c>
      <c r="AD7" s="221">
        <v>128.5</v>
      </c>
      <c r="AE7" s="221">
        <v>147</v>
      </c>
      <c r="AF7" s="221">
        <v>163.30000000000001</v>
      </c>
      <c r="AG7" s="221">
        <v>194.5</v>
      </c>
      <c r="AH7" s="221">
        <v>219.6</v>
      </c>
      <c r="AI7" s="335">
        <f t="shared" ref="AI7:AI31" si="9">SUM(D7:AH7)</f>
        <v>5193.1000000000004</v>
      </c>
      <c r="AJ7" s="118">
        <v>49</v>
      </c>
      <c r="AK7" s="121">
        <f t="shared" si="0"/>
        <v>6.0515873015873009E-3</v>
      </c>
      <c r="AL7" s="67">
        <f t="shared" ref="AL7:BH7" si="10">IF(OR(D7="",D7="Sem monitoramento"),"VAZIO",IFERROR(D7/($AJ7*24),"-"))</f>
        <v>4.5238095238095244E-2</v>
      </c>
      <c r="AM7" s="68">
        <f t="shared" si="10"/>
        <v>0.16343537414965986</v>
      </c>
      <c r="AN7" s="68">
        <f t="shared" si="10"/>
        <v>0.10892857142857143</v>
      </c>
      <c r="AO7" s="68">
        <f t="shared" si="10"/>
        <v>0.15739795918367347</v>
      </c>
      <c r="AP7" s="68">
        <f t="shared" si="10"/>
        <v>0.14727891156462583</v>
      </c>
      <c r="AQ7" s="68">
        <f t="shared" si="10"/>
        <v>0.25416666666666665</v>
      </c>
      <c r="AR7" s="68">
        <f t="shared" si="10"/>
        <v>0.23061224489795917</v>
      </c>
      <c r="AS7" s="68">
        <f t="shared" si="10"/>
        <v>0.20161564625850339</v>
      </c>
      <c r="AT7" s="68">
        <f t="shared" si="10"/>
        <v>0.16428571428571428</v>
      </c>
      <c r="AU7" s="68">
        <f t="shared" si="10"/>
        <v>8.9285714285714288E-2</v>
      </c>
      <c r="AV7" s="68">
        <f t="shared" si="10"/>
        <v>0.18137755102040817</v>
      </c>
      <c r="AW7" s="68">
        <f t="shared" si="10"/>
        <v>0.12840136054421769</v>
      </c>
      <c r="AX7" s="68">
        <f t="shared" si="10"/>
        <v>3.2482993197278917E-2</v>
      </c>
      <c r="AY7" s="68">
        <f t="shared" si="10"/>
        <v>0.12687074829931971</v>
      </c>
      <c r="AZ7" s="68">
        <f t="shared" si="10"/>
        <v>0.11964285714285713</v>
      </c>
      <c r="BA7" s="68">
        <f t="shared" si="10"/>
        <v>0.16386054421768706</v>
      </c>
      <c r="BB7" s="68">
        <f t="shared" si="10"/>
        <v>0.13469387755102041</v>
      </c>
      <c r="BC7" s="68">
        <f t="shared" si="10"/>
        <v>0.16079931972789116</v>
      </c>
      <c r="BD7" s="68">
        <f t="shared" si="10"/>
        <v>0.15612244897959182</v>
      </c>
      <c r="BE7" s="68">
        <f t="shared" si="10"/>
        <v>0.12653061224489798</v>
      </c>
      <c r="BF7" s="68">
        <f t="shared" si="10"/>
        <v>9.166666666666666E-2</v>
      </c>
      <c r="BG7" s="68">
        <f t="shared" si="10"/>
        <v>0.10799319727891156</v>
      </c>
      <c r="BH7" s="68">
        <f t="shared" si="10"/>
        <v>0.15620748299319728</v>
      </c>
      <c r="BI7" s="68">
        <f>IF(OR(AA11="",AA11="Sem monitoramento"),"VAZIO",IFERROR(AA11/($AJ7*24),"-"))</f>
        <v>0.2720238095238095</v>
      </c>
      <c r="BJ7" s="68">
        <f>IF(OR(AB7="",AB7="Sem monitoramento"),"VAZIO",IFERROR(AB7/($AJ7*24),"-"))</f>
        <v>0.14710884353741496</v>
      </c>
      <c r="BK7" s="68" t="e">
        <f>IF(OR(#REF!="",#REF!="Sem monitoramento"),"VAZIO",IFERROR(#REF!/($AJ7*24),"-"))</f>
        <v>#REF!</v>
      </c>
      <c r="BL7" s="68">
        <f t="shared" ref="BL7:BL19" si="11">IF(OR(AD7="",AD7="Sem monitoramento"),"VAZIO",IFERROR(AD7/($AJ7*24),"-"))</f>
        <v>0.10926870748299319</v>
      </c>
      <c r="BM7" s="68">
        <f t="shared" ref="BM7:BM19" si="12">IF(OR(AE7="",AE7="Sem monitoramento"),"VAZIO",IFERROR(AE7/($AJ7*24),"-"))</f>
        <v>0.125</v>
      </c>
      <c r="BN7" s="68">
        <f t="shared" ref="BN7:BN19" si="13">IF(OR(AF7="",AF7="Sem monitoramento"),"VAZIO",IFERROR(AF7/($AJ7*24),"-"))</f>
        <v>0.13886054421768709</v>
      </c>
      <c r="BO7" s="68" t="e">
        <f>IF(OR(#REF!="",#REF!="Sem monitoramento"),"VAZIO",IFERROR(#REF!/($AJ7*24),"-"))</f>
        <v>#REF!</v>
      </c>
      <c r="BP7" s="70">
        <f t="shared" si="5"/>
        <v>0.14719671201814061</v>
      </c>
      <c r="BQ7" s="180">
        <f>'FCs estimados em PVsyst'!Y5</f>
        <v>0.17987528344671203</v>
      </c>
      <c r="BR7" s="72">
        <f t="shared" si="6"/>
        <v>8.81388888888889</v>
      </c>
      <c r="BS7" s="73">
        <f t="shared" si="7"/>
        <v>-7.0946712018140595E-2</v>
      </c>
      <c r="BT7" s="74">
        <f t="shared" si="8"/>
        <v>-3.2678571428571418E-2</v>
      </c>
      <c r="BU7" s="15" t="s">
        <v>9</v>
      </c>
      <c r="BV7" s="79" t="s">
        <v>109</v>
      </c>
      <c r="BW7" s="80">
        <f>COUNTIF(BT5:BT29,"&lt;-0,01")</f>
        <v>14</v>
      </c>
      <c r="BX7" s="2"/>
    </row>
    <row r="8" spans="2:76" x14ac:dyDescent="0.3">
      <c r="B8" s="771"/>
      <c r="C8" s="326" t="s">
        <v>10</v>
      </c>
      <c r="D8" s="305">
        <v>30.3</v>
      </c>
      <c r="E8" s="63">
        <v>109.3</v>
      </c>
      <c r="F8" s="63">
        <v>71.3</v>
      </c>
      <c r="G8" s="63">
        <v>103.7</v>
      </c>
      <c r="H8" s="63">
        <v>96.4</v>
      </c>
      <c r="I8" s="63">
        <v>170.3</v>
      </c>
      <c r="J8" s="63">
        <v>154.4</v>
      </c>
      <c r="K8" s="63">
        <v>135</v>
      </c>
      <c r="L8" s="283">
        <v>110</v>
      </c>
      <c r="M8" s="283">
        <v>59.4</v>
      </c>
      <c r="N8" s="283">
        <v>113.7</v>
      </c>
      <c r="O8" s="63">
        <v>85.1</v>
      </c>
      <c r="P8" s="282">
        <v>21.6</v>
      </c>
      <c r="Q8" s="283">
        <v>85.8</v>
      </c>
      <c r="R8" s="63">
        <v>79.2</v>
      </c>
      <c r="S8" s="63">
        <v>107.8</v>
      </c>
      <c r="T8" s="63">
        <v>87.3</v>
      </c>
      <c r="U8" s="63">
        <v>104.4</v>
      </c>
      <c r="V8" s="63">
        <v>106.4</v>
      </c>
      <c r="W8" s="283">
        <v>84.2</v>
      </c>
      <c r="X8" s="283">
        <v>61.2</v>
      </c>
      <c r="Y8" s="283">
        <v>73.099999999999994</v>
      </c>
      <c r="Z8" s="15">
        <v>104</v>
      </c>
      <c r="AA8" s="18">
        <v>107.6</v>
      </c>
      <c r="AB8" s="323">
        <v>98.8</v>
      </c>
      <c r="AC8" s="221">
        <v>81.8</v>
      </c>
      <c r="AD8" s="221">
        <v>73.099999999999994</v>
      </c>
      <c r="AE8" s="221">
        <v>80.8</v>
      </c>
      <c r="AF8" s="221">
        <v>92.1</v>
      </c>
      <c r="AG8" s="221">
        <v>107.2</v>
      </c>
      <c r="AH8" s="221">
        <v>121.2</v>
      </c>
      <c r="AI8" s="335">
        <f t="shared" si="9"/>
        <v>2916.5</v>
      </c>
      <c r="AJ8" s="118">
        <v>33</v>
      </c>
      <c r="AK8" s="121">
        <f t="shared" si="0"/>
        <v>5.0014029180695842E-3</v>
      </c>
      <c r="AL8" s="67">
        <f>IF(OR(D8="",D8="Sem monitoramento"),"VAZIO",IFERROR(D8/($AJ8*24),"-"))</f>
        <v>3.8257575757575761E-2</v>
      </c>
      <c r="AM8" s="68">
        <f>IF(OR(E8="",E8="Sem monitoramento"),"VAZIO",IFERROR(E8/($AJ8*24),"-"))</f>
        <v>0.13800505050505049</v>
      </c>
      <c r="AN8" s="68">
        <f>IF(OR(F8="",F8="Sem monitoramento"),"VAZIO",IFERROR(F8/($AJ8*24),"-"))</f>
        <v>9.0025252525252522E-2</v>
      </c>
      <c r="AO8" s="68">
        <f>IF(OR(G8="",G8="Sem monitoramento"),"VAZIO",IFERROR(G8/($AJ8*24),"-"))</f>
        <v>0.13093434343434343</v>
      </c>
      <c r="AP8" s="68">
        <f>IF(OR(H8="",H8="Sem monitoramento"),"VAZIO",IFERROR(H8/($AJ8*24),"-"))</f>
        <v>0.12171717171717172</v>
      </c>
      <c r="AQ8" s="68" t="e">
        <f>IF(OR(#REF!="",#REF!="Sem monitoramento"),"VAZIO",IFERROR(#REF!/($AJ8*24),"-"))</f>
        <v>#REF!</v>
      </c>
      <c r="AR8" s="68">
        <f t="shared" ref="AR8:BI8" si="14">IF(OR(J8="",J8="Sem monitoramento"),"VAZIO",IFERROR(J8/($AJ8*24),"-"))</f>
        <v>0.19494949494949496</v>
      </c>
      <c r="AS8" s="68">
        <f t="shared" si="14"/>
        <v>0.17045454545454544</v>
      </c>
      <c r="AT8" s="68">
        <f t="shared" si="14"/>
        <v>0.1388888888888889</v>
      </c>
      <c r="AU8" s="68">
        <f t="shared" si="14"/>
        <v>7.4999999999999997E-2</v>
      </c>
      <c r="AV8" s="68">
        <f t="shared" si="14"/>
        <v>0.14356060606060606</v>
      </c>
      <c r="AW8" s="68">
        <f t="shared" si="14"/>
        <v>0.10744949494949495</v>
      </c>
      <c r="AX8" s="68">
        <f t="shared" si="14"/>
        <v>2.7272727272727275E-2</v>
      </c>
      <c r="AY8" s="68">
        <f t="shared" si="14"/>
        <v>0.10833333333333332</v>
      </c>
      <c r="AZ8" s="68">
        <f t="shared" si="14"/>
        <v>0.1</v>
      </c>
      <c r="BA8" s="68">
        <f t="shared" si="14"/>
        <v>0.1361111111111111</v>
      </c>
      <c r="BB8" s="68">
        <f t="shared" si="14"/>
        <v>0.11022727272727273</v>
      </c>
      <c r="BC8" s="68">
        <f t="shared" si="14"/>
        <v>0.13181818181818183</v>
      </c>
      <c r="BD8" s="68">
        <f t="shared" si="14"/>
        <v>0.13434343434343435</v>
      </c>
      <c r="BE8" s="68">
        <f t="shared" si="14"/>
        <v>0.10631313131313132</v>
      </c>
      <c r="BF8" s="68">
        <f t="shared" si="14"/>
        <v>7.7272727272727271E-2</v>
      </c>
      <c r="BG8" s="68">
        <f t="shared" si="14"/>
        <v>9.2297979797979796E-2</v>
      </c>
      <c r="BH8" s="68">
        <f t="shared" si="14"/>
        <v>0.13131313131313133</v>
      </c>
      <c r="BI8" s="68">
        <f t="shared" si="14"/>
        <v>0.13585858585858585</v>
      </c>
      <c r="BJ8" s="68">
        <f>IF(OR(AB8="",AB8="Sem monitoramento"),"VAZIO",IFERROR(AB8/($AJ8*24),"-"))</f>
        <v>0.12474747474747475</v>
      </c>
      <c r="BK8" s="68" t="e">
        <f>IF(OR(#REF!="",#REF!="Sem monitoramento"),"VAZIO",IFERROR(#REF!/($AJ8*24),"-"))</f>
        <v>#REF!</v>
      </c>
      <c r="BL8" s="68">
        <f t="shared" si="11"/>
        <v>9.2297979797979796E-2</v>
      </c>
      <c r="BM8" s="68">
        <f t="shared" si="12"/>
        <v>0.10202020202020201</v>
      </c>
      <c r="BN8" s="68">
        <f t="shared" si="13"/>
        <v>0.11628787878787879</v>
      </c>
      <c r="BO8" s="68" t="e">
        <f>IF(OR(#REF!="",#REF!="Sem monitoramento"),"VAZIO",IFERROR(#REF!/($AJ8*24),"-"))</f>
        <v>#REF!</v>
      </c>
      <c r="BP8" s="70">
        <f t="shared" si="5"/>
        <v>0.1227483164983165</v>
      </c>
      <c r="BQ8" s="180">
        <f>'FCs estimados em PVsyst'!Y6</f>
        <v>0.18501683501683502</v>
      </c>
      <c r="BR8" s="72">
        <f t="shared" si="6"/>
        <v>6.1055555555555561</v>
      </c>
      <c r="BS8" s="73">
        <f t="shared" si="7"/>
        <v>-9.4991582491582502E-2</v>
      </c>
      <c r="BT8" s="74">
        <f t="shared" si="8"/>
        <v>-6.2268518518518529E-2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572">
        <v>45.3</v>
      </c>
      <c r="E9" s="63">
        <v>46.7</v>
      </c>
      <c r="F9" s="63">
        <v>23.4</v>
      </c>
      <c r="G9" s="82">
        <v>37.200000000000003</v>
      </c>
      <c r="H9" s="82">
        <v>41.2</v>
      </c>
      <c r="I9" s="308">
        <v>58.3</v>
      </c>
      <c r="J9" s="316">
        <v>57.6</v>
      </c>
      <c r="K9" s="283">
        <v>54.8</v>
      </c>
      <c r="L9" s="63">
        <v>45.7</v>
      </c>
      <c r="M9" s="63">
        <v>22.2</v>
      </c>
      <c r="N9" s="63">
        <v>37.4</v>
      </c>
      <c r="O9" s="63">
        <v>32.799999999999997</v>
      </c>
      <c r="P9" s="316">
        <v>33.700000000000003</v>
      </c>
      <c r="Q9" s="283">
        <v>31.9</v>
      </c>
      <c r="R9" s="308">
        <v>28.3</v>
      </c>
      <c r="S9" s="63">
        <v>38.9</v>
      </c>
      <c r="T9" s="63">
        <v>42.7</v>
      </c>
      <c r="U9" s="316">
        <v>43.1</v>
      </c>
      <c r="V9" s="63">
        <v>41.7</v>
      </c>
      <c r="W9" s="283">
        <v>37.4</v>
      </c>
      <c r="X9" s="63">
        <v>25.2</v>
      </c>
      <c r="Y9" s="63">
        <v>29.3</v>
      </c>
      <c r="Z9" s="148">
        <v>43.8</v>
      </c>
      <c r="AA9" s="18">
        <v>38.299999999999997</v>
      </c>
      <c r="AB9" s="323">
        <v>37.700000000000003</v>
      </c>
      <c r="AC9" s="489">
        <v>31.8</v>
      </c>
      <c r="AD9" s="15">
        <v>32.299999999999997</v>
      </c>
      <c r="AE9" s="15">
        <v>30.6</v>
      </c>
      <c r="AF9" s="15">
        <v>38.9</v>
      </c>
      <c r="AG9" s="15">
        <v>47</v>
      </c>
      <c r="AH9" s="15">
        <v>49.1</v>
      </c>
      <c r="AI9" s="656">
        <f t="shared" si="9"/>
        <v>1204.3</v>
      </c>
      <c r="AJ9" s="118">
        <v>12</v>
      </c>
      <c r="AK9" s="121">
        <f t="shared" si="0"/>
        <v>4.5138888888888885E-3</v>
      </c>
      <c r="AL9" s="67">
        <f>IF(OR(D10="",D10="Sem monitoramento"),"VAZIO",IFERROR(D10/($AJ9*24),"-"))</f>
        <v>0.32326388888888885</v>
      </c>
      <c r="AM9" s="68">
        <f>IF(OR(E9="",E9="Sem monitoramento"),"VAZIO",IFERROR(E9/($AJ9*24),"-"))</f>
        <v>0.16215277777777778</v>
      </c>
      <c r="AN9" s="68">
        <f>IF(OR(F9="",F9="Sem monitoramento"),"VAZIO",IFERROR(F9/($AJ9*24),"-"))</f>
        <v>8.1249999999999989E-2</v>
      </c>
      <c r="AO9" s="68">
        <f>IF(OR(G9="",G9="Sem monitoramento"),"VAZIO",IFERROR(G9/($AJ9*24),"-"))</f>
        <v>0.12916666666666668</v>
      </c>
      <c r="AP9" s="68">
        <f>IF(OR(H9="",H9="Sem monitoramento"),"VAZIO",IFERROR(H9/($AJ9*24),"-"))</f>
        <v>0.14305555555555557</v>
      </c>
      <c r="AQ9" s="68">
        <f>IF(OR(I9="",I9="Sem monitoramento"),"VAZIO",IFERROR(I9/($AJ9*24),"-"))</f>
        <v>0.20243055555555556</v>
      </c>
      <c r="AR9" s="68">
        <f>IF(OR(J10="",J10="Sem monitoramento"),"VAZIO",IFERROR(J10/($AJ9*24),"-"))</f>
        <v>0.19062499999999999</v>
      </c>
      <c r="AS9" s="68">
        <f t="shared" ref="AS9:AW16" si="15">IF(OR(K9="",K9="Sem monitoramento"),"VAZIO",IFERROR(K9/($AJ9*24),"-"))</f>
        <v>0.19027777777777777</v>
      </c>
      <c r="AT9" s="68">
        <f t="shared" si="15"/>
        <v>0.15868055555555557</v>
      </c>
      <c r="AU9" s="68">
        <f t="shared" si="15"/>
        <v>7.7083333333333337E-2</v>
      </c>
      <c r="AV9" s="68">
        <f t="shared" si="15"/>
        <v>0.12986111111111109</v>
      </c>
      <c r="AW9" s="68">
        <f t="shared" si="15"/>
        <v>0.11388888888888887</v>
      </c>
      <c r="AX9" s="68">
        <f>IF(OR(P10="",P10="Sem monitoramento"),"VAZIO",IFERROR(P10/($AJ9*24),"-"))</f>
        <v>0.21770833333333334</v>
      </c>
      <c r="AY9" s="68">
        <f t="shared" ref="AY9:BB15" si="16">IF(OR(Q9="",Q9="Sem monitoramento"),"VAZIO",IFERROR(Q9/($AJ9*24),"-"))</f>
        <v>0.11076388888888888</v>
      </c>
      <c r="AZ9" s="68">
        <f t="shared" si="16"/>
        <v>9.8263888888888887E-2</v>
      </c>
      <c r="BA9" s="68">
        <f t="shared" si="16"/>
        <v>0.13506944444444444</v>
      </c>
      <c r="BB9" s="68">
        <f t="shared" si="16"/>
        <v>0.14826388888888889</v>
      </c>
      <c r="BC9" s="68">
        <f>IF(OR(U7="",U7="Sem monitoramento"),"VAZIO",IFERROR(U7/($AJ9*24),"-"))</f>
        <v>0.65659722222222217</v>
      </c>
      <c r="BD9" s="68">
        <f t="shared" ref="BD9:BG10" si="17">IF(OR(V9="",V9="Sem monitoramento"),"VAZIO",IFERROR(V9/($AJ9*24),"-"))</f>
        <v>0.14479166666666668</v>
      </c>
      <c r="BE9" s="68">
        <f t="shared" si="17"/>
        <v>0.12986111111111109</v>
      </c>
      <c r="BF9" s="68">
        <f t="shared" si="17"/>
        <v>8.7499999999999994E-2</v>
      </c>
      <c r="BG9" s="68">
        <f t="shared" si="17"/>
        <v>0.10173611111111111</v>
      </c>
      <c r="BH9" s="68">
        <f>IF(OR(Z10="",Z10="Sem monitoramento"),"VAZIO",IFERROR(Z10/($AJ9*24),"-"))</f>
        <v>0.23784722222222221</v>
      </c>
      <c r="BI9" s="68">
        <f>IF(OR(AA9="",AA9="Sem monitoramento"),"VAZIO",IFERROR(AA9/($AJ9*24),"-"))</f>
        <v>0.13298611111111111</v>
      </c>
      <c r="BJ9" s="68">
        <f>IF(OR(AB9="",AB9="Sem monitoramento"),"VAZIO",IFERROR(AB9/($AJ9*24),"-"))</f>
        <v>0.13090277777777778</v>
      </c>
      <c r="BK9" s="68">
        <f>IF(OR(AC7="",AC7="Sem monitoramento"),"VAZIO",IFERROR(AC7/($AJ9*24),"-"))</f>
        <v>0.5215277777777777</v>
      </c>
      <c r="BL9" s="68">
        <f t="shared" si="11"/>
        <v>0.11215277777777777</v>
      </c>
      <c r="BM9" s="68">
        <f t="shared" si="12"/>
        <v>0.10625000000000001</v>
      </c>
      <c r="BN9" s="68">
        <f t="shared" si="13"/>
        <v>0.13506944444444444</v>
      </c>
      <c r="BO9" s="68">
        <f>IF(OR(AG7="",AG7="Sem monitoramento"),"VAZIO",IFERROR(AG7/($AJ9*24),"-"))</f>
        <v>0.67534722222222221</v>
      </c>
      <c r="BP9" s="70">
        <f t="shared" si="5"/>
        <v>0.13938657407407407</v>
      </c>
      <c r="BQ9" s="180">
        <f>'FCs estimados em PVsyst'!Y7</f>
        <v>0.18333333333333332</v>
      </c>
      <c r="BR9" s="72">
        <f t="shared" si="6"/>
        <v>2.1999999999999997</v>
      </c>
      <c r="BS9" s="73">
        <f t="shared" si="7"/>
        <v>-0.10208333333333333</v>
      </c>
      <c r="BT9" s="74">
        <f t="shared" si="8"/>
        <v>-4.3946759259259255E-2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93.1</v>
      </c>
      <c r="E10" s="63">
        <v>96.3</v>
      </c>
      <c r="F10" s="63">
        <v>49.3</v>
      </c>
      <c r="G10" s="82">
        <v>74.400000000000006</v>
      </c>
      <c r="H10" s="82">
        <v>83.1</v>
      </c>
      <c r="I10" s="519">
        <v>121</v>
      </c>
      <c r="J10" s="63">
        <v>54.9</v>
      </c>
      <c r="K10" s="283">
        <v>111.7</v>
      </c>
      <c r="L10" s="63">
        <v>92.3</v>
      </c>
      <c r="M10" s="63">
        <v>43.4</v>
      </c>
      <c r="N10" s="63">
        <v>71.2</v>
      </c>
      <c r="O10" s="63">
        <v>62.3</v>
      </c>
      <c r="P10" s="63">
        <v>62.7</v>
      </c>
      <c r="Q10" s="283">
        <v>59.3</v>
      </c>
      <c r="R10" s="308">
        <v>51.9</v>
      </c>
      <c r="S10" s="63">
        <v>72.7</v>
      </c>
      <c r="T10" s="63">
        <v>78.400000000000006</v>
      </c>
      <c r="U10" s="63">
        <v>74</v>
      </c>
      <c r="V10" s="63">
        <v>72.400000000000006</v>
      </c>
      <c r="W10" s="283">
        <v>64.7</v>
      </c>
      <c r="X10" s="63">
        <v>41.5</v>
      </c>
      <c r="Y10" s="63">
        <v>45.7</v>
      </c>
      <c r="Z10" s="15">
        <v>68.5</v>
      </c>
      <c r="AA10" s="18">
        <v>60.2</v>
      </c>
      <c r="AB10" s="323">
        <v>56.2</v>
      </c>
      <c r="AC10" s="489">
        <v>48.5</v>
      </c>
      <c r="AD10" s="15">
        <f>47.7+31.9</f>
        <v>79.599999999999994</v>
      </c>
      <c r="AE10" s="15">
        <f>43.7+32</f>
        <v>75.7</v>
      </c>
      <c r="AF10" s="15">
        <v>54.1</v>
      </c>
      <c r="AG10" s="15">
        <v>63.4</v>
      </c>
      <c r="AH10" s="15">
        <v>66.5</v>
      </c>
      <c r="AI10" s="335">
        <f>SUM(D10:AH10)</f>
        <v>2149.0000000000005</v>
      </c>
      <c r="AJ10" s="118">
        <v>25</v>
      </c>
      <c r="AK10" s="121">
        <f t="shared" si="0"/>
        <v>4.5648148148148149E-3</v>
      </c>
      <c r="AL10" s="67" t="e">
        <f>IF(OR(#REF!="",#REF!="Sem monitoramento"),"VAZIO",IFERROR(#REF!/($AJ10*24),"-"))</f>
        <v>#REF!</v>
      </c>
      <c r="AM10" s="68">
        <f t="shared" ref="AM10:AM25" si="18">IF(OR(E10="",E10="Sem monitoramento"),"VAZIO",IFERROR(E10/($AJ10*24),"-"))</f>
        <v>0.1605</v>
      </c>
      <c r="AN10" s="68">
        <f t="shared" ref="AN10:AN25" si="19">IF(OR(F10="",F10="Sem monitoramento"),"VAZIO",IFERROR(F10/($AJ10*24),"-"))</f>
        <v>8.2166666666666666E-2</v>
      </c>
      <c r="AO10" s="68">
        <f t="shared" ref="AO10:AO25" si="20">IF(OR(G10="",G10="Sem monitoramento"),"VAZIO",IFERROR(G10/($AJ10*24),"-"))</f>
        <v>0.12400000000000001</v>
      </c>
      <c r="AP10" s="68">
        <f t="shared" ref="AP10:AP25" si="21">IF(OR(H10="",H10="Sem monitoramento"),"VAZIO",IFERROR(H10/($AJ10*24),"-"))</f>
        <v>0.13849999999999998</v>
      </c>
      <c r="AQ10" s="68">
        <f>IF(OR(I8="",I8="Sem monitoramento"),"VAZIO",IFERROR(I8/($AJ10*24),"-"))</f>
        <v>0.28383333333333333</v>
      </c>
      <c r="AR10" s="68" t="e">
        <f>IF(OR(#REF!="",#REF!="Sem monitoramento"),"VAZIO",IFERROR(#REF!/($AJ10*24),"-"))</f>
        <v>#REF!</v>
      </c>
      <c r="AS10" s="68">
        <f t="shared" si="15"/>
        <v>0.18616666666666667</v>
      </c>
      <c r="AT10" s="68">
        <f t="shared" si="15"/>
        <v>0.15383333333333332</v>
      </c>
      <c r="AU10" s="68">
        <f t="shared" si="15"/>
        <v>7.2333333333333333E-2</v>
      </c>
      <c r="AV10" s="68">
        <f t="shared" si="15"/>
        <v>0.11866666666666667</v>
      </c>
      <c r="AW10" s="68">
        <f t="shared" si="15"/>
        <v>0.10383333333333333</v>
      </c>
      <c r="AX10" s="68" t="e">
        <f>IF(OR(#REF!="",#REF!="Sem monitoramento"),"VAZIO",IFERROR(#REF!/($AJ10*24),"-"))</f>
        <v>#REF!</v>
      </c>
      <c r="AY10" s="68">
        <f t="shared" si="16"/>
        <v>9.8833333333333329E-2</v>
      </c>
      <c r="AZ10" s="68">
        <f t="shared" si="16"/>
        <v>8.6499999999999994E-2</v>
      </c>
      <c r="BA10" s="68">
        <f t="shared" si="16"/>
        <v>0.12116666666666667</v>
      </c>
      <c r="BB10" s="68">
        <f t="shared" si="16"/>
        <v>0.13066666666666668</v>
      </c>
      <c r="BC10" s="68">
        <f>IF(OR(U8="",U8="Sem monitoramento"),"VAZIO",IFERROR(U8/($AJ10*24),"-"))</f>
        <v>0.17400000000000002</v>
      </c>
      <c r="BD10" s="68">
        <f t="shared" si="17"/>
        <v>0.12066666666666667</v>
      </c>
      <c r="BE10" s="68">
        <f t="shared" si="17"/>
        <v>0.10783333333333334</v>
      </c>
      <c r="BF10" s="68">
        <f t="shared" si="17"/>
        <v>6.9166666666666668E-2</v>
      </c>
      <c r="BG10" s="68">
        <f t="shared" si="17"/>
        <v>7.6166666666666674E-2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0.10033333333333334</v>
      </c>
      <c r="BJ10" s="68">
        <f>IF(OR(AB10="",AB10="Sem monitoramento"),"VAZIO",IFERROR(AB10/($AJ10*24),"-"))</f>
        <v>9.3666666666666676E-2</v>
      </c>
      <c r="BK10" s="68">
        <f>IF(OR(AC8="",AC8="Sem monitoramento"),"VAZIO",IFERROR(AC8/($AJ10*24),"-"))</f>
        <v>0.13633333333333333</v>
      </c>
      <c r="BL10" s="68">
        <f t="shared" si="11"/>
        <v>0.13266666666666665</v>
      </c>
      <c r="BM10" s="68">
        <f t="shared" si="12"/>
        <v>0.12616666666666668</v>
      </c>
      <c r="BN10" s="68">
        <f t="shared" si="13"/>
        <v>9.0166666666666673E-2</v>
      </c>
      <c r="BO10" s="68">
        <f>IF(OR(AG8="",AG8="Sem monitoramento"),"VAZIO",IFERROR(AG8/($AJ10*24),"-"))</f>
        <v>0.17866666666666667</v>
      </c>
      <c r="BP10" s="70">
        <f t="shared" si="5"/>
        <v>0.11938888888888892</v>
      </c>
      <c r="BQ10" s="180">
        <f>'FCs estimados em PVsyst'!Y8</f>
        <v>0.185</v>
      </c>
      <c r="BR10" s="72">
        <f t="shared" si="6"/>
        <v>4.625</v>
      </c>
      <c r="BS10" s="73">
        <f t="shared" si="7"/>
        <v>-0.10283333333333333</v>
      </c>
      <c r="BT10" s="74">
        <f t="shared" si="8"/>
        <v>-6.5611111111111078E-2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404.1</v>
      </c>
      <c r="E11" s="63">
        <v>288.39999999999998</v>
      </c>
      <c r="F11" s="63">
        <v>233.8</v>
      </c>
      <c r="G11" s="63">
        <v>305</v>
      </c>
      <c r="H11" s="63">
        <v>267.10000000000002</v>
      </c>
      <c r="I11" s="283">
        <v>468.5</v>
      </c>
      <c r="J11" s="283">
        <v>439.8</v>
      </c>
      <c r="K11" s="283">
        <v>427.3</v>
      </c>
      <c r="L11" s="63">
        <v>294.89999999999998</v>
      </c>
      <c r="M11" s="283">
        <v>181.8</v>
      </c>
      <c r="N11" s="63">
        <v>307.89999999999998</v>
      </c>
      <c r="O11" s="63">
        <v>251.9</v>
      </c>
      <c r="P11" s="63">
        <v>267.2</v>
      </c>
      <c r="Q11" s="283">
        <v>233.2</v>
      </c>
      <c r="R11" s="63">
        <v>242</v>
      </c>
      <c r="S11" s="63">
        <v>314</v>
      </c>
      <c r="T11" s="63">
        <v>277.39999999999998</v>
      </c>
      <c r="U11" s="63">
        <v>343.8</v>
      </c>
      <c r="V11" s="283">
        <v>327.39999999999998</v>
      </c>
      <c r="W11" s="519">
        <v>229</v>
      </c>
      <c r="X11" s="63">
        <v>190.4</v>
      </c>
      <c r="Y11" s="63">
        <v>198.9</v>
      </c>
      <c r="Z11" s="15">
        <v>331.9</v>
      </c>
      <c r="AA11" s="18">
        <v>319.89999999999998</v>
      </c>
      <c r="AB11" s="323">
        <v>245.1</v>
      </c>
      <c r="AC11" s="221">
        <v>222.6</v>
      </c>
      <c r="AD11" s="15">
        <v>218.5</v>
      </c>
      <c r="AE11" s="15">
        <v>278.8</v>
      </c>
      <c r="AF11" s="15">
        <v>257.39999999999998</v>
      </c>
      <c r="AG11" s="15">
        <v>331.4</v>
      </c>
      <c r="AH11" s="15">
        <v>367.7</v>
      </c>
      <c r="AI11" s="656">
        <f t="shared" si="9"/>
        <v>9067.1</v>
      </c>
      <c r="AJ11" s="118">
        <v>78</v>
      </c>
      <c r="AK11" s="121">
        <f t="shared" si="0"/>
        <v>6.9385090218423559E-3</v>
      </c>
      <c r="AL11" s="67">
        <f t="shared" ref="AL11:AL31" si="22">IF(OR(D11="",D11="Sem monitoramento"),"VAZIO",IFERROR(D11/($AJ11*24),"-"))</f>
        <v>0.21586538461538463</v>
      </c>
      <c r="AM11" s="68">
        <f t="shared" si="18"/>
        <v>0.15405982905982904</v>
      </c>
      <c r="AN11" s="68">
        <f t="shared" si="19"/>
        <v>0.12489316239316239</v>
      </c>
      <c r="AO11" s="68">
        <f t="shared" si="20"/>
        <v>0.16292735042735043</v>
      </c>
      <c r="AP11" s="68">
        <f t="shared" si="21"/>
        <v>0.14268162393162395</v>
      </c>
      <c r="AQ11" s="68">
        <f t="shared" ref="AQ11:AQ23" si="23">IF(OR(I11="",I11="Sem monitoramento"),"VAZIO",IFERROR(I11/($AJ11*24),"-"))</f>
        <v>0.25026709401709402</v>
      </c>
      <c r="AR11" s="68">
        <f t="shared" ref="AR11:AR23" si="24">IF(OR(J11="",J11="Sem monitoramento"),"VAZIO",IFERROR(J11/($AJ11*24),"-"))</f>
        <v>0.23493589743589743</v>
      </c>
      <c r="AS11" s="68">
        <f t="shared" si="15"/>
        <v>0.228258547008547</v>
      </c>
      <c r="AT11" s="68">
        <f t="shared" si="15"/>
        <v>0.15753205128205128</v>
      </c>
      <c r="AU11" s="68">
        <f t="shared" si="15"/>
        <v>9.7115384615384617E-2</v>
      </c>
      <c r="AV11" s="68">
        <f t="shared" si="15"/>
        <v>0.16447649572649573</v>
      </c>
      <c r="AW11" s="68">
        <f t="shared" si="15"/>
        <v>0.13456196581196581</v>
      </c>
      <c r="AX11" s="68">
        <f t="shared" ref="AX11:AX31" si="25">IF(OR(P11="",P11="Sem monitoramento"),"VAZIO",IFERROR(P11/($AJ11*24),"-"))</f>
        <v>0.14273504273504273</v>
      </c>
      <c r="AY11" s="68">
        <f t="shared" si="16"/>
        <v>0.12457264957264956</v>
      </c>
      <c r="AZ11" s="68">
        <f t="shared" si="16"/>
        <v>0.12927350427350429</v>
      </c>
      <c r="BA11" s="68">
        <f t="shared" si="16"/>
        <v>0.16773504273504272</v>
      </c>
      <c r="BB11" s="68">
        <f t="shared" si="16"/>
        <v>0.14818376068376068</v>
      </c>
      <c r="BC11" s="68">
        <f t="shared" ref="BC11:BD18" si="26">IF(OR(U11="",U11="Sem monitoramento"),"VAZIO",IFERROR(U11/($AJ11*24),"-"))</f>
        <v>0.18365384615384617</v>
      </c>
      <c r="BD11" s="68">
        <f t="shared" si="26"/>
        <v>0.17489316239316238</v>
      </c>
      <c r="BE11" s="68">
        <f>IF(OR(W12="",W12="Sem monitoramento"),"VAZIO",IFERROR(W12/($AJ11*24),"-"))</f>
        <v>9.8824786324786321E-2</v>
      </c>
      <c r="BF11" s="68">
        <f t="shared" ref="BF11:BH14" si="27">IF(OR(X11="",X11="Sem monitoramento"),"VAZIO",IFERROR(X11/($AJ11*24),"-"))</f>
        <v>0.10170940170940171</v>
      </c>
      <c r="BG11" s="68">
        <f t="shared" si="27"/>
        <v>0.10625</v>
      </c>
      <c r="BH11" s="68">
        <f t="shared" si="27"/>
        <v>0.17729700854700853</v>
      </c>
      <c r="BI11" s="68" t="e">
        <f>IF(OR(#REF!="",#REF!="Sem monitoramento"),"VAZIO",IFERROR(#REF!/($AJ11*24),"-"))</f>
        <v>#REF!</v>
      </c>
      <c r="BJ11" s="68">
        <f>IF(OR(AB9="",AB9="Sem monitoramento"),"VAZIO",IFERROR(AB9/($AJ11*24),"-"))</f>
        <v>2.013888888888889E-2</v>
      </c>
      <c r="BK11" s="68">
        <f t="shared" ref="BK11:BK31" si="28">IF(OR(AC11="",AC11="Sem monitoramento"),"VAZIO",IFERROR(AC11/($AJ11*24),"-"))</f>
        <v>0.1189102564102564</v>
      </c>
      <c r="BL11" s="68">
        <f t="shared" si="11"/>
        <v>0.11672008547008547</v>
      </c>
      <c r="BM11" s="68">
        <f t="shared" si="12"/>
        <v>0.14893162393162393</v>
      </c>
      <c r="BN11" s="68">
        <f t="shared" si="13"/>
        <v>0.13749999999999998</v>
      </c>
      <c r="BO11" s="68">
        <f t="shared" ref="BO11:BO21" si="29">IF(OR(AG11="",AG11="Sem monitoramento"),"VAZIO",IFERROR(AG11/($AJ11*24),"-"))</f>
        <v>0.17702991452991451</v>
      </c>
      <c r="BP11" s="70">
        <f t="shared" si="5"/>
        <v>0.16145121082621083</v>
      </c>
      <c r="BQ11" s="198">
        <f>BQ19</f>
        <v>0.168125</v>
      </c>
      <c r="BR11" s="72">
        <f t="shared" si="6"/>
        <v>13.11375</v>
      </c>
      <c r="BS11" s="73">
        <f t="shared" si="7"/>
        <v>-4.3231837606837603E-2</v>
      </c>
      <c r="BT11" s="74">
        <f t="shared" si="8"/>
        <v>-6.673789173789163E-3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252</v>
      </c>
      <c r="E12" s="308">
        <v>260</v>
      </c>
      <c r="F12" s="82">
        <v>185</v>
      </c>
      <c r="G12" s="82">
        <v>220</v>
      </c>
      <c r="H12" s="82">
        <v>225</v>
      </c>
      <c r="I12" s="308">
        <v>445</v>
      </c>
      <c r="J12" s="82">
        <v>449</v>
      </c>
      <c r="K12" s="308">
        <v>395</v>
      </c>
      <c r="L12" s="82">
        <v>265</v>
      </c>
      <c r="M12" s="82">
        <v>165</v>
      </c>
      <c r="N12" s="82">
        <v>220</v>
      </c>
      <c r="O12" s="82">
        <v>201</v>
      </c>
      <c r="P12" s="82">
        <v>202</v>
      </c>
      <c r="Q12" s="308">
        <v>195</v>
      </c>
      <c r="R12" s="308">
        <v>190</v>
      </c>
      <c r="S12" s="82">
        <v>260</v>
      </c>
      <c r="T12" s="82">
        <v>230</v>
      </c>
      <c r="U12" s="82">
        <v>200</v>
      </c>
      <c r="V12" s="82">
        <v>195</v>
      </c>
      <c r="W12" s="283">
        <v>185</v>
      </c>
      <c r="X12" s="82">
        <v>175</v>
      </c>
      <c r="Y12" s="82">
        <v>185</v>
      </c>
      <c r="Z12" s="16">
        <v>220</v>
      </c>
      <c r="AA12" s="17">
        <v>231</v>
      </c>
      <c r="AB12" s="324">
        <v>165</v>
      </c>
      <c r="AC12" s="489">
        <v>160</v>
      </c>
      <c r="AD12" s="16">
        <v>162</v>
      </c>
      <c r="AE12" s="16">
        <v>155</v>
      </c>
      <c r="AF12" s="16">
        <v>200</v>
      </c>
      <c r="AG12" s="16">
        <v>221</v>
      </c>
      <c r="AH12" s="16">
        <v>232</v>
      </c>
      <c r="AI12" s="335">
        <f t="shared" si="9"/>
        <v>7045</v>
      </c>
      <c r="AJ12" s="123">
        <v>61</v>
      </c>
      <c r="AK12" s="121" t="s">
        <v>31</v>
      </c>
      <c r="AL12" s="67">
        <f t="shared" si="22"/>
        <v>0.1721311475409836</v>
      </c>
      <c r="AM12" s="68">
        <f t="shared" si="18"/>
        <v>0.17759562841530055</v>
      </c>
      <c r="AN12" s="68">
        <f t="shared" si="19"/>
        <v>0.12636612021857924</v>
      </c>
      <c r="AO12" s="68">
        <f t="shared" si="20"/>
        <v>0.15027322404371585</v>
      </c>
      <c r="AP12" s="68">
        <f t="shared" si="21"/>
        <v>0.15368852459016394</v>
      </c>
      <c r="AQ12" s="68">
        <f t="shared" si="23"/>
        <v>0.30396174863387976</v>
      </c>
      <c r="AR12" s="68">
        <f t="shared" si="24"/>
        <v>0.30669398907103823</v>
      </c>
      <c r="AS12" s="68">
        <f t="shared" si="15"/>
        <v>0.2698087431693989</v>
      </c>
      <c r="AT12" s="68">
        <f t="shared" si="15"/>
        <v>0.18101092896174864</v>
      </c>
      <c r="AU12" s="68">
        <f t="shared" si="15"/>
        <v>0.11270491803278689</v>
      </c>
      <c r="AV12" s="68">
        <f t="shared" si="15"/>
        <v>0.15027322404371585</v>
      </c>
      <c r="AW12" s="68">
        <f t="shared" si="15"/>
        <v>0.13729508196721313</v>
      </c>
      <c r="AX12" s="68">
        <f t="shared" si="25"/>
        <v>0.13797814207650272</v>
      </c>
      <c r="AY12" s="68">
        <f t="shared" si="16"/>
        <v>0.13319672131147542</v>
      </c>
      <c r="AZ12" s="68">
        <f t="shared" si="16"/>
        <v>0.12978142076502733</v>
      </c>
      <c r="BA12" s="68">
        <f t="shared" si="16"/>
        <v>0.17759562841530055</v>
      </c>
      <c r="BB12" s="68">
        <f t="shared" si="16"/>
        <v>0.15710382513661203</v>
      </c>
      <c r="BC12" s="68">
        <f t="shared" si="26"/>
        <v>0.13661202185792351</v>
      </c>
      <c r="BD12" s="68">
        <f t="shared" si="26"/>
        <v>0.13319672131147542</v>
      </c>
      <c r="BE12" s="68" t="e">
        <f>IF(OR(#REF!="",#REF!="Sem monitoramento"),"VAZIO",IFERROR(#REF!/($AJ12*24),"-"))</f>
        <v>#REF!</v>
      </c>
      <c r="BF12" s="68">
        <f t="shared" si="27"/>
        <v>0.11953551912568305</v>
      </c>
      <c r="BG12" s="68">
        <f t="shared" si="27"/>
        <v>0.12636612021857924</v>
      </c>
      <c r="BH12" s="68">
        <f t="shared" si="27"/>
        <v>0.15027322404371585</v>
      </c>
      <c r="BI12" s="68">
        <f t="shared" ref="BI12:BJ16" si="30">IF(OR(AA12="",AA12="Sem monitoramento"),"VAZIO",IFERROR(AA12/($AJ12*24),"-"))</f>
        <v>0.15778688524590165</v>
      </c>
      <c r="BJ12" s="68">
        <f t="shared" si="30"/>
        <v>0.11270491803278689</v>
      </c>
      <c r="BK12" s="68">
        <f t="shared" si="28"/>
        <v>0.10928961748633879</v>
      </c>
      <c r="BL12" s="68">
        <f t="shared" si="11"/>
        <v>0.11065573770491803</v>
      </c>
      <c r="BM12" s="68">
        <f t="shared" si="12"/>
        <v>0.10587431693989072</v>
      </c>
      <c r="BN12" s="68">
        <f t="shared" si="13"/>
        <v>0.13661202185792351</v>
      </c>
      <c r="BO12" s="68">
        <f t="shared" si="29"/>
        <v>0.15095628415300547</v>
      </c>
      <c r="BP12" s="70">
        <f t="shared" si="5"/>
        <v>0.16040528233151183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8"/>
        <v>-2.4248633879781434E-2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223">
        <v>406.2</v>
      </c>
      <c r="E13" s="283">
        <v>418.6</v>
      </c>
      <c r="F13" s="283">
        <v>227.8</v>
      </c>
      <c r="G13" s="283">
        <v>351.9</v>
      </c>
      <c r="H13" s="283">
        <v>371.5</v>
      </c>
      <c r="I13" s="283">
        <v>560.70000000000005</v>
      </c>
      <c r="J13" s="63">
        <v>574.1</v>
      </c>
      <c r="K13" s="283">
        <v>554.20000000000005</v>
      </c>
      <c r="L13" s="63">
        <v>434.6</v>
      </c>
      <c r="M13" s="63">
        <v>205.7</v>
      </c>
      <c r="N13" s="283">
        <v>361.7</v>
      </c>
      <c r="O13" s="63">
        <v>309.3</v>
      </c>
      <c r="P13" s="63">
        <v>304.89999999999998</v>
      </c>
      <c r="Q13" s="283">
        <v>282.3</v>
      </c>
      <c r="R13" s="308">
        <v>262.8</v>
      </c>
      <c r="S13" s="63">
        <v>415.8</v>
      </c>
      <c r="T13" s="63">
        <v>394.3</v>
      </c>
      <c r="U13" s="63">
        <v>362.2</v>
      </c>
      <c r="V13" s="63">
        <v>349.4</v>
      </c>
      <c r="W13" s="283">
        <v>326.8</v>
      </c>
      <c r="X13" s="63">
        <v>235.8</v>
      </c>
      <c r="Y13" s="63">
        <v>252.2</v>
      </c>
      <c r="Z13" s="15">
        <v>401.2</v>
      </c>
      <c r="AA13" s="18">
        <v>419.1</v>
      </c>
      <c r="AB13" s="323">
        <v>307.2</v>
      </c>
      <c r="AC13" s="489">
        <v>296.60000000000002</v>
      </c>
      <c r="AD13" s="15">
        <v>300.2</v>
      </c>
      <c r="AE13" s="15">
        <v>278.3</v>
      </c>
      <c r="AF13" s="15">
        <v>360.2</v>
      </c>
      <c r="AG13" s="15">
        <v>393.6</v>
      </c>
      <c r="AH13" s="15">
        <v>423.9</v>
      </c>
      <c r="AI13" s="656">
        <f t="shared" si="9"/>
        <v>11143.100000000002</v>
      </c>
      <c r="AJ13" s="118">
        <v>100</v>
      </c>
      <c r="AK13" s="121">
        <f t="shared" ref="AK13:AK30" si="31">F13/(AJ13*432)</f>
        <v>5.2731481481481483E-3</v>
      </c>
      <c r="AL13" s="67">
        <f t="shared" si="22"/>
        <v>0.16924999999999998</v>
      </c>
      <c r="AM13" s="68">
        <f t="shared" si="18"/>
        <v>0.17441666666666666</v>
      </c>
      <c r="AN13" s="68">
        <f t="shared" si="19"/>
        <v>9.4916666666666677E-2</v>
      </c>
      <c r="AO13" s="68">
        <f t="shared" si="20"/>
        <v>0.14662499999999998</v>
      </c>
      <c r="AP13" s="68">
        <f t="shared" si="21"/>
        <v>0.15479166666666666</v>
      </c>
      <c r="AQ13" s="68">
        <f t="shared" si="23"/>
        <v>0.23362500000000003</v>
      </c>
      <c r="AR13" s="68">
        <f t="shared" si="24"/>
        <v>0.23920833333333336</v>
      </c>
      <c r="AS13" s="68">
        <f t="shared" si="15"/>
        <v>0.23091666666666669</v>
      </c>
      <c r="AT13" s="68">
        <f t="shared" si="15"/>
        <v>0.18108333333333335</v>
      </c>
      <c r="AU13" s="68">
        <f t="shared" si="15"/>
        <v>8.5708333333333331E-2</v>
      </c>
      <c r="AV13" s="68">
        <f t="shared" si="15"/>
        <v>0.15070833333333333</v>
      </c>
      <c r="AW13" s="68">
        <f t="shared" si="15"/>
        <v>0.12887500000000002</v>
      </c>
      <c r="AX13" s="68">
        <f t="shared" si="25"/>
        <v>0.12704166666666666</v>
      </c>
      <c r="AY13" s="68">
        <f t="shared" si="16"/>
        <v>0.11762500000000001</v>
      </c>
      <c r="AZ13" s="68">
        <f t="shared" si="16"/>
        <v>0.1095</v>
      </c>
      <c r="BA13" s="68">
        <f t="shared" si="16"/>
        <v>0.17325000000000002</v>
      </c>
      <c r="BB13" s="68">
        <f t="shared" si="16"/>
        <v>0.16429166666666667</v>
      </c>
      <c r="BC13" s="68">
        <f t="shared" si="26"/>
        <v>0.15091666666666667</v>
      </c>
      <c r="BD13" s="68">
        <f t="shared" si="26"/>
        <v>0.14558333333333331</v>
      </c>
      <c r="BE13" s="68">
        <f t="shared" ref="BE13:BE22" si="32">IF(OR(W13="",W13="Sem monitoramento"),"VAZIO",IFERROR(W13/($AJ13*24),"-"))</f>
        <v>0.13616666666666666</v>
      </c>
      <c r="BF13" s="68">
        <f t="shared" si="27"/>
        <v>9.8250000000000004E-2</v>
      </c>
      <c r="BG13" s="68">
        <f t="shared" si="27"/>
        <v>0.10508333333333333</v>
      </c>
      <c r="BH13" s="68">
        <f t="shared" si="27"/>
        <v>0.16716666666666666</v>
      </c>
      <c r="BI13" s="68">
        <f t="shared" si="30"/>
        <v>0.174625</v>
      </c>
      <c r="BJ13" s="68">
        <f t="shared" si="30"/>
        <v>0.128</v>
      </c>
      <c r="BK13" s="68">
        <f t="shared" si="28"/>
        <v>0.12358333333333334</v>
      </c>
      <c r="BL13" s="68">
        <f t="shared" si="11"/>
        <v>0.12508333333333332</v>
      </c>
      <c r="BM13" s="68">
        <f t="shared" si="12"/>
        <v>0.11595833333333334</v>
      </c>
      <c r="BN13" s="68">
        <f t="shared" si="13"/>
        <v>0.15008333333333332</v>
      </c>
      <c r="BO13" s="68">
        <f t="shared" si="29"/>
        <v>0.16400000000000001</v>
      </c>
      <c r="BP13" s="70">
        <f t="shared" si="5"/>
        <v>0.15476527777777782</v>
      </c>
      <c r="BQ13" s="198">
        <f>BQ19</f>
        <v>0.168125</v>
      </c>
      <c r="BR13" s="72">
        <f t="shared" ref="BR13:BR30" si="33">AJ13*BQ13</f>
        <v>16.8125</v>
      </c>
      <c r="BS13" s="73">
        <f t="shared" ref="BS13:BS30" si="34">AN13-BQ13</f>
        <v>-7.320833333333332E-2</v>
      </c>
      <c r="BT13" s="74">
        <f t="shared" si="8"/>
        <v>-1.3359722222222176E-2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09">
        <v>310.39999999999998</v>
      </c>
      <c r="E14" s="63">
        <v>413.6</v>
      </c>
      <c r="F14" s="63">
        <v>323.60000000000002</v>
      </c>
      <c r="G14" s="63">
        <v>424.5</v>
      </c>
      <c r="H14" s="63">
        <v>368.8</v>
      </c>
      <c r="I14" s="283">
        <v>623.6</v>
      </c>
      <c r="J14" s="283">
        <v>596.4</v>
      </c>
      <c r="K14" s="283">
        <v>596.4</v>
      </c>
      <c r="L14" s="63">
        <v>393.3</v>
      </c>
      <c r="M14" s="283">
        <v>245.2</v>
      </c>
      <c r="N14" s="63">
        <v>427.4</v>
      </c>
      <c r="O14" s="63">
        <v>354.1</v>
      </c>
      <c r="P14" s="63">
        <v>372.5</v>
      </c>
      <c r="Q14" s="283">
        <v>313.8</v>
      </c>
      <c r="R14" s="63">
        <v>325.89999999999998</v>
      </c>
      <c r="S14" s="63">
        <v>451.1</v>
      </c>
      <c r="T14" s="63">
        <v>405</v>
      </c>
      <c r="U14" s="63">
        <v>462.8</v>
      </c>
      <c r="V14" s="283">
        <v>443.1</v>
      </c>
      <c r="W14" s="283">
        <v>343.4</v>
      </c>
      <c r="X14" s="63">
        <v>258.5</v>
      </c>
      <c r="Y14" s="63">
        <v>263.3</v>
      </c>
      <c r="Z14" s="15">
        <v>444</v>
      </c>
      <c r="AA14" s="18">
        <v>449.4</v>
      </c>
      <c r="AB14" s="323">
        <f>122+344.6</f>
        <v>466.6</v>
      </c>
      <c r="AC14" s="221">
        <v>295.5</v>
      </c>
      <c r="AD14" s="15">
        <f>120+285</f>
        <v>405</v>
      </c>
      <c r="AE14" s="15">
        <v>368.5</v>
      </c>
      <c r="AF14" s="15">
        <v>359.4</v>
      </c>
      <c r="AG14" s="15">
        <v>451.9</v>
      </c>
      <c r="AH14" s="15">
        <v>487</v>
      </c>
      <c r="AI14" s="656">
        <f t="shared" si="9"/>
        <v>12444</v>
      </c>
      <c r="AJ14" s="118">
        <v>100</v>
      </c>
      <c r="AK14" s="121">
        <f t="shared" si="31"/>
        <v>7.4907407407407414E-3</v>
      </c>
      <c r="AL14" s="67">
        <f t="shared" si="22"/>
        <v>0.12933333333333333</v>
      </c>
      <c r="AM14" s="68">
        <f t="shared" si="18"/>
        <v>0.17233333333333334</v>
      </c>
      <c r="AN14" s="68">
        <f t="shared" si="19"/>
        <v>0.13483333333333333</v>
      </c>
      <c r="AO14" s="68">
        <f t="shared" si="20"/>
        <v>0.176875</v>
      </c>
      <c r="AP14" s="68">
        <f t="shared" si="21"/>
        <v>0.15366666666666667</v>
      </c>
      <c r="AQ14" s="68">
        <f t="shared" si="23"/>
        <v>0.25983333333333336</v>
      </c>
      <c r="AR14" s="68">
        <f t="shared" si="24"/>
        <v>0.2485</v>
      </c>
      <c r="AS14" s="68">
        <f t="shared" si="15"/>
        <v>0.2485</v>
      </c>
      <c r="AT14" s="68">
        <f t="shared" si="15"/>
        <v>0.16387499999999999</v>
      </c>
      <c r="AU14" s="68">
        <f t="shared" si="15"/>
        <v>0.10216666666666666</v>
      </c>
      <c r="AV14" s="68">
        <f t="shared" si="15"/>
        <v>0.17808333333333332</v>
      </c>
      <c r="AW14" s="68">
        <f t="shared" si="15"/>
        <v>0.14754166666666668</v>
      </c>
      <c r="AX14" s="68">
        <f t="shared" si="25"/>
        <v>0.15520833333333334</v>
      </c>
      <c r="AY14" s="68">
        <f t="shared" si="16"/>
        <v>0.13075000000000001</v>
      </c>
      <c r="AZ14" s="68">
        <f t="shared" si="16"/>
        <v>0.13579166666666664</v>
      </c>
      <c r="BA14" s="68">
        <f t="shared" si="16"/>
        <v>0.18795833333333334</v>
      </c>
      <c r="BB14" s="68">
        <f t="shared" si="16"/>
        <v>0.16875000000000001</v>
      </c>
      <c r="BC14" s="68">
        <f t="shared" si="26"/>
        <v>0.19283333333333333</v>
      </c>
      <c r="BD14" s="68">
        <f t="shared" si="26"/>
        <v>0.18462500000000001</v>
      </c>
      <c r="BE14" s="68">
        <f t="shared" si="32"/>
        <v>0.14308333333333331</v>
      </c>
      <c r="BF14" s="68">
        <f t="shared" si="27"/>
        <v>0.10770833333333334</v>
      </c>
      <c r="BG14" s="68">
        <f t="shared" si="27"/>
        <v>0.10970833333333334</v>
      </c>
      <c r="BH14" s="68">
        <f t="shared" si="27"/>
        <v>0.185</v>
      </c>
      <c r="BI14" s="68">
        <f t="shared" si="30"/>
        <v>0.18725</v>
      </c>
      <c r="BJ14" s="68">
        <f t="shared" si="30"/>
        <v>0.19441666666666668</v>
      </c>
      <c r="BK14" s="68">
        <f t="shared" si="28"/>
        <v>0.123125</v>
      </c>
      <c r="BL14" s="68">
        <f t="shared" si="11"/>
        <v>0.16875000000000001</v>
      </c>
      <c r="BM14" s="68">
        <f t="shared" si="12"/>
        <v>0.15354166666666666</v>
      </c>
      <c r="BN14" s="68">
        <f t="shared" si="13"/>
        <v>0.14974999999999999</v>
      </c>
      <c r="BO14" s="68">
        <f t="shared" si="29"/>
        <v>0.18829166666666666</v>
      </c>
      <c r="BP14" s="70">
        <f t="shared" si="5"/>
        <v>0.17283333333333334</v>
      </c>
      <c r="BQ14" s="198">
        <f>$BQ$19</f>
        <v>0.168125</v>
      </c>
      <c r="BR14" s="72">
        <f t="shared" si="33"/>
        <v>16.8125</v>
      </c>
      <c r="BS14" s="73">
        <f t="shared" si="34"/>
        <v>-3.3291666666666664E-2</v>
      </c>
      <c r="BT14" s="74">
        <f t="shared" si="8"/>
        <v>4.7083333333333421E-3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152.9</v>
      </c>
      <c r="E15" s="63">
        <v>114</v>
      </c>
      <c r="F15" s="63">
        <v>86.8</v>
      </c>
      <c r="G15" s="63">
        <v>119.1</v>
      </c>
      <c r="H15" s="63">
        <v>98.9</v>
      </c>
      <c r="I15" s="283">
        <v>172.4</v>
      </c>
      <c r="J15" s="283">
        <v>161.4</v>
      </c>
      <c r="K15" s="283">
        <v>156.30000000000001</v>
      </c>
      <c r="L15" s="63">
        <v>107.3</v>
      </c>
      <c r="M15" s="283">
        <v>65.400000000000006</v>
      </c>
      <c r="N15" s="63">
        <v>119.8</v>
      </c>
      <c r="O15" s="63">
        <v>94.4</v>
      </c>
      <c r="P15" s="63">
        <v>100.2</v>
      </c>
      <c r="Q15" s="283">
        <v>88.2</v>
      </c>
      <c r="R15" s="63">
        <v>89.8</v>
      </c>
      <c r="S15" s="63">
        <v>117.9</v>
      </c>
      <c r="T15" s="63">
        <v>120.8</v>
      </c>
      <c r="U15" s="63">
        <v>133.6</v>
      </c>
      <c r="V15" s="283">
        <v>126.5</v>
      </c>
      <c r="W15" s="283">
        <v>97.5</v>
      </c>
      <c r="X15" s="63">
        <v>68.400000000000006</v>
      </c>
      <c r="Y15" s="63">
        <v>72.2</v>
      </c>
      <c r="Z15" s="31">
        <v>129.19999999999999</v>
      </c>
      <c r="AA15" s="18">
        <v>123.4</v>
      </c>
      <c r="AB15" s="323">
        <v>94.4</v>
      </c>
      <c r="AC15" s="221">
        <v>83.4</v>
      </c>
      <c r="AD15" s="221">
        <v>79.099999999999994</v>
      </c>
      <c r="AE15" s="15">
        <v>103.1</v>
      </c>
      <c r="AF15" s="15">
        <v>96.3</v>
      </c>
      <c r="AG15" s="15">
        <v>129.9</v>
      </c>
      <c r="AH15" s="15">
        <v>145.80000000000001</v>
      </c>
      <c r="AI15" s="656">
        <f t="shared" si="9"/>
        <v>3448.4000000000005</v>
      </c>
      <c r="AJ15" s="118">
        <v>29</v>
      </c>
      <c r="AK15" s="121">
        <f t="shared" si="31"/>
        <v>6.928480204342273E-3</v>
      </c>
      <c r="AL15" s="67">
        <f t="shared" si="22"/>
        <v>0.21968390804597701</v>
      </c>
      <c r="AM15" s="68">
        <f t="shared" si="18"/>
        <v>0.16379310344827586</v>
      </c>
      <c r="AN15" s="68">
        <f t="shared" si="19"/>
        <v>0.12471264367816091</v>
      </c>
      <c r="AO15" s="68">
        <f t="shared" si="20"/>
        <v>0.17112068965517241</v>
      </c>
      <c r="AP15" s="68">
        <f t="shared" si="21"/>
        <v>0.1420977011494253</v>
      </c>
      <c r="AQ15" s="68">
        <f t="shared" si="23"/>
        <v>0.24770114942528737</v>
      </c>
      <c r="AR15" s="68">
        <f t="shared" si="24"/>
        <v>0.23189655172413795</v>
      </c>
      <c r="AS15" s="68">
        <f t="shared" si="15"/>
        <v>0.2245689655172414</v>
      </c>
      <c r="AT15" s="68">
        <f t="shared" si="15"/>
        <v>0.15416666666666667</v>
      </c>
      <c r="AU15" s="68">
        <f t="shared" si="15"/>
        <v>9.3965517241379318E-2</v>
      </c>
      <c r="AV15" s="68">
        <f t="shared" si="15"/>
        <v>0.17212643678160919</v>
      </c>
      <c r="AW15" s="68">
        <f t="shared" si="15"/>
        <v>0.13563218390804599</v>
      </c>
      <c r="AX15" s="68">
        <f t="shared" si="25"/>
        <v>0.14396551724137932</v>
      </c>
      <c r="AY15" s="68">
        <f t="shared" si="16"/>
        <v>0.12672413793103449</v>
      </c>
      <c r="AZ15" s="68">
        <f t="shared" si="16"/>
        <v>0.12902298850574712</v>
      </c>
      <c r="BA15" s="68">
        <f t="shared" si="16"/>
        <v>0.16939655172413795</v>
      </c>
      <c r="BB15" s="68">
        <f t="shared" si="16"/>
        <v>0.1735632183908046</v>
      </c>
      <c r="BC15" s="68">
        <f t="shared" si="26"/>
        <v>0.19195402298850575</v>
      </c>
      <c r="BD15" s="68">
        <f t="shared" si="26"/>
        <v>0.1817528735632184</v>
      </c>
      <c r="BE15" s="68">
        <f t="shared" si="32"/>
        <v>0.14008620689655171</v>
      </c>
      <c r="BF15" s="68">
        <f>IF(OR(X15="",X15="Sem monitoramento"),"VAZIO",IFERROR(X15/($AJ15*24),"-"))</f>
        <v>9.8275862068965519E-2</v>
      </c>
      <c r="BG15" s="68">
        <f>IF(OR(Y16="",Y16="Sem monitoramento"),"VAZIO",IFERROR(Y16/($AJ15*24),"-"))</f>
        <v>0.45603448275862063</v>
      </c>
      <c r="BH15" s="68">
        <f>IF(OR(Z16="",Z16="Sem monitoramento"),"VAZIO",IFERROR(Z16/($AJ15*24),"-"))</f>
        <v>0.62313218390804592</v>
      </c>
      <c r="BI15" s="68">
        <f t="shared" si="30"/>
        <v>0.17729885057471265</v>
      </c>
      <c r="BJ15" s="68">
        <f t="shared" si="30"/>
        <v>0.13563218390804599</v>
      </c>
      <c r="BK15" s="68">
        <f t="shared" si="28"/>
        <v>0.11982758620689656</v>
      </c>
      <c r="BL15" s="68">
        <f t="shared" si="11"/>
        <v>0.11364942528735632</v>
      </c>
      <c r="BM15" s="68">
        <f t="shared" si="12"/>
        <v>0.14813218390804597</v>
      </c>
      <c r="BN15" s="68">
        <f t="shared" si="13"/>
        <v>0.13836206896551723</v>
      </c>
      <c r="BO15" s="68">
        <f t="shared" si="29"/>
        <v>0.18663793103448276</v>
      </c>
      <c r="BP15" s="70">
        <f t="shared" si="5"/>
        <v>0.16515325670498088</v>
      </c>
      <c r="BQ15" s="180">
        <f>'FCs estimados em PVsyst'!Y13</f>
        <v>0.1850095785440613</v>
      </c>
      <c r="BR15" s="72">
        <f t="shared" si="33"/>
        <v>5.365277777777778</v>
      </c>
      <c r="BS15" s="73">
        <f t="shared" si="34"/>
        <v>-6.029693486590039E-2</v>
      </c>
      <c r="BT15" s="74">
        <f t="shared" si="8"/>
        <v>-1.9856321839080426E-2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509.5</v>
      </c>
      <c r="E16" s="283">
        <v>389.8</v>
      </c>
      <c r="F16" s="283">
        <v>306.10000000000002</v>
      </c>
      <c r="G16" s="283">
        <v>305</v>
      </c>
      <c r="H16" s="63">
        <v>277.7</v>
      </c>
      <c r="I16" s="63">
        <v>609.29999999999995</v>
      </c>
      <c r="J16" s="63">
        <v>582.20000000000005</v>
      </c>
      <c r="K16" s="63">
        <v>543.5</v>
      </c>
      <c r="L16" s="63">
        <v>392.3</v>
      </c>
      <c r="M16" s="63">
        <v>257.7</v>
      </c>
      <c r="N16" s="63">
        <v>386.2</v>
      </c>
      <c r="O16" s="63">
        <v>341.9</v>
      </c>
      <c r="P16" s="283">
        <v>314.2</v>
      </c>
      <c r="Q16" s="283">
        <v>266.10000000000002</v>
      </c>
      <c r="R16" s="283">
        <v>263.60000000000002</v>
      </c>
      <c r="S16" s="283">
        <v>390.4</v>
      </c>
      <c r="T16" s="141">
        <v>409.5</v>
      </c>
      <c r="U16" s="283">
        <v>419.9</v>
      </c>
      <c r="V16" s="283">
        <v>396.1</v>
      </c>
      <c r="W16" s="283">
        <v>284.39999999999998</v>
      </c>
      <c r="X16" s="63">
        <v>201.5</v>
      </c>
      <c r="Y16" s="63">
        <v>317.39999999999998</v>
      </c>
      <c r="Z16" s="15">
        <v>433.7</v>
      </c>
      <c r="AA16" s="61">
        <v>375.5</v>
      </c>
      <c r="AB16" s="323">
        <v>383.2</v>
      </c>
      <c r="AC16" s="15">
        <v>243.9</v>
      </c>
      <c r="AD16" s="15">
        <v>285.7</v>
      </c>
      <c r="AE16" s="15">
        <v>356.9</v>
      </c>
      <c r="AF16" s="15">
        <v>334.7</v>
      </c>
      <c r="AG16" s="15">
        <v>377.5</v>
      </c>
      <c r="AH16" s="15">
        <v>408.2</v>
      </c>
      <c r="AI16" s="656">
        <f t="shared" si="9"/>
        <v>11363.600000000002</v>
      </c>
      <c r="AJ16" s="118">
        <v>100</v>
      </c>
      <c r="AK16" s="121">
        <f t="shared" si="31"/>
        <v>7.0856481481481491E-3</v>
      </c>
      <c r="AL16" s="67">
        <f t="shared" si="22"/>
        <v>0.21229166666666666</v>
      </c>
      <c r="AM16" s="68">
        <f t="shared" si="18"/>
        <v>0.16241666666666668</v>
      </c>
      <c r="AN16" s="68">
        <f t="shared" si="19"/>
        <v>0.12754166666666666</v>
      </c>
      <c r="AO16" s="68">
        <f t="shared" si="20"/>
        <v>0.12708333333333333</v>
      </c>
      <c r="AP16" s="68">
        <f t="shared" si="21"/>
        <v>0.11570833333333333</v>
      </c>
      <c r="AQ16" s="68">
        <f t="shared" si="23"/>
        <v>0.25387499999999996</v>
      </c>
      <c r="AR16" s="68">
        <f t="shared" si="24"/>
        <v>0.24258333333333335</v>
      </c>
      <c r="AS16" s="68">
        <f t="shared" si="15"/>
        <v>0.22645833333333334</v>
      </c>
      <c r="AT16" s="68">
        <f t="shared" si="15"/>
        <v>0.16345833333333334</v>
      </c>
      <c r="AU16" s="68">
        <f t="shared" si="15"/>
        <v>0.107375</v>
      </c>
      <c r="AV16" s="68">
        <f t="shared" si="15"/>
        <v>0.16091666666666665</v>
      </c>
      <c r="AW16" s="68">
        <f t="shared" si="15"/>
        <v>0.14245833333333333</v>
      </c>
      <c r="AX16" s="68">
        <f t="shared" si="25"/>
        <v>0.13091666666666665</v>
      </c>
      <c r="AY16" s="68">
        <f t="shared" ref="AY16:BA17" si="35">IF(OR(Q16="",Q16="Sem monitoramento"),"VAZIO",IFERROR(Q16/($AJ16*24),"-"))</f>
        <v>0.11087500000000002</v>
      </c>
      <c r="AZ16" s="68">
        <f t="shared" si="35"/>
        <v>0.10983333333333334</v>
      </c>
      <c r="BA16" s="68">
        <f t="shared" si="35"/>
        <v>0.16266666666666665</v>
      </c>
      <c r="BB16" s="68">
        <f>IF(OR(T14="",T14="Sem monitoramento"),"VAZIO",IFERROR(T14/($AJ16*24),"-"))</f>
        <v>0.16875000000000001</v>
      </c>
      <c r="BC16" s="68">
        <f t="shared" si="26"/>
        <v>0.17495833333333333</v>
      </c>
      <c r="BD16" s="68">
        <f t="shared" si="26"/>
        <v>0.16504166666666667</v>
      </c>
      <c r="BE16" s="68">
        <f t="shared" si="32"/>
        <v>0.11849999999999999</v>
      </c>
      <c r="BF16" s="68">
        <f>IF(OR(X16="",X16="Sem monitoramento"),"VAZIO",IFERROR(X16/($AJ16*24),"-"))</f>
        <v>8.3958333333333329E-2</v>
      </c>
      <c r="BG16" s="68" t="e">
        <f>IF(OR(#REF!="",#REF!="Sem monitoramento"),"VAZIO",IFERROR(#REF!/($AJ16*24),"-"))</f>
        <v>#REF!</v>
      </c>
      <c r="BH16" s="68" t="e">
        <f>IF(OR(#REF!="",#REF!="Sem monitoramento"),"VAZIO",IFERROR(#REF!/($AJ16*24),"-"))</f>
        <v>#REF!</v>
      </c>
      <c r="BI16" s="68">
        <f t="shared" si="30"/>
        <v>0.15645833333333334</v>
      </c>
      <c r="BJ16" s="68">
        <f t="shared" si="30"/>
        <v>0.15966666666666665</v>
      </c>
      <c r="BK16" s="68">
        <f t="shared" si="28"/>
        <v>0.10162500000000001</v>
      </c>
      <c r="BL16" s="68">
        <f t="shared" si="11"/>
        <v>0.11904166666666666</v>
      </c>
      <c r="BM16" s="68">
        <f t="shared" si="12"/>
        <v>0.14870833333333333</v>
      </c>
      <c r="BN16" s="68">
        <f t="shared" si="13"/>
        <v>0.13945833333333332</v>
      </c>
      <c r="BO16" s="68">
        <f t="shared" si="29"/>
        <v>0.15729166666666666</v>
      </c>
      <c r="BP16" s="70">
        <f t="shared" si="5"/>
        <v>0.15782777777777782</v>
      </c>
      <c r="BQ16" s="180">
        <f>'FCs estimados em PVsyst'!Y14</f>
        <v>0.16425000000000001</v>
      </c>
      <c r="BR16" s="72">
        <f t="shared" si="33"/>
        <v>16.425000000000001</v>
      </c>
      <c r="BS16" s="73">
        <f t="shared" si="34"/>
        <v>-3.6708333333333343E-2</v>
      </c>
      <c r="BT16" s="74">
        <f t="shared" si="8"/>
        <v>-6.4222222222221903E-3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513.5</v>
      </c>
      <c r="E17" s="63">
        <v>440</v>
      </c>
      <c r="F17" s="308">
        <v>349.7</v>
      </c>
      <c r="G17" s="283">
        <v>447.6</v>
      </c>
      <c r="H17" s="283">
        <v>342.2</v>
      </c>
      <c r="I17" s="82">
        <v>597.29999999999995</v>
      </c>
      <c r="J17" s="82">
        <v>582.29999999999995</v>
      </c>
      <c r="K17" s="63">
        <v>569.4</v>
      </c>
      <c r="L17" s="63">
        <v>481.5</v>
      </c>
      <c r="M17" s="63">
        <v>185.2</v>
      </c>
      <c r="N17" s="475">
        <v>0</v>
      </c>
      <c r="O17" s="282">
        <v>1.4</v>
      </c>
      <c r="P17" s="283">
        <v>412.6</v>
      </c>
      <c r="Q17" s="283">
        <v>338.2</v>
      </c>
      <c r="R17" s="63">
        <v>152.80000000000001</v>
      </c>
      <c r="S17" s="283">
        <v>399.1</v>
      </c>
      <c r="T17" s="63">
        <v>356.4</v>
      </c>
      <c r="U17" s="63">
        <v>493.9</v>
      </c>
      <c r="V17" s="63">
        <v>502.1</v>
      </c>
      <c r="W17" s="283">
        <v>404.2</v>
      </c>
      <c r="X17" s="63">
        <v>313.10000000000002</v>
      </c>
      <c r="Y17" s="519">
        <v>242.7</v>
      </c>
      <c r="Z17" s="15">
        <v>364.5</v>
      </c>
      <c r="AA17" s="18">
        <v>439.6</v>
      </c>
      <c r="AB17" s="20">
        <v>440.6</v>
      </c>
      <c r="AC17" s="221">
        <v>277.2</v>
      </c>
      <c r="AD17" s="221">
        <v>323.2</v>
      </c>
      <c r="AE17" s="15">
        <v>341.3</v>
      </c>
      <c r="AF17" s="15">
        <v>330.1</v>
      </c>
      <c r="AG17" s="15">
        <v>439.9</v>
      </c>
      <c r="AH17" s="15">
        <v>532.9</v>
      </c>
      <c r="AI17" s="656">
        <f t="shared" si="9"/>
        <v>11614.500000000002</v>
      </c>
      <c r="AJ17" s="118">
        <v>100</v>
      </c>
      <c r="AK17" s="122">
        <f t="shared" si="31"/>
        <v>8.0949074074074066E-3</v>
      </c>
      <c r="AL17" s="67">
        <f t="shared" si="22"/>
        <v>0.21395833333333333</v>
      </c>
      <c r="AM17" s="68">
        <f t="shared" si="18"/>
        <v>0.18333333333333332</v>
      </c>
      <c r="AN17" s="68">
        <f t="shared" si="19"/>
        <v>0.14570833333333333</v>
      </c>
      <c r="AO17" s="68">
        <f t="shared" si="20"/>
        <v>0.1865</v>
      </c>
      <c r="AP17" s="68">
        <f t="shared" si="21"/>
        <v>0.14258333333333334</v>
      </c>
      <c r="AQ17" s="68">
        <f t="shared" si="23"/>
        <v>0.24887499999999999</v>
      </c>
      <c r="AR17" s="68">
        <f t="shared" si="24"/>
        <v>0.24262499999999998</v>
      </c>
      <c r="AS17" s="68" t="e">
        <f>IF(OR(#REF!="",#REF!="Sem monitoramento"),"VAZIO",IFERROR(#REF!/($AJ17*24),"-"))</f>
        <v>#REF!</v>
      </c>
      <c r="AT17" s="68">
        <f>IF(OR(L17="",L17="Sem monitoramento"),"VAZIO",IFERROR(L17/($AJ17*24),"-"))</f>
        <v>0.200625</v>
      </c>
      <c r="AU17" s="68">
        <f>IF(OR(M17="",M17="Sem monitoramento"),"VAZIO",IFERROR(M17/($AJ17*24),"-"))</f>
        <v>7.7166666666666661E-2</v>
      </c>
      <c r="AV17" s="68">
        <f>IF(OR(N18="",N18="Sem monitoramento"),"VAZIO",IFERROR(N18/($AJ17*24),"-"))</f>
        <v>0</v>
      </c>
      <c r="AW17" s="68">
        <f t="shared" ref="AW17:AW22" si="36">IF(OR(O17="",O17="Sem monitoramento"),"VAZIO",IFERROR(O17/($AJ17*24),"-"))</f>
        <v>5.8333333333333327E-4</v>
      </c>
      <c r="AX17" s="68">
        <f t="shared" si="25"/>
        <v>0.17191666666666669</v>
      </c>
      <c r="AY17" s="68">
        <f t="shared" si="35"/>
        <v>0.14091666666666666</v>
      </c>
      <c r="AZ17" s="68">
        <f t="shared" si="35"/>
        <v>6.3666666666666677E-2</v>
      </c>
      <c r="BA17" s="68">
        <f t="shared" si="35"/>
        <v>0.16629166666666667</v>
      </c>
      <c r="BB17" s="68">
        <f t="shared" ref="BB17:BB24" si="37">IF(OR(T17="",T17="Sem monitoramento"),"VAZIO",IFERROR(T17/($AJ17*24),"-"))</f>
        <v>0.14849999999999999</v>
      </c>
      <c r="BC17" s="68">
        <f t="shared" si="26"/>
        <v>0.20579166666666665</v>
      </c>
      <c r="BD17" s="68">
        <f t="shared" si="26"/>
        <v>0.20920833333333333</v>
      </c>
      <c r="BE17" s="68">
        <f t="shared" si="32"/>
        <v>0.16841666666666666</v>
      </c>
      <c r="BF17" s="68">
        <f>IF(OR(X17="",X17="Sem monitoramento"),"VAZIO",IFERROR(X17/($AJ17*24),"-"))</f>
        <v>0.13045833333333334</v>
      </c>
      <c r="BG17" s="68" t="e">
        <f>IF(OR(#REF!="",#REF!="Sem monitoramento"),"VAZIO",IFERROR(#REF!/($AJ17*24),"-"))</f>
        <v>#REF!</v>
      </c>
      <c r="BH17" s="68">
        <f t="shared" ref="BH17:BI24" si="38">IF(OR(Z17="",Z17="Sem monitoramento"),"VAZIO",IFERROR(Z17/($AJ17*24),"-"))</f>
        <v>0.15187500000000001</v>
      </c>
      <c r="BI17" s="68">
        <f t="shared" si="38"/>
        <v>0.18316666666666667</v>
      </c>
      <c r="BJ17" s="68" t="e">
        <f>IF(OR(#REF!="",#REF!="Sem monitoramento"),"VAZIO",IFERROR(#REF!/($AJ17*24),"-"))</f>
        <v>#REF!</v>
      </c>
      <c r="BK17" s="68">
        <f t="shared" si="28"/>
        <v>0.11549999999999999</v>
      </c>
      <c r="BL17" s="68">
        <f t="shared" si="11"/>
        <v>0.13466666666666666</v>
      </c>
      <c r="BM17" s="68">
        <f t="shared" si="12"/>
        <v>0.14220833333333333</v>
      </c>
      <c r="BN17" s="68">
        <f t="shared" si="13"/>
        <v>0.13754166666666667</v>
      </c>
      <c r="BO17" s="68">
        <f t="shared" si="29"/>
        <v>0.18329166666666666</v>
      </c>
      <c r="BP17" s="70">
        <f t="shared" si="5"/>
        <v>0.16131250000000003</v>
      </c>
      <c r="BQ17" s="198">
        <f>$BQ$19</f>
        <v>0.168125</v>
      </c>
      <c r="BR17" s="90">
        <f t="shared" si="33"/>
        <v>16.8125</v>
      </c>
      <c r="BS17" s="73">
        <f t="shared" si="34"/>
        <v>-2.2416666666666668E-2</v>
      </c>
      <c r="BT17" s="74">
        <f t="shared" si="8"/>
        <v>-6.8124999999999714E-3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551.6</v>
      </c>
      <c r="E18" s="63">
        <v>461.4</v>
      </c>
      <c r="F18" s="308">
        <v>362.8</v>
      </c>
      <c r="G18" s="283">
        <v>468.6</v>
      </c>
      <c r="H18" s="63">
        <v>365.4</v>
      </c>
      <c r="I18" s="63">
        <v>628.5</v>
      </c>
      <c r="J18" s="63">
        <v>607.4</v>
      </c>
      <c r="K18" s="63">
        <v>590.6</v>
      </c>
      <c r="L18" s="63">
        <v>501</v>
      </c>
      <c r="M18" s="316">
        <v>195.6</v>
      </c>
      <c r="N18" s="282">
        <v>0</v>
      </c>
      <c r="O18" s="282">
        <v>2.2000000000000002</v>
      </c>
      <c r="P18" s="63">
        <v>420</v>
      </c>
      <c r="Q18" s="519">
        <v>345.9</v>
      </c>
      <c r="R18" s="63">
        <v>161.80000000000001</v>
      </c>
      <c r="S18" s="283">
        <v>411</v>
      </c>
      <c r="T18" s="63">
        <v>359.8</v>
      </c>
      <c r="U18" s="283">
        <v>524.4</v>
      </c>
      <c r="V18" s="283">
        <v>522.4</v>
      </c>
      <c r="W18" s="283">
        <v>413.7</v>
      </c>
      <c r="X18" s="283">
        <v>327.39999999999998</v>
      </c>
      <c r="Y18" s="283">
        <v>253.6</v>
      </c>
      <c r="Z18" s="221">
        <v>374</v>
      </c>
      <c r="AA18" s="18">
        <v>452.9</v>
      </c>
      <c r="AB18" s="628">
        <v>454.3</v>
      </c>
      <c r="AC18" s="221">
        <v>290.5</v>
      </c>
      <c r="AD18" s="221">
        <v>340.1</v>
      </c>
      <c r="AE18" s="15">
        <v>361.1</v>
      </c>
      <c r="AF18" s="15">
        <v>349.2</v>
      </c>
      <c r="AG18" s="15">
        <v>460.2</v>
      </c>
      <c r="AH18" s="15">
        <v>544.20000000000005</v>
      </c>
      <c r="AI18" s="656">
        <f t="shared" si="9"/>
        <v>12101.600000000002</v>
      </c>
      <c r="AJ18" s="118">
        <v>100</v>
      </c>
      <c r="AK18" s="122">
        <f t="shared" si="31"/>
        <v>8.3981481481481476E-3</v>
      </c>
      <c r="AL18" s="67">
        <f t="shared" si="22"/>
        <v>0.22983333333333333</v>
      </c>
      <c r="AM18" s="68">
        <f t="shared" si="18"/>
        <v>0.19225</v>
      </c>
      <c r="AN18" s="68">
        <f t="shared" si="19"/>
        <v>0.15116666666666667</v>
      </c>
      <c r="AO18" s="68">
        <f t="shared" si="20"/>
        <v>0.19525000000000001</v>
      </c>
      <c r="AP18" s="68">
        <f t="shared" si="21"/>
        <v>0.15225</v>
      </c>
      <c r="AQ18" s="68">
        <f t="shared" si="23"/>
        <v>0.26187500000000002</v>
      </c>
      <c r="AR18" s="68">
        <f t="shared" si="24"/>
        <v>0.25308333333333333</v>
      </c>
      <c r="AS18" s="68">
        <f>IF(OR(K18="",K18="Sem monitoramento"),"VAZIO",IFERROR(K18/($AJ18*24),"-"))</f>
        <v>0.24608333333333335</v>
      </c>
      <c r="AT18" s="68">
        <f>IF(OR(L18="",L18="Sem monitoramento"),"VAZIO",IFERROR(L18/($AJ18*24),"-"))</f>
        <v>0.20874999999999999</v>
      </c>
      <c r="AU18" s="68">
        <f>IF(OR(M19="",M19="Sem monitoramento"),"VAZIO",IFERROR(M19/($AJ18*24),"-"))</f>
        <v>8.5833333333333334E-3</v>
      </c>
      <c r="AV18" s="68" t="e">
        <f>IF(OR(#REF!="",#REF!="Sem monitoramento"),"VAZIO",IFERROR(#REF!/($AJ18*24),"-"))</f>
        <v>#REF!</v>
      </c>
      <c r="AW18" s="68">
        <f t="shared" si="36"/>
        <v>9.1666666666666676E-4</v>
      </c>
      <c r="AX18" s="68">
        <f t="shared" si="25"/>
        <v>0.17499999999999999</v>
      </c>
      <c r="AY18" s="68">
        <f>IF(OR(Q19="",Q19="Sem monitoramento"),"VAZIO",IFERROR(Q19/($AJ18*24),"-"))</f>
        <v>0.11295833333333334</v>
      </c>
      <c r="AZ18" s="68" t="e">
        <f>IF(OR(#REF!="",#REF!="Sem monitoramento"),"VAZIO",IFERROR(#REF!/($AJ18*24),"-"))</f>
        <v>#REF!</v>
      </c>
      <c r="BA18" s="68">
        <f>IF(OR(S18="",S18="Sem monitoramento"),"VAZIO",IFERROR(S18/($AJ18*24),"-"))</f>
        <v>0.17125000000000001</v>
      </c>
      <c r="BB18" s="68">
        <f t="shared" si="37"/>
        <v>0.14991666666666667</v>
      </c>
      <c r="BC18" s="68">
        <f t="shared" si="26"/>
        <v>0.2185</v>
      </c>
      <c r="BD18" s="68">
        <f t="shared" si="26"/>
        <v>0.21766666666666665</v>
      </c>
      <c r="BE18" s="68">
        <f t="shared" si="32"/>
        <v>0.172375</v>
      </c>
      <c r="BF18" s="68">
        <f>IF(OR(X18="",X18="Sem monitoramento"),"VAZIO",IFERROR(X18/($AJ18*24),"-"))</f>
        <v>0.13641666666666666</v>
      </c>
      <c r="BG18" s="68">
        <f>IF(OR(Y18="",Y18="Sem monitoramento"),"VAZIO",IFERROR(Y18/($AJ18*24),"-"))</f>
        <v>0.10566666666666666</v>
      </c>
      <c r="BH18" s="68">
        <f t="shared" si="38"/>
        <v>0.15583333333333332</v>
      </c>
      <c r="BI18" s="68">
        <f t="shared" si="38"/>
        <v>0.18870833333333331</v>
      </c>
      <c r="BJ18" s="68">
        <f>IF(OR(AB17="",AB17="Sem monitoramento"),"VAZIO",IFERROR(AB17/($AJ18*24),"-"))</f>
        <v>0.18358333333333335</v>
      </c>
      <c r="BK18" s="68">
        <f t="shared" si="28"/>
        <v>0.12104166666666667</v>
      </c>
      <c r="BL18" s="68">
        <f t="shared" si="11"/>
        <v>0.14170833333333335</v>
      </c>
      <c r="BM18" s="68">
        <f t="shared" si="12"/>
        <v>0.15045833333333333</v>
      </c>
      <c r="BN18" s="68">
        <f t="shared" si="13"/>
        <v>0.14549999999999999</v>
      </c>
      <c r="BO18" s="68">
        <f t="shared" si="29"/>
        <v>0.19175</v>
      </c>
      <c r="BP18" s="70">
        <f t="shared" si="5"/>
        <v>0.1680777777777778</v>
      </c>
      <c r="BQ18" s="198">
        <f>$BQ$19</f>
        <v>0.168125</v>
      </c>
      <c r="BR18" s="90">
        <f t="shared" si="33"/>
        <v>16.8125</v>
      </c>
      <c r="BS18" s="73">
        <f t="shared" si="34"/>
        <v>-1.6958333333333325E-2</v>
      </c>
      <c r="BT18" s="74">
        <f t="shared" si="8"/>
        <v>-4.7222222222198518E-5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446.9</v>
      </c>
      <c r="E19" s="63">
        <v>383.5</v>
      </c>
      <c r="F19" s="63">
        <v>119</v>
      </c>
      <c r="G19" s="283">
        <v>368.1</v>
      </c>
      <c r="H19" s="283">
        <v>291.3</v>
      </c>
      <c r="I19" s="63">
        <v>490.6</v>
      </c>
      <c r="J19" s="283">
        <v>506.5</v>
      </c>
      <c r="K19" s="63">
        <v>489.2</v>
      </c>
      <c r="L19" s="63">
        <v>410</v>
      </c>
      <c r="M19" s="282">
        <v>20.6</v>
      </c>
      <c r="N19" s="282">
        <v>0</v>
      </c>
      <c r="O19" s="282">
        <v>0</v>
      </c>
      <c r="P19" s="282">
        <v>73.8</v>
      </c>
      <c r="Q19" s="283">
        <v>271.10000000000002</v>
      </c>
      <c r="R19" s="63">
        <v>260.7</v>
      </c>
      <c r="S19" s="63">
        <v>338.7</v>
      </c>
      <c r="T19" s="63">
        <v>314.60000000000002</v>
      </c>
      <c r="U19" s="63">
        <v>400</v>
      </c>
      <c r="V19" s="283">
        <v>407.2</v>
      </c>
      <c r="W19" s="355">
        <v>355</v>
      </c>
      <c r="X19" s="316">
        <v>286</v>
      </c>
      <c r="Y19" s="316">
        <v>201</v>
      </c>
      <c r="Z19" s="63">
        <v>310</v>
      </c>
      <c r="AA19" s="18">
        <v>375</v>
      </c>
      <c r="AB19" s="323">
        <v>310</v>
      </c>
      <c r="AC19" s="15">
        <v>210</v>
      </c>
      <c r="AD19" s="283">
        <v>220</v>
      </c>
      <c r="AE19" s="221">
        <v>225</v>
      </c>
      <c r="AF19" s="15">
        <v>270.39999999999998</v>
      </c>
      <c r="AG19" s="15">
        <v>316.3</v>
      </c>
      <c r="AH19" s="15">
        <v>467</v>
      </c>
      <c r="AI19" s="656">
        <f t="shared" si="9"/>
        <v>9137.5</v>
      </c>
      <c r="AJ19" s="118">
        <v>80</v>
      </c>
      <c r="AK19" s="121">
        <f t="shared" si="31"/>
        <v>3.4432870370370372E-3</v>
      </c>
      <c r="AL19" s="67">
        <f t="shared" si="22"/>
        <v>0.23276041666666666</v>
      </c>
      <c r="AM19" s="68">
        <f t="shared" si="18"/>
        <v>0.19973958333333333</v>
      </c>
      <c r="AN19" s="68">
        <f t="shared" si="19"/>
        <v>6.1979166666666669E-2</v>
      </c>
      <c r="AO19" s="68">
        <f t="shared" si="20"/>
        <v>0.19171875000000002</v>
      </c>
      <c r="AP19" s="68">
        <f t="shared" si="21"/>
        <v>0.15171875000000001</v>
      </c>
      <c r="AQ19" s="68">
        <f t="shared" si="23"/>
        <v>0.25552083333333336</v>
      </c>
      <c r="AR19" s="68">
        <f t="shared" si="24"/>
        <v>0.26380208333333333</v>
      </c>
      <c r="AS19" s="68">
        <f>IF(OR(K19="",K19="Sem monitoramento"),"VAZIO",IFERROR(K19/($AJ19*24),"-"))</f>
        <v>0.25479166666666664</v>
      </c>
      <c r="AT19" s="68">
        <f>IF(OR(L21="",L21="Sem monitoramento"),"VAZIO",IFERROR(L21/($AJ19*24),"-"))</f>
        <v>0.20473958333333334</v>
      </c>
      <c r="AU19" s="68" t="e">
        <f>IF(OR(#REF!="",#REF!="Sem monitoramento"),"VAZIO",IFERROR(#REF!/($AJ19*24),"-"))</f>
        <v>#REF!</v>
      </c>
      <c r="AV19" s="68">
        <f>IF(OR(N19="",N19="Sem monitoramento"),"VAZIO",IFERROR(N19/($AJ19*24),"-"))</f>
        <v>0</v>
      </c>
      <c r="AW19" s="68">
        <f t="shared" si="36"/>
        <v>0</v>
      </c>
      <c r="AX19" s="68">
        <f t="shared" si="25"/>
        <v>3.8437499999999999E-2</v>
      </c>
      <c r="AY19" s="68" t="e">
        <f>IF(OR(#REF!="",#REF!="Sem monitoramento"),"VAZIO",IFERROR(#REF!/($AJ19*24),"-"))</f>
        <v>#REF!</v>
      </c>
      <c r="AZ19" s="68">
        <f>IF(OR(R19="",R19="Sem monitoramento"),"VAZIO",IFERROR(R19/($AJ19*24),"-"))</f>
        <v>0.13578124999999999</v>
      </c>
      <c r="BA19" s="68">
        <f>IF(OR(S19="",S19="Sem monitoramento"),"VAZIO",IFERROR(S19/($AJ19*24),"-"))</f>
        <v>0.17640624999999999</v>
      </c>
      <c r="BB19" s="68">
        <f t="shared" si="37"/>
        <v>0.16385416666666669</v>
      </c>
      <c r="BC19" s="68">
        <f t="shared" ref="BC19:BC31" si="39">IF(OR(U19="",U19="Sem monitoramento"),"VAZIO",IFERROR(U19/($AJ19*24),"-"))</f>
        <v>0.20833333333333334</v>
      </c>
      <c r="BD19" s="68" t="e">
        <f>IF(OR(#REF!="",#REF!="Sem monitoramento"),"VAZIO",IFERROR(#REF!/($AJ19*24),"-"))</f>
        <v>#REF!</v>
      </c>
      <c r="BE19" s="68">
        <f t="shared" si="32"/>
        <v>0.18489583333333334</v>
      </c>
      <c r="BF19" s="68">
        <f>IF(OR(X21="",X21="Sem monitoramento"),"VAZIO",IFERROR(X21/($AJ19*24),"-"))</f>
        <v>0.14270833333333333</v>
      </c>
      <c r="BG19" s="68" t="e">
        <f>IF(OR(#REF!="",#REF!="Sem monitoramento"),"VAZIO",IFERROR(#REF!/($AJ19*24),"-"))</f>
        <v>#REF!</v>
      </c>
      <c r="BH19" s="68">
        <f t="shared" si="38"/>
        <v>0.16145833333333334</v>
      </c>
      <c r="BI19" s="68">
        <f t="shared" si="38"/>
        <v>0.1953125</v>
      </c>
      <c r="BJ19" s="68">
        <f>IF(OR(AB19="",AB19="Sem monitoramento"),"VAZIO",IFERROR(AB19/($AJ19*24),"-"))</f>
        <v>0.16145833333333334</v>
      </c>
      <c r="BK19" s="68">
        <f t="shared" si="28"/>
        <v>0.109375</v>
      </c>
      <c r="BL19" s="68">
        <f t="shared" si="11"/>
        <v>0.11458333333333333</v>
      </c>
      <c r="BM19" s="68">
        <f t="shared" si="12"/>
        <v>0.1171875</v>
      </c>
      <c r="BN19" s="68">
        <f t="shared" si="13"/>
        <v>0.14083333333333331</v>
      </c>
      <c r="BO19" s="68">
        <f t="shared" si="29"/>
        <v>0.16473958333333333</v>
      </c>
      <c r="BP19" s="70">
        <f t="shared" si="5"/>
        <v>0.15863715277777779</v>
      </c>
      <c r="BQ19" s="180">
        <f>'FCs estimados em PVsyst'!Y17</f>
        <v>0.168125</v>
      </c>
      <c r="BR19" s="72">
        <f t="shared" si="33"/>
        <v>13.45</v>
      </c>
      <c r="BS19" s="73">
        <f t="shared" si="34"/>
        <v>-0.10614583333333333</v>
      </c>
      <c r="BT19" s="74">
        <f t="shared" si="8"/>
        <v>-9.4878472222222066E-3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223">
        <v>515.4</v>
      </c>
      <c r="E20" s="63">
        <v>464</v>
      </c>
      <c r="F20" s="63">
        <v>135.69999999999999</v>
      </c>
      <c r="G20" s="63">
        <v>456.4</v>
      </c>
      <c r="H20" s="283">
        <v>355.5</v>
      </c>
      <c r="I20" s="63">
        <v>568</v>
      </c>
      <c r="J20" s="283">
        <v>608.9</v>
      </c>
      <c r="K20" s="316">
        <v>598.5</v>
      </c>
      <c r="L20" s="63">
        <v>469.2</v>
      </c>
      <c r="M20" s="63">
        <v>229.8</v>
      </c>
      <c r="N20" s="592">
        <v>0</v>
      </c>
      <c r="O20" s="282">
        <v>207.9</v>
      </c>
      <c r="P20" s="63">
        <v>469.3</v>
      </c>
      <c r="Q20" s="283">
        <v>339.6</v>
      </c>
      <c r="R20" s="316">
        <v>326.3</v>
      </c>
      <c r="S20" s="63">
        <v>420.8</v>
      </c>
      <c r="T20" s="63">
        <v>376.8</v>
      </c>
      <c r="U20" s="63">
        <v>472.4</v>
      </c>
      <c r="V20" s="519">
        <v>482.9</v>
      </c>
      <c r="W20" s="355">
        <v>395</v>
      </c>
      <c r="X20" s="283">
        <v>310</v>
      </c>
      <c r="Y20" s="63">
        <v>220</v>
      </c>
      <c r="Z20" s="316">
        <v>355</v>
      </c>
      <c r="AA20" s="18">
        <v>411</v>
      </c>
      <c r="AB20" s="323">
        <v>435</v>
      </c>
      <c r="AC20" s="283">
        <v>285</v>
      </c>
      <c r="AD20" s="283">
        <v>341</v>
      </c>
      <c r="AE20" s="283">
        <v>355</v>
      </c>
      <c r="AF20" s="283">
        <v>341</v>
      </c>
      <c r="AG20" s="283">
        <v>381.4</v>
      </c>
      <c r="AH20" s="283">
        <v>548.70000000000005</v>
      </c>
      <c r="AI20" s="656">
        <f t="shared" si="9"/>
        <v>11875.500000000002</v>
      </c>
      <c r="AJ20" s="118">
        <v>100</v>
      </c>
      <c r="AK20" s="121">
        <f t="shared" si="31"/>
        <v>3.1412037037037033E-3</v>
      </c>
      <c r="AL20" s="67">
        <f t="shared" si="22"/>
        <v>0.21475</v>
      </c>
      <c r="AM20" s="68">
        <f t="shared" si="18"/>
        <v>0.19333333333333333</v>
      </c>
      <c r="AN20" s="68">
        <f t="shared" si="19"/>
        <v>5.6541666666666664E-2</v>
      </c>
      <c r="AO20" s="68">
        <f t="shared" si="20"/>
        <v>0.19016666666666665</v>
      </c>
      <c r="AP20" s="68">
        <f t="shared" si="21"/>
        <v>0.14812500000000001</v>
      </c>
      <c r="AQ20" s="68">
        <f t="shared" si="23"/>
        <v>0.23666666666666666</v>
      </c>
      <c r="AR20" s="68">
        <f t="shared" si="24"/>
        <v>0.25370833333333331</v>
      </c>
      <c r="AS20" s="68">
        <f>IF(OR(K17="",K17="Sem monitoramento"),"VAZIO",IFERROR(K17/($AJ20*24),"-"))</f>
        <v>0.23724999999999999</v>
      </c>
      <c r="AT20" s="68">
        <f>IF(OR(L20="",L20="Sem monitoramento"),"VAZIO",IFERROR(L20/($AJ20*24),"-"))</f>
        <v>0.19550000000000001</v>
      </c>
      <c r="AU20" s="68">
        <f>IF(OR(M20="",M20="Sem monitoramento"),"VAZIO",IFERROR(M20/($AJ20*24),"-"))</f>
        <v>9.5750000000000002E-2</v>
      </c>
      <c r="AV20" s="68">
        <f>IF(OR(N21="",N21="Sem monitoramento"),"VAZIO",IFERROR(N21/($AJ20*24),"-"))</f>
        <v>0</v>
      </c>
      <c r="AW20" s="68">
        <f t="shared" si="36"/>
        <v>8.6625000000000008E-2</v>
      </c>
      <c r="AX20" s="68">
        <f t="shared" si="25"/>
        <v>0.19554166666666667</v>
      </c>
      <c r="AY20" s="68">
        <f t="shared" ref="AY20:AY31" si="40">IF(OR(Q20="",Q20="Sem monitoramento"),"VAZIO",IFERROR(Q20/($AJ20*24),"-"))</f>
        <v>0.14150000000000001</v>
      </c>
      <c r="AZ20" s="68">
        <f>IF(OR(R18="",R18="Sem monitoramento"),"VAZIO",IFERROR(R18/($AJ20*24),"-"))</f>
        <v>6.7416666666666666E-2</v>
      </c>
      <c r="BA20" s="68">
        <f>IF(OR(S21="",S21="Sem monitoramento"),"VAZIO",IFERROR(S21/($AJ20*24),"-"))</f>
        <v>0.14529166666666665</v>
      </c>
      <c r="BB20" s="68">
        <f t="shared" si="37"/>
        <v>0.157</v>
      </c>
      <c r="BC20" s="68">
        <f t="shared" si="39"/>
        <v>0.19683333333333333</v>
      </c>
      <c r="BD20" s="68">
        <f>IF(OR(V19="",V19="Sem monitoramento"),"VAZIO",IFERROR(V19/($AJ20*24),"-"))</f>
        <v>0.16966666666666666</v>
      </c>
      <c r="BE20" s="68">
        <f t="shared" si="32"/>
        <v>0.16458333333333333</v>
      </c>
      <c r="BF20" s="68">
        <f>IF(OR(X22="",X22="Sem monitoramento"),"VAZIO",IFERROR(X22/($AJ20*24),"-"))</f>
        <v>0.114625</v>
      </c>
      <c r="BG20" s="68">
        <f>IF(OR(Y18="",Y18="Sem monitoramento"),"VAZIO",IFERROR(Y18/($AJ20*24),"-"))</f>
        <v>0.10566666666666666</v>
      </c>
      <c r="BH20" s="68">
        <f t="shared" si="38"/>
        <v>0.14791666666666667</v>
      </c>
      <c r="BI20" s="68">
        <f t="shared" si="38"/>
        <v>0.17125000000000001</v>
      </c>
      <c r="BJ20" s="68">
        <f>IF(OR(AB20="",AB20="Sem monitoramento"),"VAZIO",IFERROR(AB20/($AJ20*24),"-"))</f>
        <v>0.18124999999999999</v>
      </c>
      <c r="BK20" s="68">
        <f t="shared" si="28"/>
        <v>0.11874999999999999</v>
      </c>
      <c r="BL20" s="68">
        <f>IF(OR(AD21="",AD21="Sem monitoramento"),"VAZIO",IFERROR(AD21/($AJ20*24),"-"))</f>
        <v>9.2499999999999999E-2</v>
      </c>
      <c r="BM20" s="68">
        <f t="shared" ref="BM20:BM31" si="41">IF(OR(AE20="",AE20="Sem monitoramento"),"VAZIO",IFERROR(AE20/($AJ20*24),"-"))</f>
        <v>0.14791666666666667</v>
      </c>
      <c r="BN20" s="68">
        <f t="shared" ref="BN20:BN31" si="42">IF(OR(AF20="",AF20="Sem monitoramento"),"VAZIO",IFERROR(AF20/($AJ20*24),"-"))</f>
        <v>0.14208333333333334</v>
      </c>
      <c r="BO20" s="68">
        <f t="shared" si="29"/>
        <v>0.15891666666666665</v>
      </c>
      <c r="BP20" s="70">
        <f t="shared" si="5"/>
        <v>0.16493750000000001</v>
      </c>
      <c r="BQ20" s="198">
        <f t="shared" ref="BQ20:BQ30" si="43">$BQ$19</f>
        <v>0.168125</v>
      </c>
      <c r="BR20" s="72">
        <f t="shared" si="33"/>
        <v>16.8125</v>
      </c>
      <c r="BS20" s="73">
        <f t="shared" si="34"/>
        <v>-0.11158333333333334</v>
      </c>
      <c r="BT20" s="74">
        <f t="shared" si="8"/>
        <v>-3.187499999999982E-3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223">
        <v>428.7</v>
      </c>
      <c r="E21" s="283">
        <v>387.2</v>
      </c>
      <c r="F21" s="283">
        <v>111.3</v>
      </c>
      <c r="G21" s="283">
        <v>378</v>
      </c>
      <c r="H21" s="283">
        <v>288</v>
      </c>
      <c r="I21" s="63">
        <v>482.3</v>
      </c>
      <c r="J21" s="283">
        <v>511.7</v>
      </c>
      <c r="K21" s="63">
        <v>496.1</v>
      </c>
      <c r="L21" s="283">
        <v>393.1</v>
      </c>
      <c r="M21" s="316">
        <v>181.8</v>
      </c>
      <c r="N21" s="282">
        <v>0</v>
      </c>
      <c r="O21" s="282">
        <v>172.8</v>
      </c>
      <c r="P21" s="63">
        <v>397.2</v>
      </c>
      <c r="Q21" s="283">
        <v>281.60000000000002</v>
      </c>
      <c r="R21" s="63">
        <v>264.10000000000002</v>
      </c>
      <c r="S21" s="63">
        <v>348.7</v>
      </c>
      <c r="T21" s="283">
        <v>317.8</v>
      </c>
      <c r="U21" s="283">
        <v>390.5</v>
      </c>
      <c r="V21" s="283">
        <v>408.5</v>
      </c>
      <c r="W21" s="355">
        <v>349</v>
      </c>
      <c r="X21" s="283">
        <v>274</v>
      </c>
      <c r="Y21" s="283">
        <v>205</v>
      </c>
      <c r="Z21" s="63">
        <v>308</v>
      </c>
      <c r="AA21" s="320">
        <v>378</v>
      </c>
      <c r="AB21" s="323">
        <v>315</v>
      </c>
      <c r="AC21" s="221">
        <v>208</v>
      </c>
      <c r="AD21" s="283">
        <v>222</v>
      </c>
      <c r="AE21" s="221">
        <v>235</v>
      </c>
      <c r="AF21" s="221">
        <v>264.39999999999998</v>
      </c>
      <c r="AG21" s="221">
        <v>310.60000000000002</v>
      </c>
      <c r="AH21" s="221">
        <v>476.1</v>
      </c>
      <c r="AI21" s="656">
        <f t="shared" si="9"/>
        <v>9784.5000000000018</v>
      </c>
      <c r="AJ21" s="118">
        <v>100</v>
      </c>
      <c r="AK21" s="121">
        <f t="shared" si="31"/>
        <v>2.5763888888888889E-3</v>
      </c>
      <c r="AL21" s="67">
        <f t="shared" si="22"/>
        <v>0.17862500000000001</v>
      </c>
      <c r="AM21" s="68">
        <f t="shared" si="18"/>
        <v>0.16133333333333333</v>
      </c>
      <c r="AN21" s="68">
        <f t="shared" si="19"/>
        <v>4.6375E-2</v>
      </c>
      <c r="AO21" s="68">
        <f t="shared" si="20"/>
        <v>0.1575</v>
      </c>
      <c r="AP21" s="68">
        <f t="shared" si="21"/>
        <v>0.12</v>
      </c>
      <c r="AQ21" s="68">
        <f t="shared" si="23"/>
        <v>0.20095833333333335</v>
      </c>
      <c r="AR21" s="68">
        <f t="shared" si="24"/>
        <v>0.21320833333333333</v>
      </c>
      <c r="AS21" s="68">
        <f t="shared" ref="AS21:AS31" si="44">IF(OR(K21="",K21="Sem monitoramento"),"VAZIO",IFERROR(K21/($AJ21*24),"-"))</f>
        <v>0.20670833333333336</v>
      </c>
      <c r="AT21" s="68">
        <f t="shared" ref="AT21:AT31" si="45">IF(OR(L21="",L21="Sem monitoramento"),"VAZIO",IFERROR(L21/($AJ21*24),"-"))</f>
        <v>0.16379166666666667</v>
      </c>
      <c r="AU21" s="68">
        <f>IF(OR(M19="",M19="Sem monitoramento"),"VAZIO",IFERROR(M19/($AJ21*24),"-"))</f>
        <v>8.5833333333333334E-3</v>
      </c>
      <c r="AV21" s="68">
        <f>IF(OR(N22="",N22="Sem monitoramento"),"VAZIO",IFERROR(N22/($AJ21*24),"-"))</f>
        <v>0.16766666666666666</v>
      </c>
      <c r="AW21" s="68">
        <f t="shared" si="36"/>
        <v>7.2000000000000008E-2</v>
      </c>
      <c r="AX21" s="68">
        <f t="shared" si="25"/>
        <v>0.16550000000000001</v>
      </c>
      <c r="AY21" s="68">
        <f t="shared" si="40"/>
        <v>0.11733333333333335</v>
      </c>
      <c r="AZ21" s="68">
        <f t="shared" ref="AZ21:AZ31" si="46">IF(OR(R21="",R21="Sem monitoramento"),"VAZIO",IFERROR(R21/($AJ21*24),"-"))</f>
        <v>0.11004166666666668</v>
      </c>
      <c r="BA21" s="68">
        <f>IF(OR(S22="",S22="Sem monitoramento"),"VAZIO",IFERROR(S22/($AJ21*24),"-"))</f>
        <v>0.19483333333333333</v>
      </c>
      <c r="BB21" s="68">
        <f t="shared" si="37"/>
        <v>0.13241666666666668</v>
      </c>
      <c r="BC21" s="68">
        <f t="shared" si="39"/>
        <v>0.16270833333333334</v>
      </c>
      <c r="BD21" s="68">
        <f>IF(OR(V21="",V21="Sem monitoramento"),"VAZIO",IFERROR(V21/($AJ21*24),"-"))</f>
        <v>0.17020833333333332</v>
      </c>
      <c r="BE21" s="68">
        <f t="shared" si="32"/>
        <v>0.14541666666666667</v>
      </c>
      <c r="BF21" s="68">
        <f>IF(OR(X23="",X23="Sem monitoramento"),"VAZIO",IFERROR(X23/($AJ21*24),"-"))</f>
        <v>9.8250000000000004E-2</v>
      </c>
      <c r="BG21" s="68">
        <f t="shared" ref="BG21:BG31" si="47">IF(OR(Y21="",Y21="Sem monitoramento"),"VAZIO",IFERROR(Y21/($AJ21*24),"-"))</f>
        <v>8.5416666666666669E-2</v>
      </c>
      <c r="BH21" s="68">
        <f t="shared" si="38"/>
        <v>0.12833333333333333</v>
      </c>
      <c r="BI21" s="68">
        <f t="shared" si="38"/>
        <v>0.1575</v>
      </c>
      <c r="BJ21" s="68">
        <f>IF(OR(AB20="",AB20="Sem monitoramento"),"VAZIO",IFERROR(AB20/($AJ21*24),"-"))</f>
        <v>0.18124999999999999</v>
      </c>
      <c r="BK21" s="68">
        <f t="shared" si="28"/>
        <v>8.666666666666667E-2</v>
      </c>
      <c r="BL21" s="68" t="e">
        <f>IF(OR(#REF!="",#REF!="Sem monitoramento"),"VAZIO",IFERROR(#REF!/($AJ21*24),"-"))</f>
        <v>#REF!</v>
      </c>
      <c r="BM21" s="68">
        <f t="shared" si="41"/>
        <v>9.7916666666666666E-2</v>
      </c>
      <c r="BN21" s="68">
        <f t="shared" si="42"/>
        <v>0.11016666666666666</v>
      </c>
      <c r="BO21" s="68">
        <f t="shared" si="29"/>
        <v>0.12941666666666668</v>
      </c>
      <c r="BP21" s="70">
        <f t="shared" si="5"/>
        <v>0.13589583333333335</v>
      </c>
      <c r="BQ21" s="198">
        <f t="shared" si="43"/>
        <v>0.168125</v>
      </c>
      <c r="BR21" s="72">
        <f t="shared" si="33"/>
        <v>16.8125</v>
      </c>
      <c r="BS21" s="73">
        <f t="shared" si="34"/>
        <v>-0.12175</v>
      </c>
      <c r="BT21" s="74">
        <f t="shared" si="8"/>
        <v>-3.2229166666666642E-2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223">
        <v>578.29999999999995</v>
      </c>
      <c r="E22" s="283">
        <v>456.5</v>
      </c>
      <c r="F22" s="283">
        <v>347.2</v>
      </c>
      <c r="G22" s="283">
        <v>332.3</v>
      </c>
      <c r="H22" s="282">
        <v>334.5</v>
      </c>
      <c r="I22" s="283">
        <v>623.79999999999995</v>
      </c>
      <c r="J22" s="283">
        <v>592.70000000000005</v>
      </c>
      <c r="K22" s="63">
        <v>543.4</v>
      </c>
      <c r="L22" s="63">
        <v>427.2</v>
      </c>
      <c r="M22" s="63">
        <v>258.2</v>
      </c>
      <c r="N22" s="63">
        <v>402.4</v>
      </c>
      <c r="O22" s="283">
        <v>385.4</v>
      </c>
      <c r="P22" s="283">
        <v>428</v>
      </c>
      <c r="Q22" s="283">
        <v>314.89999999999998</v>
      </c>
      <c r="R22" s="283">
        <v>374.1</v>
      </c>
      <c r="S22" s="283">
        <v>467.6</v>
      </c>
      <c r="T22" s="63">
        <v>417.3</v>
      </c>
      <c r="U22" s="63">
        <v>469.3</v>
      </c>
      <c r="V22" s="63">
        <v>464.9</v>
      </c>
      <c r="W22" s="283">
        <v>395.8</v>
      </c>
      <c r="X22" s="63">
        <v>275.10000000000002</v>
      </c>
      <c r="Y22" s="63">
        <v>273.2</v>
      </c>
      <c r="Z22" s="15">
        <v>483.2</v>
      </c>
      <c r="AA22" s="18">
        <v>459.8</v>
      </c>
      <c r="AB22" s="20">
        <v>432.7</v>
      </c>
      <c r="AC22" s="15">
        <v>169.8</v>
      </c>
      <c r="AD22" s="221">
        <v>300.2</v>
      </c>
      <c r="AE22" s="15">
        <v>429.8</v>
      </c>
      <c r="AF22" s="15">
        <v>398.9</v>
      </c>
      <c r="AG22" s="15">
        <v>502.9</v>
      </c>
      <c r="AH22" s="15">
        <v>450.8</v>
      </c>
      <c r="AI22" s="656">
        <f t="shared" si="9"/>
        <v>12790.199999999999</v>
      </c>
      <c r="AJ22" s="118">
        <v>100</v>
      </c>
      <c r="AK22" s="121">
        <f t="shared" si="31"/>
        <v>8.037037037037037E-3</v>
      </c>
      <c r="AL22" s="67">
        <f t="shared" si="22"/>
        <v>0.2409583333333333</v>
      </c>
      <c r="AM22" s="68">
        <f t="shared" si="18"/>
        <v>0.19020833333333334</v>
      </c>
      <c r="AN22" s="68">
        <f t="shared" si="19"/>
        <v>0.14466666666666667</v>
      </c>
      <c r="AO22" s="68">
        <f t="shared" si="20"/>
        <v>0.13845833333333335</v>
      </c>
      <c r="AP22" s="68">
        <f t="shared" si="21"/>
        <v>0.139375</v>
      </c>
      <c r="AQ22" s="68">
        <f t="shared" si="23"/>
        <v>0.25991666666666663</v>
      </c>
      <c r="AR22" s="68">
        <f t="shared" si="24"/>
        <v>0.24695833333333336</v>
      </c>
      <c r="AS22" s="68">
        <f t="shared" si="44"/>
        <v>0.22641666666666665</v>
      </c>
      <c r="AT22" s="68">
        <f t="shared" si="45"/>
        <v>0.17799999999999999</v>
      </c>
      <c r="AU22" s="68" t="e">
        <f>IF(OR(#REF!="",#REF!="Sem monitoramento"),"VAZIO",IFERROR(#REF!/($AJ22*24),"-"))</f>
        <v>#REF!</v>
      </c>
      <c r="AV22" s="68">
        <f>IF(OR(N22="",N22="Sem monitoramento"),"VAZIO",IFERROR(N22/($AJ22*24),"-"))</f>
        <v>0.16766666666666666</v>
      </c>
      <c r="AW22" s="68">
        <f t="shared" si="36"/>
        <v>0.16058333333333333</v>
      </c>
      <c r="AX22" s="68">
        <f t="shared" si="25"/>
        <v>0.17833333333333334</v>
      </c>
      <c r="AY22" s="68">
        <f t="shared" si="40"/>
        <v>0.13120833333333332</v>
      </c>
      <c r="AZ22" s="68">
        <f t="shared" si="46"/>
        <v>0.15587500000000001</v>
      </c>
      <c r="BA22" s="68">
        <f t="shared" ref="BA22:BA31" si="48">IF(OR(S22="",S22="Sem monitoramento"),"VAZIO",IFERROR(S22/($AJ22*24),"-"))</f>
        <v>0.19483333333333333</v>
      </c>
      <c r="BB22" s="68">
        <f t="shared" si="37"/>
        <v>0.173875</v>
      </c>
      <c r="BC22" s="68">
        <f t="shared" si="39"/>
        <v>0.19554166666666667</v>
      </c>
      <c r="BD22" s="68">
        <f>IF(OR(V22="",V22="Sem monitoramento"),"VAZIO",IFERROR(V22/($AJ22*24),"-"))</f>
        <v>0.19370833333333332</v>
      </c>
      <c r="BE22" s="68">
        <f t="shared" si="32"/>
        <v>0.16491666666666668</v>
      </c>
      <c r="BF22" s="68">
        <f>IF(OR(X22="",X22="Sem monitoramento"),"VAZIO",IFERROR(X22/($AJ22*24),"-"))</f>
        <v>0.114625</v>
      </c>
      <c r="BG22" s="68">
        <f t="shared" si="47"/>
        <v>0.11383333333333333</v>
      </c>
      <c r="BH22" s="68">
        <f t="shared" si="38"/>
        <v>0.20133333333333334</v>
      </c>
      <c r="BI22" s="68">
        <f t="shared" si="38"/>
        <v>0.19158333333333333</v>
      </c>
      <c r="BJ22" s="68">
        <f>IF(OR(AB21="",AB21="Sem monitoramento"),"VAZIO",IFERROR(AB21/($AJ22*24),"-"))</f>
        <v>0.13125000000000001</v>
      </c>
      <c r="BK22" s="68">
        <f t="shared" si="28"/>
        <v>7.0750000000000007E-2</v>
      </c>
      <c r="BL22" s="68">
        <f t="shared" ref="BL22:BL31" si="49">IF(OR(AD22="",AD22="Sem monitoramento"),"VAZIO",IFERROR(AD22/($AJ22*24),"-"))</f>
        <v>0.12508333333333332</v>
      </c>
      <c r="BM22" s="68">
        <f t="shared" si="41"/>
        <v>0.17908333333333334</v>
      </c>
      <c r="BN22" s="68">
        <f t="shared" si="42"/>
        <v>0.16620833333333332</v>
      </c>
      <c r="BO22" s="68">
        <f>IF(OR(AG23="",AG23="Sem monitoramento"),"VAZIO",IFERROR(AG23/($AJ22*24),"-"))</f>
        <v>0.18762500000000001</v>
      </c>
      <c r="BP22" s="70">
        <f t="shared" si="5"/>
        <v>0.17764166666666664</v>
      </c>
      <c r="BQ22" s="198">
        <f t="shared" si="43"/>
        <v>0.168125</v>
      </c>
      <c r="BR22" s="72">
        <f t="shared" si="33"/>
        <v>16.8125</v>
      </c>
      <c r="BS22" s="73">
        <f t="shared" si="34"/>
        <v>-2.3458333333333331E-2</v>
      </c>
      <c r="BT22" s="74">
        <f t="shared" si="8"/>
        <v>9.5166666666666455E-3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523.1</v>
      </c>
      <c r="E23" s="63">
        <v>412.5</v>
      </c>
      <c r="F23" s="283">
        <v>313.7</v>
      </c>
      <c r="G23" s="63">
        <v>298.10000000000002</v>
      </c>
      <c r="H23" s="282">
        <v>300.7</v>
      </c>
      <c r="I23" s="63">
        <v>569.5</v>
      </c>
      <c r="J23" s="63">
        <v>538.5</v>
      </c>
      <c r="K23" s="63">
        <v>501.5</v>
      </c>
      <c r="L23" s="63">
        <v>385.9</v>
      </c>
      <c r="M23" s="316">
        <v>224.4</v>
      </c>
      <c r="N23" s="63">
        <v>350.4</v>
      </c>
      <c r="O23" s="519">
        <v>340.9</v>
      </c>
      <c r="P23" s="283">
        <v>375.5</v>
      </c>
      <c r="Q23" s="283">
        <v>279.7</v>
      </c>
      <c r="R23" s="63">
        <v>328.5</v>
      </c>
      <c r="S23" s="63">
        <v>415</v>
      </c>
      <c r="T23" s="63">
        <v>390.5</v>
      </c>
      <c r="U23" s="63">
        <v>414.1</v>
      </c>
      <c r="V23" s="63">
        <v>414.5</v>
      </c>
      <c r="W23" s="283">
        <v>362.5</v>
      </c>
      <c r="X23" s="63">
        <v>235.8</v>
      </c>
      <c r="Y23" s="63">
        <v>238.6</v>
      </c>
      <c r="Z23" s="15">
        <v>441.8</v>
      </c>
      <c r="AA23" s="18">
        <v>413</v>
      </c>
      <c r="AB23" s="20">
        <v>392.2</v>
      </c>
      <c r="AC23" s="15">
        <v>229.5</v>
      </c>
      <c r="AD23" s="15">
        <v>263.2</v>
      </c>
      <c r="AE23" s="15">
        <v>387</v>
      </c>
      <c r="AF23" s="15">
        <v>353.9</v>
      </c>
      <c r="AG23" s="15">
        <v>450.3</v>
      </c>
      <c r="AH23" s="15">
        <v>420</v>
      </c>
      <c r="AI23" s="656">
        <f t="shared" si="9"/>
        <v>11564.8</v>
      </c>
      <c r="AJ23" s="118">
        <v>100</v>
      </c>
      <c r="AK23" s="121">
        <f t="shared" si="31"/>
        <v>7.2615740740740739E-3</v>
      </c>
      <c r="AL23" s="67">
        <f t="shared" si="22"/>
        <v>0.21795833333333334</v>
      </c>
      <c r="AM23" s="68">
        <f t="shared" si="18"/>
        <v>0.171875</v>
      </c>
      <c r="AN23" s="68">
        <f t="shared" si="19"/>
        <v>0.13070833333333332</v>
      </c>
      <c r="AO23" s="68">
        <f t="shared" si="20"/>
        <v>0.12420833333333334</v>
      </c>
      <c r="AP23" s="68">
        <f t="shared" si="21"/>
        <v>0.12529166666666666</v>
      </c>
      <c r="AQ23" s="68">
        <f t="shared" si="23"/>
        <v>0.23729166666666668</v>
      </c>
      <c r="AR23" s="68">
        <f t="shared" si="24"/>
        <v>0.22437499999999999</v>
      </c>
      <c r="AS23" s="68">
        <f t="shared" si="44"/>
        <v>0.20895833333333333</v>
      </c>
      <c r="AT23" s="68">
        <f t="shared" si="45"/>
        <v>0.16079166666666667</v>
      </c>
      <c r="AU23" s="68">
        <f>IF(OR(M22="",M22="Sem monitoramento"),"VAZIO",IFERROR(M22/($AJ23*24),"-"))</f>
        <v>0.10758333333333332</v>
      </c>
      <c r="AV23" s="68">
        <f>IF(OR(N23="",N23="Sem monitoramento"),"VAZIO",IFERROR(N23/($AJ23*24),"-"))</f>
        <v>0.14599999999999999</v>
      </c>
      <c r="AW23" s="68">
        <f>IF(OR(O20="",O20="Sem monitoramento"),"VAZIO",IFERROR(O20/($AJ23*24),"-"))</f>
        <v>8.6625000000000008E-2</v>
      </c>
      <c r="AX23" s="68">
        <f t="shared" si="25"/>
        <v>0.15645833333333334</v>
      </c>
      <c r="AY23" s="68">
        <f t="shared" si="40"/>
        <v>0.11654166666666667</v>
      </c>
      <c r="AZ23" s="68">
        <f t="shared" si="46"/>
        <v>0.136875</v>
      </c>
      <c r="BA23" s="68">
        <f t="shared" si="48"/>
        <v>0.17291666666666666</v>
      </c>
      <c r="BB23" s="68">
        <f t="shared" si="37"/>
        <v>0.16270833333333334</v>
      </c>
      <c r="BC23" s="68">
        <f t="shared" si="39"/>
        <v>0.17254166666666668</v>
      </c>
      <c r="BD23" s="68">
        <f>IF(OR(V23="",V23="Sem monitoramento"),"VAZIO",IFERROR(V23/($AJ23*24),"-"))</f>
        <v>0.17270833333333332</v>
      </c>
      <c r="BE23" s="68" t="e">
        <f>IF(OR(#REF!="",#REF!="Sem monitoramento"),"VAZIO",IFERROR(#REF!/($AJ23*24),"-"))</f>
        <v>#REF!</v>
      </c>
      <c r="BF23" s="68">
        <f>IF(OR(X23="",X23="Sem monitoramento"),"VAZIO",IFERROR(X23/($AJ23*24),"-"))</f>
        <v>9.8250000000000004E-2</v>
      </c>
      <c r="BG23" s="68">
        <f t="shared" si="47"/>
        <v>9.9416666666666667E-2</v>
      </c>
      <c r="BH23" s="68">
        <f t="shared" si="38"/>
        <v>0.18408333333333335</v>
      </c>
      <c r="BI23" s="68">
        <f t="shared" si="38"/>
        <v>0.17208333333333334</v>
      </c>
      <c r="BJ23" s="68">
        <f t="shared" ref="BJ23:BJ31" si="50">IF(OR(AB23="",AB23="Sem monitoramento"),"VAZIO",IFERROR(AB23/($AJ23*24),"-"))</f>
        <v>0.16341666666666665</v>
      </c>
      <c r="BK23" s="68">
        <f t="shared" si="28"/>
        <v>9.5625000000000002E-2</v>
      </c>
      <c r="BL23" s="68">
        <f t="shared" si="49"/>
        <v>0.10966666666666666</v>
      </c>
      <c r="BM23" s="68">
        <f t="shared" si="41"/>
        <v>0.16125</v>
      </c>
      <c r="BN23" s="68">
        <f t="shared" si="42"/>
        <v>0.14745833333333333</v>
      </c>
      <c r="BO23" s="68" t="e">
        <f>IF(OR(#REF!="",#REF!="Sem monitoramento"),"VAZIO",IFERROR(#REF!/($AJ23*24),"-"))</f>
        <v>#REF!</v>
      </c>
      <c r="BP23" s="70">
        <f t="shared" si="5"/>
        <v>0.16062222222222222</v>
      </c>
      <c r="BQ23" s="198">
        <f t="shared" si="43"/>
        <v>0.168125</v>
      </c>
      <c r="BR23" s="72">
        <f t="shared" si="33"/>
        <v>16.8125</v>
      </c>
      <c r="BS23" s="73">
        <f t="shared" si="34"/>
        <v>-3.7416666666666681E-2</v>
      </c>
      <c r="BT23" s="74">
        <f t="shared" si="8"/>
        <v>-7.5027777777777749E-3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1979.9</v>
      </c>
      <c r="E24" s="63">
        <v>1610.1</v>
      </c>
      <c r="F24" s="63">
        <v>1210.4000000000001</v>
      </c>
      <c r="G24" s="63">
        <v>1169.7</v>
      </c>
      <c r="H24" s="282">
        <v>1184.7</v>
      </c>
      <c r="I24" s="63">
        <v>2130.1999999999998</v>
      </c>
      <c r="J24" s="316">
        <v>2030</v>
      </c>
      <c r="K24" s="63">
        <v>1869.8</v>
      </c>
      <c r="L24" s="63">
        <v>1489.2</v>
      </c>
      <c r="M24" s="63">
        <v>884.9</v>
      </c>
      <c r="N24" s="283">
        <f>512+370.5+502.2</f>
        <v>1384.7</v>
      </c>
      <c r="O24" s="283">
        <f>496.7+361+485.6</f>
        <v>1343.3000000000002</v>
      </c>
      <c r="P24" s="283">
        <v>1483.8</v>
      </c>
      <c r="Q24" s="283">
        <v>1103.0999999999999</v>
      </c>
      <c r="R24" s="63">
        <v>1299.3</v>
      </c>
      <c r="S24" s="63">
        <v>1631.4</v>
      </c>
      <c r="T24" s="63">
        <v>1467.2</v>
      </c>
      <c r="U24" s="63">
        <v>1612.9</v>
      </c>
      <c r="V24" s="31">
        <v>1613.7</v>
      </c>
      <c r="W24" s="316">
        <f>528.2+514.2+441.3</f>
        <v>1483.7</v>
      </c>
      <c r="X24" s="316">
        <v>692.6</v>
      </c>
      <c r="Y24" s="63">
        <v>690.9</v>
      </c>
      <c r="Z24" s="15">
        <f>608+625.4+511</f>
        <v>1744.4</v>
      </c>
      <c r="AA24" s="18">
        <f>610+424.9+587.8</f>
        <v>1622.7</v>
      </c>
      <c r="AB24" s="323">
        <v>1517.6</v>
      </c>
      <c r="AC24" s="221">
        <v>1113.0999999999999</v>
      </c>
      <c r="AD24" s="15">
        <f>1037.4+114</f>
        <v>1151.4000000000001</v>
      </c>
      <c r="AE24" s="15">
        <v>1509.6</v>
      </c>
      <c r="AF24" s="15">
        <v>1387.2</v>
      </c>
      <c r="AG24" s="15">
        <v>1750.3</v>
      </c>
      <c r="AH24" s="15">
        <f>558.1+432.6+590.2</f>
        <v>1580.9</v>
      </c>
      <c r="AI24" s="656">
        <f t="shared" si="9"/>
        <v>44742.7</v>
      </c>
      <c r="AJ24" s="118">
        <v>383</v>
      </c>
      <c r="AK24" s="121">
        <f t="shared" si="31"/>
        <v>7.3155400831641047E-3</v>
      </c>
      <c r="AL24" s="67">
        <f t="shared" si="22"/>
        <v>0.21539382071366406</v>
      </c>
      <c r="AM24" s="68">
        <f t="shared" si="18"/>
        <v>0.17516318537859007</v>
      </c>
      <c r="AN24" s="68">
        <f t="shared" si="19"/>
        <v>0.13167972149695389</v>
      </c>
      <c r="AO24" s="68">
        <f t="shared" si="20"/>
        <v>0.12725195822454308</v>
      </c>
      <c r="AP24" s="68">
        <f t="shared" si="21"/>
        <v>0.12888381201044388</v>
      </c>
      <c r="AQ24" s="68">
        <f t="shared" ref="AQ24:AQ31" si="51">IF(OR(I24="",I24="Sem monitoramento"),"VAZIO",IFERROR(I24/($AJ24*24),"-"))</f>
        <v>0.23174499564838988</v>
      </c>
      <c r="AR24" s="68">
        <f>IF(OR(J29="",J29="Sem monitoramento"),"VAZIO",IFERROR(J29/($AJ24*24),"-"))</f>
        <v>5.0293733681462144E-2</v>
      </c>
      <c r="AS24" s="68">
        <f t="shared" si="44"/>
        <v>0.20341601392515229</v>
      </c>
      <c r="AT24" s="68">
        <f t="shared" si="45"/>
        <v>0.16201044386422978</v>
      </c>
      <c r="AU24" s="68">
        <f t="shared" ref="AU24:AU31" si="52">IF(OR(M24="",M24="Sem monitoramento"),"VAZIO",IFERROR(M24/($AJ24*24),"-"))</f>
        <v>9.626849434290688E-2</v>
      </c>
      <c r="AV24" s="68">
        <f>IF(OR(N24="",N24="Sem monitoramento"),"VAZIO",IFERROR(N24/($AJ24*24),"-"))</f>
        <v>0.15064186248912098</v>
      </c>
      <c r="AW24" s="68">
        <f t="shared" ref="AW24:AW31" si="53">IF(OR(O24="",O24="Sem monitoramento"),"VAZIO",IFERROR(O24/($AJ24*24),"-"))</f>
        <v>0.14613794604003483</v>
      </c>
      <c r="AX24" s="68">
        <f t="shared" si="25"/>
        <v>0.16142297650130547</v>
      </c>
      <c r="AY24" s="68">
        <f t="shared" si="40"/>
        <v>0.12000652741514359</v>
      </c>
      <c r="AZ24" s="68">
        <f t="shared" si="46"/>
        <v>0.14135117493472585</v>
      </c>
      <c r="BA24" s="68">
        <f t="shared" si="48"/>
        <v>0.17748041775456921</v>
      </c>
      <c r="BB24" s="68">
        <f t="shared" si="37"/>
        <v>0.1596170583115753</v>
      </c>
      <c r="BC24" s="68">
        <f t="shared" si="39"/>
        <v>0.17546779808529156</v>
      </c>
      <c r="BD24" s="68" t="e">
        <f>IF(OR(#REF!="",#REF!="Sem monitoramento"),"VAZIO",IFERROR(#REF!/($AJ24*24),"-"))</f>
        <v>#REF!</v>
      </c>
      <c r="BE24" s="68" t="e">
        <f>IF(OR(#REF!="",#REF!="Sem monitoramento"),"VAZIO",IFERROR(#REF!/($AJ24*24),"-"))</f>
        <v>#REF!</v>
      </c>
      <c r="BF24" s="68" t="e">
        <f>IF(OR(#REF!="",#REF!="Sem monitoramento"),"VAZIO",IFERROR(#REF!/($AJ24*24),"-"))</f>
        <v>#REF!</v>
      </c>
      <c r="BG24" s="68">
        <f t="shared" si="47"/>
        <v>7.5163185378590069E-2</v>
      </c>
      <c r="BH24" s="68">
        <f t="shared" si="38"/>
        <v>0.18977371627502176</v>
      </c>
      <c r="BI24" s="68">
        <f t="shared" si="38"/>
        <v>0.17653394255874674</v>
      </c>
      <c r="BJ24" s="68">
        <f t="shared" si="50"/>
        <v>0.16510008703220191</v>
      </c>
      <c r="BK24" s="68">
        <f t="shared" si="28"/>
        <v>0.12109442993907744</v>
      </c>
      <c r="BL24" s="68">
        <f t="shared" si="49"/>
        <v>0.12526109660574414</v>
      </c>
      <c r="BM24" s="68">
        <f t="shared" si="41"/>
        <v>0.16422976501305481</v>
      </c>
      <c r="BN24" s="68">
        <f t="shared" si="42"/>
        <v>0.15091383812010445</v>
      </c>
      <c r="BO24" s="68">
        <f>IF(OR(AG24="",AG24="Sem monitoramento"),"VAZIO",IFERROR(AG24/($AJ24*24),"-"))</f>
        <v>0.19041557876414272</v>
      </c>
      <c r="BP24" s="70">
        <f t="shared" si="5"/>
        <v>0.16225232085871771</v>
      </c>
      <c r="BQ24" s="198">
        <f t="shared" si="43"/>
        <v>0.168125</v>
      </c>
      <c r="BR24" s="72">
        <f>AJ24*BQ24</f>
        <v>64.391874999999999</v>
      </c>
      <c r="BS24" s="73">
        <f t="shared" si="34"/>
        <v>-3.6445278503046102E-2</v>
      </c>
      <c r="BT24" s="74">
        <f t="shared" si="8"/>
        <v>-5.8726791412822832E-3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472.6</v>
      </c>
      <c r="E25" s="63">
        <v>477.7</v>
      </c>
      <c r="F25" s="63">
        <v>236.6</v>
      </c>
      <c r="G25" s="63">
        <v>417.3</v>
      </c>
      <c r="H25" s="63">
        <v>299.3</v>
      </c>
      <c r="I25" s="63">
        <v>590.4</v>
      </c>
      <c r="J25" s="63">
        <v>628.5</v>
      </c>
      <c r="K25" s="63">
        <v>524.1</v>
      </c>
      <c r="L25" s="63">
        <v>424.9</v>
      </c>
      <c r="M25" s="63">
        <v>349.1</v>
      </c>
      <c r="N25" s="63">
        <v>524.70000000000005</v>
      </c>
      <c r="O25" s="63">
        <v>433.8</v>
      </c>
      <c r="P25" s="63">
        <v>434.8</v>
      </c>
      <c r="Q25" s="283">
        <v>257</v>
      </c>
      <c r="R25" s="63">
        <v>323.39999999999998</v>
      </c>
      <c r="S25" s="63">
        <v>402.1</v>
      </c>
      <c r="T25" s="316">
        <v>523.1</v>
      </c>
      <c r="U25" s="316">
        <v>446.5</v>
      </c>
      <c r="V25" s="283">
        <v>477.5</v>
      </c>
      <c r="W25" s="283">
        <v>437.9</v>
      </c>
      <c r="X25" s="63">
        <v>424.5</v>
      </c>
      <c r="Y25" s="63">
        <v>394.5</v>
      </c>
      <c r="Z25" s="148">
        <v>433.4</v>
      </c>
      <c r="AA25" s="18">
        <v>313.60000000000002</v>
      </c>
      <c r="AB25" s="20">
        <v>540.9</v>
      </c>
      <c r="AC25" s="15">
        <v>220.9</v>
      </c>
      <c r="AD25" s="15">
        <v>219.2</v>
      </c>
      <c r="AE25" s="15">
        <v>516.70000000000005</v>
      </c>
      <c r="AF25" s="15">
        <v>487.6</v>
      </c>
      <c r="AG25" s="15">
        <v>361</v>
      </c>
      <c r="AH25" s="15">
        <v>492.6</v>
      </c>
      <c r="AI25" s="656">
        <f t="shared" si="9"/>
        <v>13086.200000000003</v>
      </c>
      <c r="AJ25" s="118">
        <v>100</v>
      </c>
      <c r="AK25" s="121">
        <f t="shared" si="31"/>
        <v>5.4768518518518517E-3</v>
      </c>
      <c r="AL25" s="67">
        <f t="shared" si="22"/>
        <v>0.19691666666666668</v>
      </c>
      <c r="AM25" s="68">
        <f t="shared" si="18"/>
        <v>0.19904166666666667</v>
      </c>
      <c r="AN25" s="68">
        <f t="shared" si="19"/>
        <v>9.8583333333333328E-2</v>
      </c>
      <c r="AO25" s="68">
        <f t="shared" si="20"/>
        <v>0.173875</v>
      </c>
      <c r="AP25" s="68">
        <f t="shared" si="21"/>
        <v>0.12470833333333334</v>
      </c>
      <c r="AQ25" s="68">
        <f t="shared" si="51"/>
        <v>0.246</v>
      </c>
      <c r="AR25" s="68">
        <f>IF(OR(J25="",J25="Sem monitoramento"),"VAZIO",IFERROR(J25/($AJ25*24),"-"))</f>
        <v>0.26187500000000002</v>
      </c>
      <c r="AS25" s="68">
        <f t="shared" si="44"/>
        <v>0.21837500000000001</v>
      </c>
      <c r="AT25" s="68">
        <f t="shared" si="45"/>
        <v>0.17704166666666665</v>
      </c>
      <c r="AU25" s="68">
        <f t="shared" si="52"/>
        <v>0.14545833333333336</v>
      </c>
      <c r="AV25" s="68" t="e">
        <f>IF(OR(#REF!="",#REF!="Sem monitoramento"),"VAZIO",IFERROR(#REF!/($AJ25*24),"-"))</f>
        <v>#REF!</v>
      </c>
      <c r="AW25" s="68">
        <f t="shared" si="53"/>
        <v>0.18074999999999999</v>
      </c>
      <c r="AX25" s="68">
        <f t="shared" si="25"/>
        <v>0.18116666666666667</v>
      </c>
      <c r="AY25" s="68">
        <f t="shared" si="40"/>
        <v>0.10708333333333334</v>
      </c>
      <c r="AZ25" s="68">
        <f t="shared" si="46"/>
        <v>0.13474999999999998</v>
      </c>
      <c r="BA25" s="68">
        <f t="shared" si="48"/>
        <v>0.16754166666666667</v>
      </c>
      <c r="BB25" s="68">
        <f>IF(OR(T26="",T26="Sem monitoramento"),"VAZIO",IFERROR(T26/($AJ25*24),"-"))</f>
        <v>0.16091666666666665</v>
      </c>
      <c r="BC25" s="68">
        <f>IF(OR(U26="",U26="Sem monitoramento"),"VAZIO",IFERROR(U26/($AJ25*24),"-"))</f>
        <v>0.16929166666666667</v>
      </c>
      <c r="BD25" s="68">
        <f t="shared" ref="BD25:BD31" si="54">IF(OR(V25="",V25="Sem monitoramento"),"VAZIO",IFERROR(V25/($AJ25*24),"-"))</f>
        <v>0.19895833333333332</v>
      </c>
      <c r="BE25" s="68" t="e">
        <f>IF(OR(#REF!="",#REF!="Sem monitoramento"),"VAZIO",IFERROR(#REF!/($AJ25*24),"-"))</f>
        <v>#REF!</v>
      </c>
      <c r="BF25" s="68">
        <f t="shared" ref="BF25:BF31" si="55">IF(OR(X25="",X25="Sem monitoramento"),"VAZIO",IFERROR(X25/($AJ25*24),"-"))</f>
        <v>0.176875</v>
      </c>
      <c r="BG25" s="68">
        <f t="shared" si="47"/>
        <v>0.16437499999999999</v>
      </c>
      <c r="BH25" s="68">
        <f>IF(OR(Z26="",Z26="Sem monitoramento"),"VAZIO",IFERROR(Z26/($AJ25*24),"-"))</f>
        <v>0.18862499999999999</v>
      </c>
      <c r="BI25" s="68">
        <f>IF(OR(AA25="",AA25="Sem monitoramento"),"VAZIO",IFERROR(AA25/($AJ25*24),"-"))</f>
        <v>0.13066666666666668</v>
      </c>
      <c r="BJ25" s="68">
        <f t="shared" si="50"/>
        <v>0.22537499999999999</v>
      </c>
      <c r="BK25" s="68">
        <f t="shared" si="28"/>
        <v>9.2041666666666674E-2</v>
      </c>
      <c r="BL25" s="68">
        <f t="shared" si="49"/>
        <v>9.1333333333333322E-2</v>
      </c>
      <c r="BM25" s="68">
        <f t="shared" si="41"/>
        <v>0.21529166666666669</v>
      </c>
      <c r="BN25" s="68">
        <f t="shared" si="42"/>
        <v>0.20316666666666669</v>
      </c>
      <c r="BO25" s="68">
        <f>IF(OR(AG25="",AG25="Sem monitoramento"),"VAZIO",IFERROR(AG25/($AJ25*24),"-"))</f>
        <v>0.15041666666666667</v>
      </c>
      <c r="BP25" s="70">
        <f t="shared" si="5"/>
        <v>0.18175277777777782</v>
      </c>
      <c r="BQ25" s="198">
        <f t="shared" si="43"/>
        <v>0.168125</v>
      </c>
      <c r="BR25" s="72">
        <f t="shared" si="33"/>
        <v>16.8125</v>
      </c>
      <c r="BS25" s="73">
        <f t="shared" si="34"/>
        <v>-6.9541666666666668E-2</v>
      </c>
      <c r="BT25" s="74">
        <f t="shared" si="8"/>
        <v>1.3627777777777822E-2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545.6</v>
      </c>
      <c r="E26" s="283">
        <v>404</v>
      </c>
      <c r="F26" s="63">
        <v>278.60000000000002</v>
      </c>
      <c r="G26" s="63">
        <v>218.8</v>
      </c>
      <c r="H26" s="63">
        <v>285</v>
      </c>
      <c r="I26" s="283">
        <v>595.9</v>
      </c>
      <c r="J26" s="63">
        <v>554.9</v>
      </c>
      <c r="K26" s="63">
        <v>508.7</v>
      </c>
      <c r="L26" s="63">
        <v>401.3</v>
      </c>
      <c r="M26" s="282">
        <v>298</v>
      </c>
      <c r="N26" s="592">
        <v>130.19999999999999</v>
      </c>
      <c r="O26" s="63">
        <v>353.9</v>
      </c>
      <c r="P26" s="63">
        <v>430.3</v>
      </c>
      <c r="Q26" s="283">
        <v>314.3</v>
      </c>
      <c r="R26" s="282">
        <v>2</v>
      </c>
      <c r="S26" s="63">
        <v>391.5</v>
      </c>
      <c r="T26" s="63">
        <v>386.2</v>
      </c>
      <c r="U26" s="63">
        <v>406.3</v>
      </c>
      <c r="V26" s="283">
        <v>497.5</v>
      </c>
      <c r="W26" s="282">
        <v>115</v>
      </c>
      <c r="X26" s="63">
        <v>229.5</v>
      </c>
      <c r="Y26" s="63">
        <v>289.89999999999998</v>
      </c>
      <c r="Z26" s="221">
        <v>452.7</v>
      </c>
      <c r="AA26" s="320">
        <v>368.9</v>
      </c>
      <c r="AB26" s="323">
        <v>438.1</v>
      </c>
      <c r="AC26" s="15">
        <v>205.9</v>
      </c>
      <c r="AD26" s="221">
        <v>321.5</v>
      </c>
      <c r="AE26" s="15">
        <v>141.4</v>
      </c>
      <c r="AF26" s="283">
        <v>388.3</v>
      </c>
      <c r="AG26" s="283">
        <v>431.1</v>
      </c>
      <c r="AH26" s="283">
        <v>440.4</v>
      </c>
      <c r="AI26" s="656">
        <f>SUM(D26:AH26)</f>
        <v>10825.699999999999</v>
      </c>
      <c r="AJ26" s="118">
        <v>100</v>
      </c>
      <c r="AK26" s="121">
        <f t="shared" si="31"/>
        <v>6.449074074074075E-3</v>
      </c>
      <c r="AL26" s="67">
        <f t="shared" si="22"/>
        <v>0.22733333333333333</v>
      </c>
      <c r="AM26" s="68">
        <f t="shared" ref="AM26:AO27" si="56">IF(OR(E26="",E26="Sem monitoramento"),"VAZIO",IFERROR(E26/($AJ26*24),"-"))</f>
        <v>0.16833333333333333</v>
      </c>
      <c r="AN26" s="68">
        <f t="shared" si="56"/>
        <v>0.11608333333333334</v>
      </c>
      <c r="AO26" s="68">
        <f t="shared" si="56"/>
        <v>9.1166666666666674E-2</v>
      </c>
      <c r="AP26" s="68" t="e">
        <f>IF(OR(#REF!="",#REF!="Sem monitoramento"),"VAZIO",IFERROR(#REF!/($AJ26*24),"-"))</f>
        <v>#REF!</v>
      </c>
      <c r="AQ26" s="68">
        <f t="shared" si="51"/>
        <v>0.24829166666666666</v>
      </c>
      <c r="AR26" s="68">
        <f>IF(OR(J26="",J26="Sem monitoramento"),"VAZIO",IFERROR(J26/($AJ26*24),"-"))</f>
        <v>0.23120833333333332</v>
      </c>
      <c r="AS26" s="68">
        <f t="shared" si="44"/>
        <v>0.21195833333333333</v>
      </c>
      <c r="AT26" s="68">
        <f t="shared" si="45"/>
        <v>0.16720833333333335</v>
      </c>
      <c r="AU26" s="68">
        <f t="shared" si="52"/>
        <v>0.12416666666666666</v>
      </c>
      <c r="AV26" s="68">
        <f>IF(OR(N25="",N25="Sem monitoramento"),"VAZIO",IFERROR(N25/($AJ26*24),"-"))</f>
        <v>0.21862500000000001</v>
      </c>
      <c r="AW26" s="68">
        <f t="shared" si="53"/>
        <v>0.14745833333333333</v>
      </c>
      <c r="AX26" s="68">
        <f t="shared" si="25"/>
        <v>0.17929166666666668</v>
      </c>
      <c r="AY26" s="68">
        <f t="shared" si="40"/>
        <v>0.13095833333333334</v>
      </c>
      <c r="AZ26" s="68">
        <f t="shared" si="46"/>
        <v>8.3333333333333339E-4</v>
      </c>
      <c r="BA26" s="68">
        <f t="shared" si="48"/>
        <v>0.16312499999999999</v>
      </c>
      <c r="BB26" s="68" t="e">
        <f>IF(OR(#REF!="",#REF!="Sem monitoramento"),"VAZIO",IFERROR(#REF!/($AJ26*24),"-"))</f>
        <v>#REF!</v>
      </c>
      <c r="BC26" s="68" t="e">
        <f>IF(OR(#REF!="",#REF!="Sem monitoramento"),"VAZIO",IFERROR(#REF!/($AJ26*24),"-"))</f>
        <v>#REF!</v>
      </c>
      <c r="BD26" s="68">
        <f t="shared" si="54"/>
        <v>0.20729166666666668</v>
      </c>
      <c r="BE26" s="68">
        <f>IF(OR(W25="",W25="Sem monitoramento"),"VAZIO",IFERROR(W25/($AJ26*24),"-"))</f>
        <v>0.18245833333333333</v>
      </c>
      <c r="BF26" s="68">
        <f t="shared" si="55"/>
        <v>9.5625000000000002E-2</v>
      </c>
      <c r="BG26" s="68">
        <f t="shared" si="47"/>
        <v>0.12079166666666666</v>
      </c>
      <c r="BH26" s="68" t="e">
        <f>IF(OR(#REF!="",#REF!="Sem monitoramento"),"VAZIO",IFERROR(#REF!/($AJ26*24),"-"))</f>
        <v>#REF!</v>
      </c>
      <c r="BI26" s="68">
        <f>IF(OR(AA26="",AA26="Sem monitoramento"),"VAZIO",IFERROR(AA26/($AJ26*24),"-"))</f>
        <v>0.15370833333333334</v>
      </c>
      <c r="BJ26" s="68">
        <f t="shared" si="50"/>
        <v>0.18254166666666669</v>
      </c>
      <c r="BK26" s="68">
        <f t="shared" si="28"/>
        <v>8.5791666666666669E-2</v>
      </c>
      <c r="BL26" s="68">
        <f t="shared" si="49"/>
        <v>0.13395833333333335</v>
      </c>
      <c r="BM26" s="68">
        <f t="shared" si="41"/>
        <v>5.8916666666666666E-2</v>
      </c>
      <c r="BN26" s="68">
        <f t="shared" si="42"/>
        <v>0.16179166666666667</v>
      </c>
      <c r="BO26" s="68">
        <f>IF(OR(AG26="",AG26="Sem monitoramento"),"VAZIO",IFERROR(AG26/($AJ26*24),"-"))</f>
        <v>0.17962500000000001</v>
      </c>
      <c r="BP26" s="70">
        <f t="shared" si="5"/>
        <v>0.15035694444444442</v>
      </c>
      <c r="BQ26" s="198">
        <f t="shared" si="43"/>
        <v>0.168125</v>
      </c>
      <c r="BR26" s="72">
        <f t="shared" si="33"/>
        <v>16.8125</v>
      </c>
      <c r="BS26" s="73">
        <f t="shared" si="34"/>
        <v>-5.2041666666666653E-2</v>
      </c>
      <c r="BT26" s="74">
        <f t="shared" si="8"/>
        <v>-1.7768055555555579E-2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501.4</v>
      </c>
      <c r="E27" s="63">
        <v>396</v>
      </c>
      <c r="F27" s="63">
        <v>279.89999999999998</v>
      </c>
      <c r="G27" s="308">
        <v>167</v>
      </c>
      <c r="H27" s="316">
        <v>243.2</v>
      </c>
      <c r="I27" s="283">
        <v>586.4</v>
      </c>
      <c r="J27" s="283">
        <v>522.9</v>
      </c>
      <c r="K27" s="283">
        <v>402.7</v>
      </c>
      <c r="L27" s="283">
        <v>349.6</v>
      </c>
      <c r="M27" s="283">
        <v>269.89999999999998</v>
      </c>
      <c r="N27" s="283">
        <v>367.9</v>
      </c>
      <c r="O27" s="283">
        <v>313.2</v>
      </c>
      <c r="P27" s="63">
        <v>470.7</v>
      </c>
      <c r="Q27" s="282">
        <v>235.7</v>
      </c>
      <c r="R27" s="283">
        <v>368.3</v>
      </c>
      <c r="S27" s="63">
        <v>347.3</v>
      </c>
      <c r="T27" s="283">
        <v>351.9</v>
      </c>
      <c r="U27" s="283">
        <v>450.6</v>
      </c>
      <c r="V27" s="283">
        <v>530.6</v>
      </c>
      <c r="W27" s="283">
        <v>390.7</v>
      </c>
      <c r="X27" s="282">
        <v>89.3</v>
      </c>
      <c r="Y27" s="283">
        <v>312.7</v>
      </c>
      <c r="Z27" s="221">
        <v>370.4</v>
      </c>
      <c r="AA27" s="283">
        <v>316.7</v>
      </c>
      <c r="AB27" s="323">
        <v>491</v>
      </c>
      <c r="AC27" s="283">
        <v>244.3</v>
      </c>
      <c r="AD27" s="283">
        <v>262.39999999999998</v>
      </c>
      <c r="AE27" s="283">
        <v>460.4</v>
      </c>
      <c r="AF27" s="283">
        <v>368.9</v>
      </c>
      <c r="AG27" s="283">
        <v>447.1</v>
      </c>
      <c r="AH27" s="283">
        <v>438.2</v>
      </c>
      <c r="AI27" s="656">
        <f t="shared" si="9"/>
        <v>11347.300000000001</v>
      </c>
      <c r="AJ27" s="118">
        <v>100</v>
      </c>
      <c r="AK27" s="121">
        <f t="shared" si="31"/>
        <v>6.4791666666666661E-3</v>
      </c>
      <c r="AL27" s="67">
        <f t="shared" si="22"/>
        <v>0.20891666666666667</v>
      </c>
      <c r="AM27" s="68">
        <f t="shared" si="56"/>
        <v>0.16500000000000001</v>
      </c>
      <c r="AN27" s="68">
        <f t="shared" si="56"/>
        <v>0.11662499999999999</v>
      </c>
      <c r="AO27" s="68">
        <f t="shared" si="56"/>
        <v>6.958333333333333E-2</v>
      </c>
      <c r="AP27" s="68">
        <f>IF(OR(H26="",H26="Sem monitoramento"),"VAZIO",IFERROR(H26/($AJ27*24),"-"))</f>
        <v>0.11874999999999999</v>
      </c>
      <c r="AQ27" s="68">
        <f t="shared" si="51"/>
        <v>0.24433333333333332</v>
      </c>
      <c r="AR27" s="68">
        <f>IF(OR(J27="",J27="Sem monitoramento"),"VAZIO",IFERROR(J27/($AJ27*24),"-"))</f>
        <v>0.21787499999999999</v>
      </c>
      <c r="AS27" s="68">
        <f t="shared" si="44"/>
        <v>0.16779166666666667</v>
      </c>
      <c r="AT27" s="68">
        <f t="shared" si="45"/>
        <v>0.14566666666666667</v>
      </c>
      <c r="AU27" s="68">
        <f t="shared" si="52"/>
        <v>0.11245833333333333</v>
      </c>
      <c r="AV27" s="68">
        <f>IF(OR(N27="",N27="Sem monitoramento"),"VAZIO",IFERROR(N27/($AJ27*24),"-"))</f>
        <v>0.15329166666666666</v>
      </c>
      <c r="AW27" s="68">
        <f t="shared" si="53"/>
        <v>0.1305</v>
      </c>
      <c r="AX27" s="68">
        <f t="shared" si="25"/>
        <v>0.19612499999999999</v>
      </c>
      <c r="AY27" s="68">
        <f t="shared" si="40"/>
        <v>9.8208333333333328E-2</v>
      </c>
      <c r="AZ27" s="68">
        <f t="shared" si="46"/>
        <v>0.15345833333333334</v>
      </c>
      <c r="BA27" s="68">
        <f t="shared" si="48"/>
        <v>0.14470833333333333</v>
      </c>
      <c r="BB27" s="68">
        <f>IF(OR(T27="",T27="Sem monitoramento"),"VAZIO",IFERROR(T27/($AJ27*24),"-"))</f>
        <v>0.14662499999999998</v>
      </c>
      <c r="BC27" s="68">
        <f t="shared" si="39"/>
        <v>0.18775</v>
      </c>
      <c r="BD27" s="68">
        <f t="shared" si="54"/>
        <v>0.22108333333333335</v>
      </c>
      <c r="BE27" s="68">
        <f>IF(OR(W27="",W27="Sem monitoramento"),"VAZIO",IFERROR(W27/($AJ27*24),"-"))</f>
        <v>0.16279166666666667</v>
      </c>
      <c r="BF27" s="68">
        <f t="shared" si="55"/>
        <v>3.7208333333333329E-2</v>
      </c>
      <c r="BG27" s="68">
        <f t="shared" si="47"/>
        <v>0.13029166666666667</v>
      </c>
      <c r="BH27" s="68">
        <f>IF(OR(Z27="",Z27="Sem monitoramento"),"VAZIO",IFERROR(Z27/($AJ27*24),"-"))</f>
        <v>0.15433333333333332</v>
      </c>
      <c r="BI27" s="68" t="e">
        <f>IF(OR(#REF!="",#REF!="Sem monitoramento"),"VAZIO",IFERROR(#REF!/($AJ27*24),"-"))</f>
        <v>#REF!</v>
      </c>
      <c r="BJ27" s="68">
        <f t="shared" si="50"/>
        <v>0.20458333333333334</v>
      </c>
      <c r="BK27" s="68">
        <f t="shared" si="28"/>
        <v>0.10179166666666667</v>
      </c>
      <c r="BL27" s="68">
        <f t="shared" si="49"/>
        <v>0.10933333333333332</v>
      </c>
      <c r="BM27" s="68">
        <f t="shared" si="41"/>
        <v>0.19183333333333333</v>
      </c>
      <c r="BN27" s="68">
        <f t="shared" si="42"/>
        <v>0.15370833333333334</v>
      </c>
      <c r="BO27" s="68">
        <f>IF(OR(AG27="",AG27="Sem monitoramento"),"VAZIO",IFERROR(AG27/($AJ27*24),"-"))</f>
        <v>0.18629166666666669</v>
      </c>
      <c r="BP27" s="70">
        <f t="shared" si="5"/>
        <v>0.15760138888888892</v>
      </c>
      <c r="BQ27" s="198">
        <f t="shared" si="43"/>
        <v>0.168125</v>
      </c>
      <c r="BR27" s="72">
        <f t="shared" si="33"/>
        <v>16.8125</v>
      </c>
      <c r="BS27" s="73">
        <f t="shared" si="34"/>
        <v>-5.1500000000000004E-2</v>
      </c>
      <c r="BT27" s="74">
        <f t="shared" si="8"/>
        <v>-1.0523611111111081E-2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429.6</v>
      </c>
      <c r="E28" s="223">
        <v>409</v>
      </c>
      <c r="F28" s="63">
        <v>265</v>
      </c>
      <c r="G28" s="308">
        <v>139.1</v>
      </c>
      <c r="H28" s="283">
        <v>236.7</v>
      </c>
      <c r="I28" s="283">
        <v>546</v>
      </c>
      <c r="J28" s="283">
        <v>501.6</v>
      </c>
      <c r="K28" s="283">
        <v>403.7</v>
      </c>
      <c r="L28" s="283">
        <v>270.8</v>
      </c>
      <c r="M28" s="63">
        <v>240.2</v>
      </c>
      <c r="N28" s="63">
        <v>136</v>
      </c>
      <c r="O28" s="282">
        <v>49.4</v>
      </c>
      <c r="P28" s="282">
        <v>4.8</v>
      </c>
      <c r="Q28" s="282">
        <v>23.4</v>
      </c>
      <c r="R28" s="282">
        <v>20.100000000000001</v>
      </c>
      <c r="S28" s="282">
        <v>69.7</v>
      </c>
      <c r="T28" s="283">
        <v>319.2</v>
      </c>
      <c r="U28" s="283">
        <v>338.9</v>
      </c>
      <c r="V28" s="283">
        <v>456.3</v>
      </c>
      <c r="W28" s="283">
        <v>343.1</v>
      </c>
      <c r="X28" s="282">
        <v>85</v>
      </c>
      <c r="Y28" s="283">
        <v>297.8</v>
      </c>
      <c r="Z28" s="283">
        <v>302.2</v>
      </c>
      <c r="AA28" s="519">
        <v>281.2</v>
      </c>
      <c r="AB28" s="323">
        <v>396.5</v>
      </c>
      <c r="AC28" s="283">
        <v>186.6</v>
      </c>
      <c r="AD28" s="283">
        <v>255.3</v>
      </c>
      <c r="AE28" s="221">
        <v>376.1</v>
      </c>
      <c r="AF28" s="221">
        <v>352.2</v>
      </c>
      <c r="AG28" s="221">
        <v>390</v>
      </c>
      <c r="AH28" s="221">
        <v>459.8</v>
      </c>
      <c r="AI28" s="656">
        <f t="shared" si="9"/>
        <v>8585.3000000000011</v>
      </c>
      <c r="AJ28" s="301">
        <v>100</v>
      </c>
      <c r="AK28" s="121">
        <f t="shared" si="31"/>
        <v>6.1342592592592594E-3</v>
      </c>
      <c r="AL28" s="302">
        <f t="shared" si="22"/>
        <v>0.17900000000000002</v>
      </c>
      <c r="AM28" s="303" t="e">
        <f>IF(OR(#REF!="",#REF!="Sem monitoramento"),"VAZIO",IFERROR(#REF!/($AJ28*24),"-"))</f>
        <v>#REF!</v>
      </c>
      <c r="AN28" s="303">
        <f t="shared" ref="AN28:AP31" si="57">IF(OR(F28="",F28="Sem monitoramento"),"VAZIO",IFERROR(F28/($AJ28*24),"-"))</f>
        <v>0.11041666666666666</v>
      </c>
      <c r="AO28" s="303">
        <f t="shared" si="57"/>
        <v>5.7958333333333334E-2</v>
      </c>
      <c r="AP28" s="303">
        <f t="shared" si="57"/>
        <v>9.862499999999999E-2</v>
      </c>
      <c r="AQ28" s="303">
        <f t="shared" si="51"/>
        <v>0.22750000000000001</v>
      </c>
      <c r="AR28" s="303">
        <f>IF(OR(J28="",J28="Sem monitoramento"),"VAZIO",IFERROR(J28/($AJ28*24),"-"))</f>
        <v>0.20900000000000002</v>
      </c>
      <c r="AS28" s="303">
        <f t="shared" si="44"/>
        <v>0.16820833333333332</v>
      </c>
      <c r="AT28" s="303">
        <f t="shared" si="45"/>
        <v>0.11283333333333334</v>
      </c>
      <c r="AU28" s="303">
        <f t="shared" si="52"/>
        <v>0.10008333333333333</v>
      </c>
      <c r="AV28" s="303">
        <f>IF(OR(N28="",N28="Sem monitoramento"),"VAZIO",IFERROR(N28/($AJ28*24),"-"))</f>
        <v>5.6666666666666664E-2</v>
      </c>
      <c r="AW28" s="303">
        <f t="shared" si="53"/>
        <v>2.0583333333333332E-2</v>
      </c>
      <c r="AX28" s="303">
        <f t="shared" si="25"/>
        <v>2E-3</v>
      </c>
      <c r="AY28" s="303">
        <f t="shared" si="40"/>
        <v>9.75E-3</v>
      </c>
      <c r="AZ28" s="303">
        <f t="shared" si="46"/>
        <v>8.3750000000000005E-3</v>
      </c>
      <c r="BA28" s="303">
        <f t="shared" si="48"/>
        <v>2.9041666666666667E-2</v>
      </c>
      <c r="BB28" s="303">
        <f>IF(OR(T28="",T28="Sem monitoramento"),"VAZIO",IFERROR(T28/($AJ28*24),"-"))</f>
        <v>0.13300000000000001</v>
      </c>
      <c r="BC28" s="303">
        <f t="shared" si="39"/>
        <v>0.14120833333333332</v>
      </c>
      <c r="BD28" s="303">
        <f t="shared" si="54"/>
        <v>0.19012500000000002</v>
      </c>
      <c r="BE28" s="303">
        <f>IF(OR(X28="",X28="Sem monitoramento"),"VAZIO",IFERROR(X28/($AJ28*24),"-"))</f>
        <v>3.5416666666666666E-2</v>
      </c>
      <c r="BF28" s="303" t="e">
        <f>IF(OR(#REF!="",#REF!="Sem monitoramento"),"VAZIO",IFERROR(#REF!/($AJ28*24),"-"))</f>
        <v>#REF!</v>
      </c>
      <c r="BG28" s="303">
        <f t="shared" si="47"/>
        <v>0.12408333333333334</v>
      </c>
      <c r="BH28" s="303">
        <f>IF(OR(Z28="",Z28="Sem monitoramento"),"VAZIO",IFERROR(Z28/($AJ28*24),"-"))</f>
        <v>0.12591666666666665</v>
      </c>
      <c r="BI28" s="303">
        <f>IF(OR(AA27="",AA27="Sem monitoramento"),"VAZIO",IFERROR(AA27/($AJ28*24),"-"))</f>
        <v>0.13195833333333332</v>
      </c>
      <c r="BJ28" s="303">
        <f t="shared" si="50"/>
        <v>0.16520833333333335</v>
      </c>
      <c r="BK28" s="303">
        <f t="shared" si="28"/>
        <v>7.775E-2</v>
      </c>
      <c r="BL28" s="303">
        <f t="shared" si="49"/>
        <v>0.10637500000000001</v>
      </c>
      <c r="BM28" s="303">
        <f t="shared" si="41"/>
        <v>0.15670833333333334</v>
      </c>
      <c r="BN28" s="303">
        <f t="shared" si="42"/>
        <v>0.14674999999999999</v>
      </c>
      <c r="BO28" s="303" t="e">
        <f>IF(OR(#REF!="",#REF!="Sem monitoramento"),"VAZIO",IFERROR(#REF!/($AJ28*24),"-"))</f>
        <v>#REF!</v>
      </c>
      <c r="BP28" s="304">
        <f t="shared" si="5"/>
        <v>0.11924027777777779</v>
      </c>
      <c r="BQ28" s="198">
        <f t="shared" si="43"/>
        <v>0.168125</v>
      </c>
      <c r="BR28" s="72">
        <f t="shared" si="33"/>
        <v>16.8125</v>
      </c>
      <c r="BS28" s="73">
        <f t="shared" si="34"/>
        <v>-5.7708333333333334E-2</v>
      </c>
      <c r="BT28" s="74">
        <f>BP28-BQ28</f>
        <v>-4.8884722222222204E-2</v>
      </c>
      <c r="BU28" s="15" t="s">
        <v>440</v>
      </c>
      <c r="BV28" s="3"/>
      <c r="BW28" s="2"/>
      <c r="BX28" s="2"/>
    </row>
    <row r="29" spans="2:76" ht="15" thickBot="1" x14ac:dyDescent="0.35">
      <c r="B29" s="775"/>
      <c r="C29" s="326" t="s">
        <v>289</v>
      </c>
      <c r="D29" s="223">
        <v>423.4</v>
      </c>
      <c r="E29" s="283">
        <v>376.2</v>
      </c>
      <c r="F29" s="283">
        <v>248.5</v>
      </c>
      <c r="G29" s="308">
        <v>138.4</v>
      </c>
      <c r="H29" s="283">
        <v>210.1</v>
      </c>
      <c r="I29" s="308">
        <v>515.20000000000005</v>
      </c>
      <c r="J29" s="63">
        <v>462.3</v>
      </c>
      <c r="K29" s="283">
        <v>360.8</v>
      </c>
      <c r="L29" s="283">
        <v>319.7</v>
      </c>
      <c r="M29" s="283">
        <v>225.9</v>
      </c>
      <c r="N29" s="316">
        <v>315.8</v>
      </c>
      <c r="O29" s="283">
        <v>276.89999999999998</v>
      </c>
      <c r="P29" s="283">
        <v>407.9</v>
      </c>
      <c r="Q29" s="282">
        <v>209.4</v>
      </c>
      <c r="R29" s="283">
        <v>324.10000000000002</v>
      </c>
      <c r="S29" s="283">
        <v>317.7</v>
      </c>
      <c r="T29" s="283">
        <v>324.3</v>
      </c>
      <c r="U29" s="283">
        <v>405.4</v>
      </c>
      <c r="V29" s="283">
        <v>458.3</v>
      </c>
      <c r="W29" s="283">
        <v>370.5</v>
      </c>
      <c r="X29" s="282">
        <v>76.8</v>
      </c>
      <c r="Y29" s="283">
        <v>274.60000000000002</v>
      </c>
      <c r="Z29" s="221">
        <v>343.4</v>
      </c>
      <c r="AA29" s="320">
        <v>282.10000000000002</v>
      </c>
      <c r="AB29" s="323">
        <v>429.3</v>
      </c>
      <c r="AC29" s="283">
        <v>214.9</v>
      </c>
      <c r="AD29" s="283">
        <v>225.9</v>
      </c>
      <c r="AE29" s="221">
        <v>398.9</v>
      </c>
      <c r="AF29" s="221">
        <v>330.8</v>
      </c>
      <c r="AG29" s="221">
        <v>391.6</v>
      </c>
      <c r="AH29" s="221">
        <v>409</v>
      </c>
      <c r="AI29" s="656">
        <f t="shared" si="9"/>
        <v>10068.1</v>
      </c>
      <c r="AJ29" s="119">
        <v>100</v>
      </c>
      <c r="AK29" s="121">
        <f t="shared" si="31"/>
        <v>5.7523148148148151E-3</v>
      </c>
      <c r="AL29" s="98">
        <f t="shared" si="22"/>
        <v>0.17641666666666667</v>
      </c>
      <c r="AM29" s="99">
        <f>IF(OR(E29="",E29="Sem monitoramento"),"VAZIO",IFERROR(E29/($AJ29*24),"-"))</f>
        <v>0.15675</v>
      </c>
      <c r="AN29" s="99">
        <f t="shared" si="57"/>
        <v>0.10354166666666667</v>
      </c>
      <c r="AO29" s="99">
        <f t="shared" si="57"/>
        <v>5.7666666666666672E-2</v>
      </c>
      <c r="AP29" s="99">
        <f t="shared" si="57"/>
        <v>8.754166666666667E-2</v>
      </c>
      <c r="AQ29" s="99">
        <f t="shared" si="51"/>
        <v>0.21466666666666667</v>
      </c>
      <c r="AR29" s="99">
        <f>IF(OR(J30="",J30="Sem monitoramento"),"VAZIO",IFERROR(J30/($AJ29*24),"-"))</f>
        <v>0.22145833333333334</v>
      </c>
      <c r="AS29" s="99">
        <f t="shared" si="44"/>
        <v>0.15033333333333335</v>
      </c>
      <c r="AT29" s="99">
        <f t="shared" si="45"/>
        <v>0.13320833333333332</v>
      </c>
      <c r="AU29" s="99">
        <f t="shared" si="52"/>
        <v>9.4125E-2</v>
      </c>
      <c r="AV29" s="99">
        <f>IF(OR(N30="",N30="Sem monitoramento"),"VAZIO",IFERROR(N30/($AJ29*24),"-"))</f>
        <v>7.2000000000000008E-2</v>
      </c>
      <c r="AW29" s="99">
        <f t="shared" si="53"/>
        <v>0.11537499999999999</v>
      </c>
      <c r="AX29" s="99">
        <f t="shared" si="25"/>
        <v>0.16995833333333332</v>
      </c>
      <c r="AY29" s="99">
        <f t="shared" si="40"/>
        <v>8.7250000000000008E-2</v>
      </c>
      <c r="AZ29" s="99">
        <f t="shared" si="46"/>
        <v>0.13504166666666667</v>
      </c>
      <c r="BA29" s="99">
        <f t="shared" si="48"/>
        <v>0.13237499999999999</v>
      </c>
      <c r="BB29" s="99">
        <f>IF(OR(T29="",T29="Sem monitoramento"),"VAZIO",IFERROR(T29/($AJ29*24),"-"))</f>
        <v>0.135125</v>
      </c>
      <c r="BC29" s="99">
        <f t="shared" si="39"/>
        <v>0.16891666666666666</v>
      </c>
      <c r="BD29" s="99">
        <f t="shared" si="54"/>
        <v>0.19095833333333334</v>
      </c>
      <c r="BE29" s="99">
        <f>IF(OR(X29="",X29="Sem monitoramento"),"VAZIO",IFERROR(X29/($AJ29*24),"-"))</f>
        <v>3.2000000000000001E-2</v>
      </c>
      <c r="BF29" s="99" t="e">
        <f>IF(OR(#REF!="",#REF!="Sem monitoramento"),"VAZIO",IFERROR(#REF!/($AJ29*24),"-"))</f>
        <v>#REF!</v>
      </c>
      <c r="BG29" s="99">
        <f t="shared" si="47"/>
        <v>0.11441666666666668</v>
      </c>
      <c r="BH29" s="99">
        <f>IF(OR(Z29="",Z29="Sem monitoramento"),"VAZIO",IFERROR(Z29/($AJ29*24),"-"))</f>
        <v>0.14308333333333331</v>
      </c>
      <c r="BI29" s="99">
        <f>IF(OR(AA29="",AA29="Sem monitoramento"),"VAZIO",IFERROR(AA29/($AJ29*24),"-"))</f>
        <v>0.11754166666666667</v>
      </c>
      <c r="BJ29" s="99">
        <f t="shared" si="50"/>
        <v>0.17887500000000001</v>
      </c>
      <c r="BK29" s="99">
        <f t="shared" si="28"/>
        <v>8.9541666666666672E-2</v>
      </c>
      <c r="BL29" s="99">
        <f t="shared" si="49"/>
        <v>9.4125E-2</v>
      </c>
      <c r="BM29" s="99">
        <f t="shared" si="41"/>
        <v>0.16620833333333332</v>
      </c>
      <c r="BN29" s="99">
        <f t="shared" si="42"/>
        <v>0.13783333333333334</v>
      </c>
      <c r="BO29" s="99">
        <f>IF(OR(AG28="",AG28="Sem monitoramento"),"VAZIO",IFERROR(AG28/($AJ29*24),"-"))</f>
        <v>0.16250000000000001</v>
      </c>
      <c r="BP29" s="101">
        <f t="shared" si="5"/>
        <v>0.13983472222222224</v>
      </c>
      <c r="BQ29" s="198">
        <f t="shared" si="43"/>
        <v>0.168125</v>
      </c>
      <c r="BR29" s="72">
        <f t="shared" si="33"/>
        <v>16.8125</v>
      </c>
      <c r="BS29" s="73">
        <f t="shared" si="34"/>
        <v>-6.4583333333333326E-2</v>
      </c>
      <c r="BT29" s="74">
        <f t="shared" si="8"/>
        <v>-2.8290277777777761E-2</v>
      </c>
      <c r="BU29" s="15" t="s">
        <v>112</v>
      </c>
      <c r="BV29" s="3"/>
      <c r="BW29" s="2"/>
      <c r="BX29" s="2"/>
    </row>
    <row r="30" spans="2:76" ht="15" thickBot="1" x14ac:dyDescent="0.35">
      <c r="B30" s="773" t="s">
        <v>290</v>
      </c>
      <c r="C30" s="326" t="s">
        <v>291</v>
      </c>
      <c r="D30" s="223">
        <v>437.9</v>
      </c>
      <c r="E30" s="31">
        <v>362.6</v>
      </c>
      <c r="F30" s="63">
        <v>334.7</v>
      </c>
      <c r="G30" s="63">
        <v>287.7</v>
      </c>
      <c r="H30" s="283">
        <v>317</v>
      </c>
      <c r="I30" s="470">
        <v>224.6</v>
      </c>
      <c r="J30" s="308">
        <v>531.5</v>
      </c>
      <c r="K30" s="283">
        <v>435.7</v>
      </c>
      <c r="L30" s="283">
        <v>416.4</v>
      </c>
      <c r="M30" s="283">
        <v>210.7</v>
      </c>
      <c r="N30" s="282">
        <v>172.8</v>
      </c>
      <c r="O30" s="283">
        <v>345.9</v>
      </c>
      <c r="P30" s="283">
        <v>443.1</v>
      </c>
      <c r="Q30" s="283">
        <v>268.5</v>
      </c>
      <c r="R30" s="283">
        <v>320</v>
      </c>
      <c r="S30" s="283">
        <v>414.4</v>
      </c>
      <c r="T30" s="283">
        <v>327.8</v>
      </c>
      <c r="U30" s="283">
        <v>445.4</v>
      </c>
      <c r="V30" s="282">
        <v>353.8</v>
      </c>
      <c r="W30" s="283">
        <v>359.4</v>
      </c>
      <c r="X30" s="283">
        <v>246.9</v>
      </c>
      <c r="Y30" s="320">
        <v>244.2</v>
      </c>
      <c r="Z30" s="320">
        <v>326</v>
      </c>
      <c r="AA30" s="320">
        <v>324.3</v>
      </c>
      <c r="AB30" s="323">
        <v>383.3</v>
      </c>
      <c r="AC30" s="15">
        <v>206.7</v>
      </c>
      <c r="AD30" s="221">
        <v>272.3</v>
      </c>
      <c r="AE30" s="221">
        <v>384.7</v>
      </c>
      <c r="AF30" s="15">
        <v>326.10000000000002</v>
      </c>
      <c r="AG30" s="15">
        <v>412.1</v>
      </c>
      <c r="AH30" s="15">
        <v>402.1</v>
      </c>
      <c r="AI30" s="656">
        <f t="shared" si="9"/>
        <v>10538.6</v>
      </c>
      <c r="AJ30" s="2">
        <v>100</v>
      </c>
      <c r="AK30" s="285">
        <f t="shared" si="31"/>
        <v>7.7476851851851847E-3</v>
      </c>
      <c r="AL30" s="98">
        <f t="shared" si="22"/>
        <v>0.18245833333333333</v>
      </c>
      <c r="AM30" s="99">
        <f>IF(OR(E28="",E28="Sem monitoramento"),"VAZIO",IFERROR(E28/($AJ30*24),"-"))</f>
        <v>0.17041666666666666</v>
      </c>
      <c r="AN30" s="99">
        <f t="shared" si="57"/>
        <v>0.13945833333333332</v>
      </c>
      <c r="AO30" s="99">
        <f t="shared" si="57"/>
        <v>0.119875</v>
      </c>
      <c r="AP30" s="99">
        <f t="shared" si="57"/>
        <v>0.13208333333333333</v>
      </c>
      <c r="AQ30" s="99">
        <f t="shared" si="51"/>
        <v>9.3583333333333338E-2</v>
      </c>
      <c r="AR30" s="99" t="e">
        <f>IF(OR(#REF!="",#REF!="Sem monitoramento"),"VAZIO",IFERROR(#REF!/($AJ30*24),"-"))</f>
        <v>#REF!</v>
      </c>
      <c r="AS30" s="99">
        <f t="shared" si="44"/>
        <v>0.18154166666666666</v>
      </c>
      <c r="AT30" s="99">
        <f t="shared" si="45"/>
        <v>0.17349999999999999</v>
      </c>
      <c r="AU30" s="99">
        <f t="shared" si="52"/>
        <v>8.7791666666666657E-2</v>
      </c>
      <c r="AV30" s="99" t="e">
        <f>IF(OR(#REF!="",#REF!="Sem monitoramento"),"VAZIO",IFERROR(#REF!/($AJ30*24),"-"))</f>
        <v>#REF!</v>
      </c>
      <c r="AW30" s="99">
        <f t="shared" si="53"/>
        <v>0.144125</v>
      </c>
      <c r="AX30" s="99">
        <f t="shared" si="25"/>
        <v>0.18462500000000001</v>
      </c>
      <c r="AY30" s="99">
        <f t="shared" si="40"/>
        <v>0.111875</v>
      </c>
      <c r="AZ30" s="99">
        <f t="shared" si="46"/>
        <v>0.13333333333333333</v>
      </c>
      <c r="BA30" s="99">
        <f t="shared" si="48"/>
        <v>0.17266666666666666</v>
      </c>
      <c r="BB30" s="99">
        <f>IF(OR(T30="",T30="Sem monitoramento"),"VAZIO",IFERROR(T30/($AJ30*24),"-"))</f>
        <v>0.13658333333333333</v>
      </c>
      <c r="BC30" s="99">
        <f t="shared" si="39"/>
        <v>0.18558333333333332</v>
      </c>
      <c r="BD30" s="99">
        <f t="shared" si="54"/>
        <v>0.14741666666666667</v>
      </c>
      <c r="BE30" s="99">
        <f>IF(OR(W30="",W30="Sem monitoramento"),"VAZIO",IFERROR(W30/($AJ30*24),"-"))</f>
        <v>0.14974999999999999</v>
      </c>
      <c r="BF30" s="99">
        <f t="shared" si="55"/>
        <v>0.10287500000000001</v>
      </c>
      <c r="BG30" s="99">
        <f t="shared" si="47"/>
        <v>0.10174999999999999</v>
      </c>
      <c r="BH30" s="99">
        <f>IF(OR(Z30="",Z30="Sem monitoramento"),"VAZIO",IFERROR(Z30/($AJ30*24),"-"))</f>
        <v>0.13583333333333333</v>
      </c>
      <c r="BI30" s="99">
        <f>IF(OR(AA30="",AA30="Sem monitoramento"),"VAZIO",IFERROR(AA30/($AJ30*24),"-"))</f>
        <v>0.135125</v>
      </c>
      <c r="BJ30" s="99">
        <f t="shared" si="50"/>
        <v>0.15970833333333334</v>
      </c>
      <c r="BK30" s="99">
        <f t="shared" si="28"/>
        <v>8.6124999999999993E-2</v>
      </c>
      <c r="BL30" s="99">
        <f t="shared" si="49"/>
        <v>0.11345833333333334</v>
      </c>
      <c r="BM30" s="99">
        <f t="shared" si="41"/>
        <v>0.16029166666666667</v>
      </c>
      <c r="BN30" s="286">
        <f t="shared" si="42"/>
        <v>0.135875</v>
      </c>
      <c r="BO30" s="286">
        <f>IF(OR(AG30="",AG30="Sem monitoramento"),"VAZIO",IFERROR(AG30/($AJ30*24),"-"))</f>
        <v>0.17170833333333335</v>
      </c>
      <c r="BP30" s="286">
        <f t="shared" si="5"/>
        <v>0.14636944444444444</v>
      </c>
      <c r="BQ30" s="198">
        <f t="shared" si="43"/>
        <v>0.168125</v>
      </c>
      <c r="BR30" s="72">
        <f t="shared" si="33"/>
        <v>16.8125</v>
      </c>
      <c r="BS30" s="73">
        <f t="shared" si="34"/>
        <v>-2.8666666666666674E-2</v>
      </c>
      <c r="BT30" s="74">
        <f t="shared" si="8"/>
        <v>-2.1755555555555556E-2</v>
      </c>
      <c r="BU30" s="2"/>
      <c r="BV30" s="3"/>
      <c r="BW30" s="2"/>
      <c r="BX30" s="2"/>
    </row>
    <row r="31" spans="2:76" ht="15" thickBot="1" x14ac:dyDescent="0.35">
      <c r="B31" s="777"/>
      <c r="C31" s="329" t="s">
        <v>563</v>
      </c>
      <c r="D31" s="224">
        <v>298.8</v>
      </c>
      <c r="E31" s="93">
        <v>221.4</v>
      </c>
      <c r="F31" s="93">
        <v>210.3</v>
      </c>
      <c r="G31" s="115">
        <v>159.19999999999999</v>
      </c>
      <c r="H31" s="532">
        <v>170.5</v>
      </c>
      <c r="I31" s="115">
        <v>326.3</v>
      </c>
      <c r="J31" s="115">
        <v>316.8</v>
      </c>
      <c r="K31" s="93">
        <v>299.39999999999998</v>
      </c>
      <c r="L31" s="93">
        <v>280.39999999999998</v>
      </c>
      <c r="M31" s="93">
        <v>138.9</v>
      </c>
      <c r="N31" s="93">
        <v>180.6</v>
      </c>
      <c r="O31" s="318">
        <v>248.9</v>
      </c>
      <c r="P31" s="93">
        <v>244</v>
      </c>
      <c r="Q31" s="318">
        <v>157.6</v>
      </c>
      <c r="R31" s="622">
        <v>52.4</v>
      </c>
      <c r="S31" s="622">
        <v>101.7</v>
      </c>
      <c r="T31" s="318">
        <v>218.9</v>
      </c>
      <c r="U31" s="622">
        <v>291.39999999999998</v>
      </c>
      <c r="V31" s="318">
        <v>271.8</v>
      </c>
      <c r="W31" s="318">
        <v>209.8</v>
      </c>
      <c r="X31" s="277">
        <v>143.1</v>
      </c>
      <c r="Y31" s="318">
        <v>134.19999999999999</v>
      </c>
      <c r="Z31" s="318">
        <v>183.2</v>
      </c>
      <c r="AA31" s="318">
        <v>218.7</v>
      </c>
      <c r="AB31" s="655">
        <v>238.9</v>
      </c>
      <c r="AC31" s="22">
        <v>99</v>
      </c>
      <c r="AD31" s="277">
        <v>151.80000000000001</v>
      </c>
      <c r="AE31" s="93">
        <v>414.1</v>
      </c>
      <c r="AF31" s="22">
        <v>193.1</v>
      </c>
      <c r="AG31" s="578">
        <v>170.5</v>
      </c>
      <c r="AH31" s="22">
        <v>283.8</v>
      </c>
      <c r="AI31" s="335">
        <f t="shared" si="9"/>
        <v>6629.5000000000009</v>
      </c>
      <c r="AJ31" s="2"/>
      <c r="AK31" s="285"/>
      <c r="AL31" s="286" t="str">
        <f t="shared" si="22"/>
        <v>-</v>
      </c>
      <c r="AM31" s="286" t="str">
        <f>IF(OR(E31="",E31="Sem monitoramento"),"VAZIO",IFERROR(E31/($AJ31*24),"-"))</f>
        <v>-</v>
      </c>
      <c r="AN31" s="286" t="str">
        <f t="shared" si="57"/>
        <v>-</v>
      </c>
      <c r="AO31" s="286" t="str">
        <f t="shared" si="57"/>
        <v>-</v>
      </c>
      <c r="AP31" s="286" t="str">
        <f t="shared" si="57"/>
        <v>-</v>
      </c>
      <c r="AQ31" s="286" t="str">
        <f t="shared" si="51"/>
        <v>-</v>
      </c>
      <c r="AR31" s="286" t="str">
        <f>IF(OR(J31="",J31="Sem monitoramento"),"VAZIO",IFERROR(J31/($AJ31*24),"-"))</f>
        <v>-</v>
      </c>
      <c r="AS31" s="286" t="str">
        <f t="shared" si="44"/>
        <v>-</v>
      </c>
      <c r="AT31" s="286" t="str">
        <f t="shared" si="45"/>
        <v>-</v>
      </c>
      <c r="AU31" s="286" t="str">
        <f t="shared" si="52"/>
        <v>-</v>
      </c>
      <c r="AV31" s="286" t="str">
        <f>IF(OR(N31="",N31="Sem monitoramento"),"VAZIO",IFERROR(N31/($AJ31*24),"-"))</f>
        <v>-</v>
      </c>
      <c r="AW31" s="286" t="str">
        <f t="shared" si="53"/>
        <v>-</v>
      </c>
      <c r="AX31" s="286" t="str">
        <f t="shared" si="25"/>
        <v>-</v>
      </c>
      <c r="AY31" s="286" t="str">
        <f t="shared" si="40"/>
        <v>-</v>
      </c>
      <c r="AZ31" s="286" t="str">
        <f t="shared" si="46"/>
        <v>-</v>
      </c>
      <c r="BA31" s="286" t="str">
        <f t="shared" si="48"/>
        <v>-</v>
      </c>
      <c r="BB31" s="286" t="str">
        <f>IF(OR(T31="",T31="Sem monitoramento"),"VAZIO",IFERROR(T31/($AJ31*24),"-"))</f>
        <v>-</v>
      </c>
      <c r="BC31" s="286" t="str">
        <f t="shared" si="39"/>
        <v>-</v>
      </c>
      <c r="BD31" s="286" t="str">
        <f t="shared" si="54"/>
        <v>-</v>
      </c>
      <c r="BE31" s="286" t="str">
        <f>IF(OR(W31="",W31="Sem monitoramento"),"VAZIO",IFERROR(W31/($AJ31*24),"-"))</f>
        <v>-</v>
      </c>
      <c r="BF31" s="286" t="str">
        <f t="shared" si="55"/>
        <v>-</v>
      </c>
      <c r="BG31" s="286" t="str">
        <f t="shared" si="47"/>
        <v>-</v>
      </c>
      <c r="BH31" s="286" t="str">
        <f>IF(OR(Z31="",Z31="Sem monitoramento"),"VAZIO",IFERROR(Z31/($AJ31*24),"-"))</f>
        <v>-</v>
      </c>
      <c r="BI31" s="286" t="str">
        <f>IF(OR(AA31="",AA31="Sem monitoramento"),"VAZIO",IFERROR(AA31/($AJ31*24),"-"))</f>
        <v>-</v>
      </c>
      <c r="BJ31" s="286" t="str">
        <f t="shared" si="50"/>
        <v>-</v>
      </c>
      <c r="BK31" s="286" t="str">
        <f t="shared" si="28"/>
        <v>-</v>
      </c>
      <c r="BL31" s="286" t="str">
        <f t="shared" si="49"/>
        <v>-</v>
      </c>
      <c r="BM31" s="286" t="str">
        <f t="shared" si="41"/>
        <v>-</v>
      </c>
      <c r="BN31" s="286" t="str">
        <f t="shared" si="42"/>
        <v>-</v>
      </c>
      <c r="BO31" s="286" t="str">
        <f>IF(OR(AG31="",AG31="Sem monitoramento"),"VAZIO",IFERROR(AG31/($AJ31*24),"-"))</f>
        <v>-</v>
      </c>
      <c r="BP31" s="286" t="e">
        <f t="shared" si="5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11025.699999999999</v>
      </c>
      <c r="E32" s="103">
        <f>SUM(E5:E31)</f>
        <v>9690.9000000000015</v>
      </c>
      <c r="F32" s="103">
        <f>SUM(F5:F31)</f>
        <v>6495.9</v>
      </c>
      <c r="G32" s="103">
        <f>SUM(G5:G31)</f>
        <v>7660.6</v>
      </c>
      <c r="H32" s="103">
        <f t="shared" ref="H32:AH32" si="58">SUM(H5:H31)</f>
        <v>7310.2</v>
      </c>
      <c r="I32" s="103">
        <f t="shared" si="58"/>
        <v>13173.8</v>
      </c>
      <c r="J32" s="103">
        <f t="shared" si="58"/>
        <v>13053.199999999997</v>
      </c>
      <c r="K32" s="103">
        <f t="shared" si="58"/>
        <v>12003.400000000003</v>
      </c>
      <c r="L32" s="103">
        <f t="shared" si="58"/>
        <v>9506.7999999999993</v>
      </c>
      <c r="M32" s="103">
        <f t="shared" si="58"/>
        <v>5341.7999999999993</v>
      </c>
      <c r="N32" s="103">
        <f t="shared" si="58"/>
        <v>6356.4000000000005</v>
      </c>
      <c r="O32" s="103">
        <f t="shared" si="58"/>
        <v>6498.0999999999985</v>
      </c>
      <c r="P32" s="103">
        <f t="shared" si="58"/>
        <v>8348.2000000000007</v>
      </c>
      <c r="Q32" s="103">
        <f t="shared" si="58"/>
        <v>6563.6999999999989</v>
      </c>
      <c r="R32" s="103">
        <f t="shared" si="58"/>
        <v>6351.7</v>
      </c>
      <c r="S32" s="103">
        <f t="shared" si="58"/>
        <v>8984.9000000000015</v>
      </c>
      <c r="T32" s="103">
        <f>SUM(T5:T31)</f>
        <v>8807.7999999999993</v>
      </c>
      <c r="U32" s="103">
        <f>SUM(U5:U31)</f>
        <v>10040.699999999999</v>
      </c>
      <c r="V32" s="103">
        <f t="shared" si="58"/>
        <v>10250.399999999996</v>
      </c>
      <c r="W32" s="103">
        <f t="shared" si="58"/>
        <v>8300.9999999999982</v>
      </c>
      <c r="X32" s="103">
        <f t="shared" si="58"/>
        <v>5457.5000000000009</v>
      </c>
      <c r="Y32" s="103">
        <f t="shared" si="58"/>
        <v>5937.4</v>
      </c>
      <c r="Z32" s="103">
        <f t="shared" si="58"/>
        <v>9300.2999999999993</v>
      </c>
      <c r="AA32" s="103">
        <f t="shared" si="58"/>
        <v>9122.5</v>
      </c>
      <c r="AB32" s="103">
        <f>SUM(AB5:AB31)</f>
        <v>9369.2999999999975</v>
      </c>
      <c r="AC32" s="103">
        <f t="shared" si="58"/>
        <v>5891.6</v>
      </c>
      <c r="AD32" s="103">
        <f t="shared" si="58"/>
        <v>6735.6999999999989</v>
      </c>
      <c r="AE32" s="103">
        <f t="shared" si="58"/>
        <v>8525.6</v>
      </c>
      <c r="AF32" s="103">
        <f t="shared" si="58"/>
        <v>8227.7999999999993</v>
      </c>
      <c r="AG32" s="103">
        <f t="shared" si="58"/>
        <v>9684.2000000000007</v>
      </c>
      <c r="AH32" s="103">
        <f t="shared" si="58"/>
        <v>10656.1</v>
      </c>
      <c r="AI32" s="189">
        <f>SUM(AI5:AI31)</f>
        <v>264673.2</v>
      </c>
      <c r="AJ32" s="104">
        <f>SUM(AJ5:AJ31)</f>
        <v>2329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264,673 MWh</v>
      </c>
      <c r="AJ33" s="2"/>
      <c r="AN33" s="778">
        <v>12</v>
      </c>
      <c r="AW33">
        <v>1000</v>
      </c>
      <c r="AX33">
        <v>1000</v>
      </c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8822,44 kWh</v>
      </c>
      <c r="AJ34" s="2"/>
      <c r="AK34" s="2"/>
      <c r="AL34" s="2"/>
      <c r="AM34" s="2"/>
      <c r="AN34" s="779"/>
      <c r="AV34">
        <v>900</v>
      </c>
      <c r="AW34">
        <v>100</v>
      </c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264673,2 kWh</v>
      </c>
      <c r="AJ35" s="2"/>
      <c r="AK35" s="2"/>
      <c r="AL35" s="2"/>
      <c r="AM35" s="2"/>
      <c r="AN35" s="780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264,673 MWh</v>
      </c>
      <c r="AN36" s="778">
        <v>67</v>
      </c>
    </row>
    <row r="37" spans="2:76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  <c r="AN37" s="779"/>
    </row>
    <row r="38" spans="2:76" x14ac:dyDescent="0.3">
      <c r="AC38">
        <v>60.6</v>
      </c>
      <c r="AN38" s="780"/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  <c r="AN39" s="778">
        <v>49</v>
      </c>
    </row>
    <row r="40" spans="2:76" x14ac:dyDescent="0.3">
      <c r="N40">
        <v>91151.5</v>
      </c>
      <c r="O40">
        <f>N41-N40</f>
        <v>734</v>
      </c>
      <c r="X40" s="102"/>
      <c r="AF40">
        <f>AF39-20.4</f>
        <v>53905.2</v>
      </c>
      <c r="AN40" s="779"/>
    </row>
    <row r="41" spans="2:76" x14ac:dyDescent="0.3">
      <c r="N41">
        <v>91885.5</v>
      </c>
      <c r="X41" s="102"/>
      <c r="AF41">
        <f>AF40-AD39</f>
        <v>263.19999999999709</v>
      </c>
      <c r="AN41" s="780"/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  <c r="AN42" s="778">
        <v>33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  <c r="AN43" s="779"/>
    </row>
    <row r="44" spans="2:76" x14ac:dyDescent="0.3">
      <c r="B44" s="751" t="s">
        <v>6</v>
      </c>
      <c r="C44" s="18" t="s">
        <v>7</v>
      </c>
      <c r="D44" s="163">
        <f>D5+Agosto23!AF41</f>
        <v>48903</v>
      </c>
      <c r="E44" s="164">
        <f t="shared" ref="E44:F59" si="59">D44+E5</f>
        <v>48948.7</v>
      </c>
      <c r="F44" s="164">
        <f t="shared" si="59"/>
        <v>48977.7</v>
      </c>
      <c r="G44" s="165">
        <v>49036.4</v>
      </c>
      <c r="H44" s="166">
        <v>49076</v>
      </c>
      <c r="I44" s="163">
        <f t="shared" ref="I44:V59" si="60">H44+I5</f>
        <v>49143.8</v>
      </c>
      <c r="J44" s="163">
        <f t="shared" si="60"/>
        <v>49206.700000000004</v>
      </c>
      <c r="K44" s="163">
        <f t="shared" si="60"/>
        <v>49262.700000000004</v>
      </c>
      <c r="L44" s="163">
        <f t="shared" si="60"/>
        <v>49310.000000000007</v>
      </c>
      <c r="M44" s="163">
        <f t="shared" si="60"/>
        <v>49332.700000000004</v>
      </c>
      <c r="N44" s="163">
        <f t="shared" si="60"/>
        <v>49370.000000000007</v>
      </c>
      <c r="O44" s="163">
        <f t="shared" si="60"/>
        <v>49403.400000000009</v>
      </c>
      <c r="P44" s="163">
        <f t="shared" si="60"/>
        <v>49437.600000000006</v>
      </c>
      <c r="Q44" s="163">
        <f t="shared" si="60"/>
        <v>49472.500000000007</v>
      </c>
      <c r="R44" s="163">
        <f t="shared" si="60"/>
        <v>49502.000000000007</v>
      </c>
      <c r="S44" s="163">
        <f t="shared" si="60"/>
        <v>49543.900000000009</v>
      </c>
      <c r="T44" s="163">
        <f t="shared" si="60"/>
        <v>49588.80000000001</v>
      </c>
      <c r="U44" s="163">
        <f t="shared" si="60"/>
        <v>49630.000000000007</v>
      </c>
      <c r="V44" s="163">
        <f t="shared" si="60"/>
        <v>49672.900000000009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  <c r="AN44" s="780"/>
    </row>
    <row r="45" spans="2:76" x14ac:dyDescent="0.3">
      <c r="B45" s="752"/>
      <c r="C45" s="18" t="s">
        <v>8</v>
      </c>
      <c r="D45" s="163">
        <f>D6+Agosto23!AF42</f>
        <v>98832</v>
      </c>
      <c r="E45" s="164">
        <f t="shared" si="59"/>
        <v>98886.2</v>
      </c>
      <c r="F45" s="164">
        <f t="shared" si="59"/>
        <v>98914.5</v>
      </c>
      <c r="G45" s="165">
        <f>21775+78123.8</f>
        <v>99898.8</v>
      </c>
      <c r="H45" s="166">
        <f>21823+78322.8</f>
        <v>100145.8</v>
      </c>
      <c r="I45" s="163">
        <f t="shared" si="60"/>
        <v>100248.8</v>
      </c>
      <c r="J45" s="163">
        <f t="shared" si="60"/>
        <v>100401.60000000001</v>
      </c>
      <c r="K45" s="163">
        <f t="shared" si="60"/>
        <v>100544.1</v>
      </c>
      <c r="L45" s="163">
        <f t="shared" si="60"/>
        <v>100654.8</v>
      </c>
      <c r="M45" s="163">
        <f t="shared" si="60"/>
        <v>100709.90000000001</v>
      </c>
      <c r="N45" s="163">
        <f t="shared" si="60"/>
        <v>100804.90000000001</v>
      </c>
      <c r="O45" s="163">
        <f t="shared" si="60"/>
        <v>100909.90000000001</v>
      </c>
      <c r="P45" s="163">
        <f t="shared" si="60"/>
        <v>101010.90000000001</v>
      </c>
      <c r="Q45" s="163">
        <f t="shared" si="60"/>
        <v>101094.90000000001</v>
      </c>
      <c r="R45" s="163">
        <f t="shared" si="60"/>
        <v>101165.00000000001</v>
      </c>
      <c r="S45" s="163">
        <f t="shared" si="60"/>
        <v>101270.00000000001</v>
      </c>
      <c r="T45" s="163">
        <f t="shared" si="60"/>
        <v>101377.30000000002</v>
      </c>
      <c r="U45" s="163">
        <f t="shared" si="60"/>
        <v>101481.90000000002</v>
      </c>
      <c r="V45" s="163">
        <f t="shared" si="60"/>
        <v>101585.80000000002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  <c r="AN45" s="778">
        <v>12</v>
      </c>
    </row>
    <row r="46" spans="2:76" x14ac:dyDescent="0.3">
      <c r="B46" s="752"/>
      <c r="C46" s="18" t="s">
        <v>9</v>
      </c>
      <c r="D46" s="163">
        <f>D7+Agosto23!AF43</f>
        <v>69718.7</v>
      </c>
      <c r="E46" s="164">
        <f t="shared" si="59"/>
        <v>69910.899999999994</v>
      </c>
      <c r="F46" s="164">
        <f t="shared" si="59"/>
        <v>70039</v>
      </c>
      <c r="G46" s="165">
        <v>70458.2</v>
      </c>
      <c r="H46" s="166">
        <v>70615.5</v>
      </c>
      <c r="I46" s="163">
        <f t="shared" si="60"/>
        <v>70914.399999999994</v>
      </c>
      <c r="J46" s="163">
        <f t="shared" si="60"/>
        <v>71185.599999999991</v>
      </c>
      <c r="K46" s="163">
        <f t="shared" si="60"/>
        <v>71422.7</v>
      </c>
      <c r="L46" s="163">
        <f t="shared" si="60"/>
        <v>71615.899999999994</v>
      </c>
      <c r="M46" s="163">
        <f t="shared" si="60"/>
        <v>71720.899999999994</v>
      </c>
      <c r="N46" s="163">
        <f t="shared" si="60"/>
        <v>71934.2</v>
      </c>
      <c r="O46" s="163">
        <f t="shared" si="60"/>
        <v>72085.2</v>
      </c>
      <c r="P46" s="163">
        <f t="shared" si="60"/>
        <v>72123.399999999994</v>
      </c>
      <c r="Q46" s="163">
        <f t="shared" si="60"/>
        <v>72272.599999999991</v>
      </c>
      <c r="R46" s="163">
        <f t="shared" si="60"/>
        <v>72413.299999999988</v>
      </c>
      <c r="S46" s="163">
        <f t="shared" si="60"/>
        <v>72605.999999999985</v>
      </c>
      <c r="T46" s="163">
        <f t="shared" si="60"/>
        <v>72764.39999999998</v>
      </c>
      <c r="U46" s="163" t="e">
        <f>T46+#REF!</f>
        <v>#REF!</v>
      </c>
      <c r="V46" s="163" t="e">
        <f t="shared" si="60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  <c r="AN46" s="779"/>
    </row>
    <row r="47" spans="2:76" x14ac:dyDescent="0.3">
      <c r="B47" s="752"/>
      <c r="C47" s="18" t="s">
        <v>10</v>
      </c>
      <c r="D47" s="163">
        <f>D8+Agosto23!AF44</f>
        <v>95652</v>
      </c>
      <c r="E47" s="164">
        <f t="shared" si="59"/>
        <v>95761.3</v>
      </c>
      <c r="F47" s="164">
        <f t="shared" si="59"/>
        <v>95832.6</v>
      </c>
      <c r="G47" s="165">
        <v>96154</v>
      </c>
      <c r="H47" s="166">
        <v>96261.9</v>
      </c>
      <c r="I47" s="163" t="e">
        <f>H47+#REF!</f>
        <v>#REF!</v>
      </c>
      <c r="J47" s="163" t="e">
        <f t="shared" si="60"/>
        <v>#REF!</v>
      </c>
      <c r="K47" s="163" t="e">
        <f t="shared" si="60"/>
        <v>#REF!</v>
      </c>
      <c r="L47" s="163" t="e">
        <f t="shared" si="60"/>
        <v>#REF!</v>
      </c>
      <c r="M47" s="163" t="e">
        <f t="shared" si="60"/>
        <v>#REF!</v>
      </c>
      <c r="N47" s="163" t="e">
        <f t="shared" si="60"/>
        <v>#REF!</v>
      </c>
      <c r="O47" s="163" t="e">
        <f t="shared" si="60"/>
        <v>#REF!</v>
      </c>
      <c r="P47" s="163" t="e">
        <f t="shared" si="60"/>
        <v>#REF!</v>
      </c>
      <c r="Q47" s="163" t="e">
        <f t="shared" si="60"/>
        <v>#REF!</v>
      </c>
      <c r="R47" s="163" t="e">
        <f t="shared" si="60"/>
        <v>#REF!</v>
      </c>
      <c r="S47" s="163" t="e">
        <f t="shared" si="60"/>
        <v>#REF!</v>
      </c>
      <c r="T47" s="163" t="e">
        <f t="shared" si="60"/>
        <v>#REF!</v>
      </c>
      <c r="U47" s="163" t="e">
        <f>T47+#REF!</f>
        <v>#REF!</v>
      </c>
      <c r="V47" s="163" t="e">
        <f t="shared" si="60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  <c r="AN47" s="780"/>
    </row>
    <row r="48" spans="2:76" x14ac:dyDescent="0.3">
      <c r="B48" s="752"/>
      <c r="C48" s="18" t="s">
        <v>11</v>
      </c>
      <c r="D48" s="163">
        <f>D10+Agosto23!AF45</f>
        <v>18848.599999999999</v>
      </c>
      <c r="E48" s="164">
        <f t="shared" si="59"/>
        <v>18895.3</v>
      </c>
      <c r="F48" s="164">
        <f t="shared" si="59"/>
        <v>18918.7</v>
      </c>
      <c r="G48" s="165">
        <v>18957</v>
      </c>
      <c r="H48" s="166">
        <v>18998</v>
      </c>
      <c r="I48" s="163">
        <f t="shared" si="60"/>
        <v>19056.3</v>
      </c>
      <c r="J48" s="163">
        <f>I48+J10</f>
        <v>19111.2</v>
      </c>
      <c r="K48" s="163">
        <f t="shared" si="60"/>
        <v>19166</v>
      </c>
      <c r="L48" s="163">
        <f t="shared" si="60"/>
        <v>19211.7</v>
      </c>
      <c r="M48" s="163">
        <f t="shared" si="60"/>
        <v>19233.900000000001</v>
      </c>
      <c r="N48" s="163">
        <f t="shared" si="60"/>
        <v>19271.300000000003</v>
      </c>
      <c r="O48" s="163">
        <f t="shared" si="60"/>
        <v>19304.100000000002</v>
      </c>
      <c r="P48" s="163">
        <f>O48+P10</f>
        <v>19366.800000000003</v>
      </c>
      <c r="Q48" s="163">
        <f t="shared" si="60"/>
        <v>19398.700000000004</v>
      </c>
      <c r="R48" s="163">
        <f t="shared" si="60"/>
        <v>19427.000000000004</v>
      </c>
      <c r="S48" s="163">
        <f t="shared" si="60"/>
        <v>19465.900000000005</v>
      </c>
      <c r="T48" s="163">
        <f t="shared" si="60"/>
        <v>19508.600000000006</v>
      </c>
      <c r="U48" s="163">
        <f>T48+U7</f>
        <v>19697.700000000004</v>
      </c>
      <c r="V48" s="163">
        <f t="shared" si="60"/>
        <v>19739.400000000005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  <c r="AN48" s="778">
        <v>25</v>
      </c>
    </row>
    <row r="49" spans="2:40" x14ac:dyDescent="0.3">
      <c r="B49" s="752"/>
      <c r="C49" s="18" t="s">
        <v>12</v>
      </c>
      <c r="D49" s="163" t="e">
        <f>#REF!+Agosto23!AF46</f>
        <v>#REF!</v>
      </c>
      <c r="E49" s="164" t="e">
        <f t="shared" si="59"/>
        <v>#REF!</v>
      </c>
      <c r="F49" s="164" t="e">
        <f t="shared" si="59"/>
        <v>#REF!</v>
      </c>
      <c r="G49" s="165">
        <v>58550</v>
      </c>
      <c r="H49" s="166">
        <v>58640</v>
      </c>
      <c r="I49" s="163">
        <f>H49+I8</f>
        <v>58810.3</v>
      </c>
      <c r="J49" s="163" t="e">
        <f>I49+#REF!</f>
        <v>#REF!</v>
      </c>
      <c r="K49" s="163" t="e">
        <f t="shared" si="60"/>
        <v>#REF!</v>
      </c>
      <c r="L49" s="163" t="e">
        <f t="shared" si="60"/>
        <v>#REF!</v>
      </c>
      <c r="M49" s="163" t="e">
        <f t="shared" si="60"/>
        <v>#REF!</v>
      </c>
      <c r="N49" s="163" t="e">
        <f t="shared" si="60"/>
        <v>#REF!</v>
      </c>
      <c r="O49" s="163" t="e">
        <f t="shared" si="60"/>
        <v>#REF!</v>
      </c>
      <c r="P49" s="163" t="e">
        <f>O49+#REF!</f>
        <v>#REF!</v>
      </c>
      <c r="Q49" s="163" t="e">
        <f t="shared" si="60"/>
        <v>#REF!</v>
      </c>
      <c r="R49" s="163" t="e">
        <f t="shared" si="60"/>
        <v>#REF!</v>
      </c>
      <c r="S49" s="163" t="e">
        <f t="shared" si="60"/>
        <v>#REF!</v>
      </c>
      <c r="T49" s="163" t="e">
        <f t="shared" si="60"/>
        <v>#REF!</v>
      </c>
      <c r="U49" s="163" t="e">
        <f>T49+U8</f>
        <v>#REF!</v>
      </c>
      <c r="V49" s="163" t="e">
        <f t="shared" si="60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  <c r="AN49" s="779"/>
    </row>
    <row r="50" spans="2:40" x14ac:dyDescent="0.3">
      <c r="B50" s="752"/>
      <c r="C50" s="18" t="s">
        <v>13</v>
      </c>
      <c r="D50" s="163">
        <f>D11+Agosto23!AF47</f>
        <v>230359.30000000002</v>
      </c>
      <c r="E50" s="164">
        <f t="shared" si="59"/>
        <v>230647.7</v>
      </c>
      <c r="F50" s="164">
        <f t="shared" si="59"/>
        <v>230881.5</v>
      </c>
      <c r="G50" s="165">
        <v>231148.9</v>
      </c>
      <c r="H50" s="166">
        <v>231319.5</v>
      </c>
      <c r="I50" s="163">
        <f t="shared" si="60"/>
        <v>231788</v>
      </c>
      <c r="J50" s="163">
        <f t="shared" si="60"/>
        <v>232227.8</v>
      </c>
      <c r="K50" s="163">
        <f t="shared" si="60"/>
        <v>232655.09999999998</v>
      </c>
      <c r="L50" s="163">
        <f t="shared" si="60"/>
        <v>232949.99999999997</v>
      </c>
      <c r="M50" s="163">
        <f t="shared" si="60"/>
        <v>233131.79999999996</v>
      </c>
      <c r="N50" s="163">
        <f t="shared" si="60"/>
        <v>233439.69999999995</v>
      </c>
      <c r="O50" s="163">
        <f t="shared" si="60"/>
        <v>233691.59999999995</v>
      </c>
      <c r="P50" s="163">
        <f t="shared" si="60"/>
        <v>233958.79999999996</v>
      </c>
      <c r="Q50" s="163">
        <f t="shared" si="60"/>
        <v>234191.99999999997</v>
      </c>
      <c r="R50" s="163">
        <f t="shared" si="60"/>
        <v>234433.99999999997</v>
      </c>
      <c r="S50" s="163">
        <f t="shared" si="60"/>
        <v>234747.99999999997</v>
      </c>
      <c r="T50" s="163">
        <f t="shared" si="60"/>
        <v>235025.39999999997</v>
      </c>
      <c r="U50" s="163">
        <f t="shared" si="60"/>
        <v>235369.19999999995</v>
      </c>
      <c r="V50" s="163">
        <f t="shared" si="60"/>
        <v>235696.59999999995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  <c r="AN50" s="780"/>
    </row>
    <row r="51" spans="2:40" x14ac:dyDescent="0.3">
      <c r="B51" s="753"/>
      <c r="C51" s="18" t="s">
        <v>14</v>
      </c>
      <c r="D51" s="163">
        <f>D12+Agosto23!AF48</f>
        <v>856</v>
      </c>
      <c r="E51" s="164">
        <f t="shared" si="59"/>
        <v>1116</v>
      </c>
      <c r="F51" s="164">
        <f t="shared" si="59"/>
        <v>1301</v>
      </c>
      <c r="G51" s="165">
        <v>1440</v>
      </c>
      <c r="H51" s="166">
        <v>1620</v>
      </c>
      <c r="I51" s="163">
        <f t="shared" si="60"/>
        <v>2065</v>
      </c>
      <c r="J51" s="163">
        <f t="shared" si="60"/>
        <v>2514</v>
      </c>
      <c r="K51" s="163">
        <f t="shared" si="60"/>
        <v>2909</v>
      </c>
      <c r="L51" s="163">
        <f t="shared" si="60"/>
        <v>3174</v>
      </c>
      <c r="M51" s="163">
        <f t="shared" si="60"/>
        <v>3339</v>
      </c>
      <c r="N51" s="163">
        <f t="shared" si="60"/>
        <v>3559</v>
      </c>
      <c r="O51" s="163">
        <f t="shared" si="60"/>
        <v>3760</v>
      </c>
      <c r="P51" s="163">
        <f t="shared" si="60"/>
        <v>3962</v>
      </c>
      <c r="Q51" s="163">
        <f t="shared" si="60"/>
        <v>4157</v>
      </c>
      <c r="R51" s="163">
        <f t="shared" si="60"/>
        <v>4347</v>
      </c>
      <c r="S51" s="163">
        <f t="shared" si="60"/>
        <v>4607</v>
      </c>
      <c r="T51" s="163">
        <f t="shared" si="60"/>
        <v>4837</v>
      </c>
      <c r="U51" s="163">
        <f t="shared" si="60"/>
        <v>5037</v>
      </c>
      <c r="V51" s="163">
        <f t="shared" si="60"/>
        <v>5232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  <c r="AN51" s="778">
        <v>78</v>
      </c>
    </row>
    <row r="52" spans="2:40" x14ac:dyDescent="0.3">
      <c r="B52" s="751" t="s">
        <v>16</v>
      </c>
      <c r="C52" s="18" t="s">
        <v>17</v>
      </c>
      <c r="D52" s="163">
        <f>D13+Agosto23!AF49</f>
        <v>137338.80000000002</v>
      </c>
      <c r="E52" s="164">
        <f t="shared" si="59"/>
        <v>137757.40000000002</v>
      </c>
      <c r="F52" s="164">
        <f t="shared" si="59"/>
        <v>137985.20000000001</v>
      </c>
      <c r="G52" s="165">
        <v>138545</v>
      </c>
      <c r="H52" s="166">
        <v>138937</v>
      </c>
      <c r="I52" s="163">
        <f t="shared" si="60"/>
        <v>139497.70000000001</v>
      </c>
      <c r="J52" s="163">
        <f t="shared" si="60"/>
        <v>140071.80000000002</v>
      </c>
      <c r="K52" s="163">
        <f t="shared" si="60"/>
        <v>140626.00000000003</v>
      </c>
      <c r="L52" s="163">
        <f t="shared" si="60"/>
        <v>141060.60000000003</v>
      </c>
      <c r="M52" s="163">
        <f t="shared" si="60"/>
        <v>141266.30000000005</v>
      </c>
      <c r="N52" s="163">
        <f t="shared" si="60"/>
        <v>141628.00000000006</v>
      </c>
      <c r="O52" s="163">
        <f t="shared" si="60"/>
        <v>141937.30000000005</v>
      </c>
      <c r="P52" s="163">
        <f t="shared" si="60"/>
        <v>142242.20000000004</v>
      </c>
      <c r="Q52" s="163">
        <f t="shared" si="60"/>
        <v>142524.50000000003</v>
      </c>
      <c r="R52" s="163">
        <f t="shared" si="60"/>
        <v>142787.30000000002</v>
      </c>
      <c r="S52" s="163">
        <f t="shared" si="60"/>
        <v>143203.1</v>
      </c>
      <c r="T52" s="163">
        <f t="shared" si="60"/>
        <v>143597.4</v>
      </c>
      <c r="U52" s="163">
        <f t="shared" si="60"/>
        <v>143959.6</v>
      </c>
      <c r="V52" s="163">
        <f t="shared" si="60"/>
        <v>144309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  <c r="AN52" s="779"/>
    </row>
    <row r="53" spans="2:40" x14ac:dyDescent="0.3">
      <c r="B53" s="752"/>
      <c r="C53" s="18" t="s">
        <v>18</v>
      </c>
      <c r="D53" s="163">
        <f>D14+Agosto23!AF50</f>
        <v>127575.5</v>
      </c>
      <c r="E53" s="164">
        <f t="shared" si="59"/>
        <v>127989.1</v>
      </c>
      <c r="F53" s="164">
        <f t="shared" si="59"/>
        <v>128312.70000000001</v>
      </c>
      <c r="G53" s="165">
        <v>128878</v>
      </c>
      <c r="H53" s="166">
        <v>129112</v>
      </c>
      <c r="I53" s="163">
        <f t="shared" si="60"/>
        <v>129735.6</v>
      </c>
      <c r="J53" s="163">
        <f t="shared" si="60"/>
        <v>130332</v>
      </c>
      <c r="K53" s="163">
        <f t="shared" si="60"/>
        <v>130928.4</v>
      </c>
      <c r="L53" s="163">
        <f t="shared" si="60"/>
        <v>131321.69999999998</v>
      </c>
      <c r="M53" s="163">
        <f t="shared" si="60"/>
        <v>131566.9</v>
      </c>
      <c r="N53" s="163">
        <f t="shared" si="60"/>
        <v>131994.29999999999</v>
      </c>
      <c r="O53" s="163">
        <f>N53+O14</f>
        <v>132348.4</v>
      </c>
      <c r="P53" s="163">
        <f t="shared" si="60"/>
        <v>132720.9</v>
      </c>
      <c r="Q53" s="163">
        <f t="shared" si="60"/>
        <v>133034.69999999998</v>
      </c>
      <c r="R53" s="163">
        <f t="shared" si="60"/>
        <v>133360.59999999998</v>
      </c>
      <c r="S53" s="163">
        <f t="shared" si="60"/>
        <v>133811.69999999998</v>
      </c>
      <c r="T53" s="163" t="e">
        <f>S53+#REF!</f>
        <v>#REF!</v>
      </c>
      <c r="U53" s="163" t="e">
        <f>T53+U14</f>
        <v>#REF!</v>
      </c>
      <c r="V53" s="163" t="e">
        <f t="shared" si="60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  <c r="AN53" s="780"/>
    </row>
    <row r="54" spans="2:40" x14ac:dyDescent="0.3">
      <c r="B54" s="752"/>
      <c r="C54" s="18" t="s">
        <v>19</v>
      </c>
      <c r="D54" s="163">
        <f>D15+Agosto23!AF51</f>
        <v>37852.800000000003</v>
      </c>
      <c r="E54" s="164">
        <f t="shared" si="59"/>
        <v>37966.800000000003</v>
      </c>
      <c r="F54" s="164">
        <f t="shared" si="59"/>
        <v>38053.600000000006</v>
      </c>
      <c r="G54" s="165">
        <v>38160</v>
      </c>
      <c r="H54" s="166">
        <v>38222</v>
      </c>
      <c r="I54" s="163">
        <f t="shared" si="60"/>
        <v>38394.400000000001</v>
      </c>
      <c r="J54" s="163">
        <f t="shared" si="60"/>
        <v>38555.800000000003</v>
      </c>
      <c r="K54" s="163">
        <f t="shared" si="60"/>
        <v>38712.100000000006</v>
      </c>
      <c r="L54" s="163">
        <f t="shared" si="60"/>
        <v>38819.400000000009</v>
      </c>
      <c r="M54" s="163">
        <f t="shared" si="60"/>
        <v>38884.80000000001</v>
      </c>
      <c r="N54" s="163">
        <f t="shared" si="60"/>
        <v>39004.600000000013</v>
      </c>
      <c r="O54" s="163">
        <f>N54+O15</f>
        <v>39099.000000000015</v>
      </c>
      <c r="P54" s="163">
        <f t="shared" si="60"/>
        <v>39199.200000000012</v>
      </c>
      <c r="Q54" s="163">
        <f t="shared" si="60"/>
        <v>39287.400000000009</v>
      </c>
      <c r="R54" s="163">
        <f t="shared" si="60"/>
        <v>39377.200000000012</v>
      </c>
      <c r="S54" s="163">
        <f t="shared" si="60"/>
        <v>39495.100000000013</v>
      </c>
      <c r="T54" s="163">
        <f>S54+T15</f>
        <v>39615.900000000016</v>
      </c>
      <c r="U54" s="163">
        <f>T54+U15</f>
        <v>39749.500000000015</v>
      </c>
      <c r="V54" s="163">
        <f t="shared" si="60"/>
        <v>39876.000000000015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  <c r="AN54" s="778">
        <v>60</v>
      </c>
    </row>
    <row r="55" spans="2:40" x14ac:dyDescent="0.3">
      <c r="B55" s="753"/>
      <c r="C55" s="18" t="s">
        <v>20</v>
      </c>
      <c r="D55" s="163">
        <f>D16+Agosto23!AF52</f>
        <v>97411.4</v>
      </c>
      <c r="E55" s="164">
        <f t="shared" si="59"/>
        <v>97801.2</v>
      </c>
      <c r="F55" s="164">
        <f t="shared" si="59"/>
        <v>98107.3</v>
      </c>
      <c r="G55" s="165">
        <v>98510</v>
      </c>
      <c r="H55" s="166">
        <v>98809</v>
      </c>
      <c r="I55" s="163">
        <f t="shared" si="60"/>
        <v>99418.3</v>
      </c>
      <c r="J55" s="163">
        <f t="shared" si="60"/>
        <v>100000.5</v>
      </c>
      <c r="K55" s="163">
        <f t="shared" si="60"/>
        <v>100544</v>
      </c>
      <c r="L55" s="163">
        <f t="shared" si="60"/>
        <v>100936.3</v>
      </c>
      <c r="M55" s="163">
        <f t="shared" si="60"/>
        <v>101194</v>
      </c>
      <c r="N55" s="163">
        <f t="shared" si="60"/>
        <v>101580.2</v>
      </c>
      <c r="O55" s="163">
        <f t="shared" si="60"/>
        <v>101922.09999999999</v>
      </c>
      <c r="P55" s="163">
        <f t="shared" si="60"/>
        <v>102236.29999999999</v>
      </c>
      <c r="Q55" s="163">
        <f t="shared" si="60"/>
        <v>102502.39999999999</v>
      </c>
      <c r="R55" s="163">
        <f t="shared" si="60"/>
        <v>102766</v>
      </c>
      <c r="S55" s="163">
        <f t="shared" si="60"/>
        <v>103156.4</v>
      </c>
      <c r="T55" s="163">
        <f>S55+T14</f>
        <v>103561.4</v>
      </c>
      <c r="U55" s="163">
        <f t="shared" si="60"/>
        <v>103981.29999999999</v>
      </c>
      <c r="V55" s="163">
        <f t="shared" si="60"/>
        <v>104377.4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  <c r="AN55" s="779"/>
    </row>
    <row r="56" spans="2:40" x14ac:dyDescent="0.3">
      <c r="B56" s="754" t="s">
        <v>21</v>
      </c>
      <c r="C56" s="18" t="s">
        <v>22</v>
      </c>
      <c r="D56" s="163">
        <f>D17+Agosto23!AF53</f>
        <v>66213.600000000006</v>
      </c>
      <c r="E56" s="164">
        <f t="shared" si="59"/>
        <v>66653.600000000006</v>
      </c>
      <c r="F56" s="164">
        <f t="shared" si="59"/>
        <v>67003.3</v>
      </c>
      <c r="G56" s="165">
        <v>67299</v>
      </c>
      <c r="H56" s="166">
        <v>67726</v>
      </c>
      <c r="I56" s="163">
        <f t="shared" si="60"/>
        <v>68323.3</v>
      </c>
      <c r="J56" s="163">
        <f t="shared" si="60"/>
        <v>68905.600000000006</v>
      </c>
      <c r="K56" s="163" t="e">
        <f>J56+#REF!</f>
        <v>#REF!</v>
      </c>
      <c r="L56" s="163" t="e">
        <f t="shared" si="60"/>
        <v>#REF!</v>
      </c>
      <c r="M56" s="163" t="e">
        <f t="shared" si="60"/>
        <v>#REF!</v>
      </c>
      <c r="N56" s="163" t="e">
        <f>M56+N18</f>
        <v>#REF!</v>
      </c>
      <c r="O56" s="163" t="e">
        <f t="shared" si="60"/>
        <v>#REF!</v>
      </c>
      <c r="P56" s="163" t="e">
        <f t="shared" si="60"/>
        <v>#REF!</v>
      </c>
      <c r="Q56" s="163" t="e">
        <f t="shared" si="60"/>
        <v>#REF!</v>
      </c>
      <c r="R56" s="163" t="e">
        <f t="shared" si="60"/>
        <v>#REF!</v>
      </c>
      <c r="S56" s="163" t="e">
        <f t="shared" si="60"/>
        <v>#REF!</v>
      </c>
      <c r="T56" s="163" t="e">
        <f t="shared" si="60"/>
        <v>#REF!</v>
      </c>
      <c r="U56" s="163" t="e">
        <f t="shared" si="60"/>
        <v>#REF!</v>
      </c>
      <c r="V56" s="163" t="e">
        <f t="shared" si="60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  <c r="AN56" s="780"/>
    </row>
    <row r="57" spans="2:40" x14ac:dyDescent="0.3">
      <c r="B57" s="754"/>
      <c r="C57" s="18" t="s">
        <v>23</v>
      </c>
      <c r="D57" s="163">
        <f>D18+Agosto23!AF54</f>
        <v>74809.200000000012</v>
      </c>
      <c r="E57" s="164">
        <f t="shared" si="59"/>
        <v>75270.600000000006</v>
      </c>
      <c r="F57" s="164">
        <f t="shared" si="59"/>
        <v>75633.400000000009</v>
      </c>
      <c r="G57" s="165">
        <v>75901</v>
      </c>
      <c r="H57" s="166">
        <v>76333</v>
      </c>
      <c r="I57" s="163">
        <f t="shared" si="60"/>
        <v>76961.5</v>
      </c>
      <c r="J57" s="163">
        <f t="shared" si="60"/>
        <v>77568.899999999994</v>
      </c>
      <c r="K57" s="163">
        <f t="shared" si="60"/>
        <v>78159.5</v>
      </c>
      <c r="L57" s="163">
        <f t="shared" si="60"/>
        <v>78660.5</v>
      </c>
      <c r="M57" s="163">
        <f>L57+M19</f>
        <v>78681.100000000006</v>
      </c>
      <c r="N57" s="163" t="e">
        <f>M57+#REF!</f>
        <v>#REF!</v>
      </c>
      <c r="O57" s="163" t="e">
        <f t="shared" si="60"/>
        <v>#REF!</v>
      </c>
      <c r="P57" s="163" t="e">
        <f t="shared" si="60"/>
        <v>#REF!</v>
      </c>
      <c r="Q57" s="163" t="e">
        <f>P57+Q19</f>
        <v>#REF!</v>
      </c>
      <c r="R57" s="163" t="e">
        <f>Q57+#REF!</f>
        <v>#REF!</v>
      </c>
      <c r="S57" s="163" t="e">
        <f t="shared" si="60"/>
        <v>#REF!</v>
      </c>
      <c r="T57" s="163" t="e">
        <f t="shared" si="60"/>
        <v>#REF!</v>
      </c>
      <c r="U57" s="163" t="e">
        <f t="shared" si="60"/>
        <v>#REF!</v>
      </c>
      <c r="V57" s="163" t="e">
        <f t="shared" si="60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  <c r="AN57" s="784">
        <v>100</v>
      </c>
    </row>
    <row r="58" spans="2:40" x14ac:dyDescent="0.3">
      <c r="B58" s="754"/>
      <c r="C58" s="18" t="s">
        <v>24</v>
      </c>
      <c r="D58" s="163">
        <f>D19+Agosto23!AF55</f>
        <v>136427.6</v>
      </c>
      <c r="E58" s="164">
        <f t="shared" si="59"/>
        <v>136811.1</v>
      </c>
      <c r="F58" s="164">
        <f t="shared" si="59"/>
        <v>136930.1</v>
      </c>
      <c r="G58" s="165">
        <v>137294</v>
      </c>
      <c r="H58" s="166">
        <v>137664</v>
      </c>
      <c r="I58" s="163">
        <f>H58+I19</f>
        <v>138154.6</v>
      </c>
      <c r="J58" s="163">
        <f t="shared" si="60"/>
        <v>138661.1</v>
      </c>
      <c r="K58" s="163">
        <f t="shared" si="60"/>
        <v>139150.30000000002</v>
      </c>
      <c r="L58" s="163">
        <f>K58+L21</f>
        <v>139543.40000000002</v>
      </c>
      <c r="M58" s="163" t="e">
        <f>L58+#REF!</f>
        <v>#REF!</v>
      </c>
      <c r="N58" s="163" t="e">
        <f t="shared" si="60"/>
        <v>#REF!</v>
      </c>
      <c r="O58" s="163" t="e">
        <f t="shared" si="60"/>
        <v>#REF!</v>
      </c>
      <c r="P58" s="163" t="e">
        <f t="shared" si="60"/>
        <v>#REF!</v>
      </c>
      <c r="Q58" s="163" t="e">
        <f>P58+#REF!</f>
        <v>#REF!</v>
      </c>
      <c r="R58" s="163" t="e">
        <f t="shared" si="60"/>
        <v>#REF!</v>
      </c>
      <c r="S58" s="163" t="e">
        <f t="shared" si="60"/>
        <v>#REF!</v>
      </c>
      <c r="T58" s="163" t="e">
        <f t="shared" si="60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  <c r="AN58" s="785"/>
    </row>
    <row r="59" spans="2:40" x14ac:dyDescent="0.3">
      <c r="B59" s="754"/>
      <c r="C59" s="18" t="s">
        <v>25</v>
      </c>
      <c r="D59" s="163">
        <f>D20+Agosto23!AF56</f>
        <v>174846.4</v>
      </c>
      <c r="E59" s="164">
        <f t="shared" si="59"/>
        <v>175310.4</v>
      </c>
      <c r="F59" s="164">
        <f t="shared" si="59"/>
        <v>175446.1</v>
      </c>
      <c r="G59" s="165">
        <v>176032</v>
      </c>
      <c r="H59" s="166">
        <v>176536</v>
      </c>
      <c r="I59" s="163">
        <f>H59+I20</f>
        <v>177104</v>
      </c>
      <c r="J59" s="163">
        <f t="shared" si="60"/>
        <v>177712.9</v>
      </c>
      <c r="K59" s="163">
        <f>J59+K17</f>
        <v>178282.3</v>
      </c>
      <c r="L59" s="163">
        <f t="shared" si="60"/>
        <v>178751.5</v>
      </c>
      <c r="M59" s="163">
        <f t="shared" si="60"/>
        <v>178981.3</v>
      </c>
      <c r="N59" s="163">
        <f>M59+N21</f>
        <v>178981.3</v>
      </c>
      <c r="O59" s="163" t="e">
        <f>N59+#REF!</f>
        <v>#REF!</v>
      </c>
      <c r="P59" s="163" t="e">
        <f t="shared" si="60"/>
        <v>#REF!</v>
      </c>
      <c r="Q59" s="163" t="e">
        <f t="shared" si="60"/>
        <v>#REF!</v>
      </c>
      <c r="R59" s="163" t="e">
        <f>Q59+R18</f>
        <v>#REF!</v>
      </c>
      <c r="S59" s="163" t="e">
        <f>R59+S21</f>
        <v>#REF!</v>
      </c>
      <c r="T59" s="163" t="e">
        <f t="shared" si="60"/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  <c r="AN59" s="786"/>
    </row>
    <row r="60" spans="2:40" x14ac:dyDescent="0.3">
      <c r="B60" s="754"/>
      <c r="C60" s="18" t="s">
        <v>26</v>
      </c>
      <c r="D60" s="163">
        <f>D21+Agosto23!AF57</f>
        <v>82583.3</v>
      </c>
      <c r="E60" s="164">
        <f t="shared" ref="E60:F66" si="61">D60+E21</f>
        <v>82970.5</v>
      </c>
      <c r="F60" s="164">
        <f t="shared" si="61"/>
        <v>83081.8</v>
      </c>
      <c r="G60" s="165">
        <v>83628</v>
      </c>
      <c r="H60" s="166">
        <v>84081</v>
      </c>
      <c r="I60" s="163">
        <f t="shared" ref="I60:L66" si="62">H60+I21</f>
        <v>84563.3</v>
      </c>
      <c r="J60" s="163">
        <f t="shared" si="62"/>
        <v>85075</v>
      </c>
      <c r="K60" s="163">
        <f t="shared" si="62"/>
        <v>85571.1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3">N60+O21</f>
        <v>#REF!</v>
      </c>
      <c r="P60" s="163" t="e">
        <f t="shared" si="63"/>
        <v>#REF!</v>
      </c>
      <c r="Q60" s="163" t="e">
        <f t="shared" si="63"/>
        <v>#REF!</v>
      </c>
      <c r="R60" s="163" t="e">
        <f t="shared" si="63"/>
        <v>#REF!</v>
      </c>
      <c r="S60" s="163" t="e">
        <f>R60+#REF!</f>
        <v>#REF!</v>
      </c>
      <c r="T60" s="163" t="e">
        <f t="shared" ref="T60:V66" si="64">S60+T21</f>
        <v>#REF!</v>
      </c>
      <c r="U60" s="163" t="e">
        <f t="shared" si="64"/>
        <v>#REF!</v>
      </c>
      <c r="V60" s="163" t="e">
        <f t="shared" si="64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  <c r="AN60" s="784">
        <v>100</v>
      </c>
    </row>
    <row r="61" spans="2:40" x14ac:dyDescent="0.3">
      <c r="B61" s="754"/>
      <c r="C61" s="18" t="s">
        <v>27</v>
      </c>
      <c r="D61" s="163">
        <f>D22+Agosto23!AF58</f>
        <v>61687.9</v>
      </c>
      <c r="E61" s="164">
        <f t="shared" si="61"/>
        <v>62144.4</v>
      </c>
      <c r="F61" s="164">
        <f t="shared" si="61"/>
        <v>62491.6</v>
      </c>
      <c r="G61" s="165">
        <v>63058</v>
      </c>
      <c r="H61" s="166">
        <v>63281</v>
      </c>
      <c r="I61" s="163">
        <f t="shared" si="62"/>
        <v>63904.800000000003</v>
      </c>
      <c r="J61" s="163">
        <f t="shared" si="62"/>
        <v>64497.5</v>
      </c>
      <c r="K61" s="163">
        <f t="shared" si="62"/>
        <v>65040.9</v>
      </c>
      <c r="L61" s="163">
        <f t="shared" si="62"/>
        <v>65468.1</v>
      </c>
      <c r="M61" s="163" t="e">
        <f>L61+#REF!</f>
        <v>#REF!</v>
      </c>
      <c r="N61" s="163" t="e">
        <f t="shared" si="63"/>
        <v>#REF!</v>
      </c>
      <c r="O61" s="163" t="e">
        <f t="shared" si="63"/>
        <v>#REF!</v>
      </c>
      <c r="P61" s="163" t="e">
        <f t="shared" si="63"/>
        <v>#REF!</v>
      </c>
      <c r="Q61" s="163" t="e">
        <f t="shared" si="63"/>
        <v>#REF!</v>
      </c>
      <c r="R61" s="163" t="e">
        <f t="shared" si="63"/>
        <v>#REF!</v>
      </c>
      <c r="S61" s="163" t="e">
        <f t="shared" si="63"/>
        <v>#REF!</v>
      </c>
      <c r="T61" s="163" t="e">
        <f t="shared" si="64"/>
        <v>#REF!</v>
      </c>
      <c r="U61" s="163" t="e">
        <f t="shared" si="64"/>
        <v>#REF!</v>
      </c>
      <c r="V61" s="163" t="e">
        <f t="shared" si="64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  <c r="AN61" s="785"/>
    </row>
    <row r="62" spans="2:40" x14ac:dyDescent="0.3">
      <c r="B62" s="754"/>
      <c r="C62" s="18" t="s">
        <v>28</v>
      </c>
      <c r="D62" s="163">
        <f>D23+Agosto23!AF59</f>
        <v>87798.57</v>
      </c>
      <c r="E62" s="164">
        <f t="shared" si="61"/>
        <v>88211.07</v>
      </c>
      <c r="F62" s="164">
        <f t="shared" si="61"/>
        <v>88524.77</v>
      </c>
      <c r="G62" s="165">
        <v>87693.64</v>
      </c>
      <c r="H62" s="166">
        <v>87903.16</v>
      </c>
      <c r="I62" s="163">
        <f t="shared" si="62"/>
        <v>88472.66</v>
      </c>
      <c r="J62" s="163">
        <f t="shared" si="62"/>
        <v>89011.16</v>
      </c>
      <c r="K62" s="163">
        <f>J62+K23</f>
        <v>89512.66</v>
      </c>
      <c r="L62" s="163">
        <f t="shared" si="62"/>
        <v>89898.559999999998</v>
      </c>
      <c r="M62" s="163">
        <f>L62+M22</f>
        <v>90156.76</v>
      </c>
      <c r="N62" s="163">
        <f t="shared" si="63"/>
        <v>90507.159999999989</v>
      </c>
      <c r="O62" s="163">
        <f>N62+O20</f>
        <v>90715.059999999983</v>
      </c>
      <c r="P62" s="163">
        <f t="shared" si="63"/>
        <v>91090.559999999983</v>
      </c>
      <c r="Q62" s="163">
        <f t="shared" si="63"/>
        <v>91370.25999999998</v>
      </c>
      <c r="R62" s="163">
        <f t="shared" si="63"/>
        <v>91698.75999999998</v>
      </c>
      <c r="S62" s="163">
        <f t="shared" si="63"/>
        <v>92113.75999999998</v>
      </c>
      <c r="T62" s="163">
        <f t="shared" si="64"/>
        <v>92504.25999999998</v>
      </c>
      <c r="U62" s="163">
        <f t="shared" si="64"/>
        <v>92918.359999999986</v>
      </c>
      <c r="V62" s="163">
        <f>U62+V23</f>
        <v>93332.859999999986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  <c r="AN62" s="786"/>
    </row>
    <row r="63" spans="2:40" x14ac:dyDescent="0.3">
      <c r="B63" s="754"/>
      <c r="C63" s="18" t="s">
        <v>29</v>
      </c>
      <c r="D63" s="163">
        <f>D24+Agosto23!AF60</f>
        <v>130508.79999999999</v>
      </c>
      <c r="E63" s="164">
        <f t="shared" si="61"/>
        <v>132118.9</v>
      </c>
      <c r="F63" s="164">
        <f t="shared" si="61"/>
        <v>133329.29999999999</v>
      </c>
      <c r="G63" s="165">
        <v>130195</v>
      </c>
      <c r="H63" s="166">
        <v>130451</v>
      </c>
      <c r="I63" s="163">
        <f t="shared" si="62"/>
        <v>132581.20000000001</v>
      </c>
      <c r="J63" s="163">
        <f>I63+J29</f>
        <v>133043.5</v>
      </c>
      <c r="K63" s="163">
        <f>J63+K24</f>
        <v>134913.29999999999</v>
      </c>
      <c r="L63" s="163">
        <f t="shared" si="62"/>
        <v>136402.5</v>
      </c>
      <c r="M63" s="163">
        <f t="shared" si="63"/>
        <v>137287.4</v>
      </c>
      <c r="N63" s="163">
        <f t="shared" si="63"/>
        <v>138672.1</v>
      </c>
      <c r="O63" s="163">
        <f t="shared" si="63"/>
        <v>140015.4</v>
      </c>
      <c r="P63" s="163">
        <f t="shared" si="63"/>
        <v>141499.19999999998</v>
      </c>
      <c r="Q63" s="163">
        <f t="shared" si="63"/>
        <v>142602.29999999999</v>
      </c>
      <c r="R63" s="163">
        <f t="shared" si="63"/>
        <v>143901.59999999998</v>
      </c>
      <c r="S63" s="163">
        <f t="shared" si="63"/>
        <v>145532.99999999997</v>
      </c>
      <c r="T63" s="163">
        <f t="shared" si="64"/>
        <v>147000.19999999998</v>
      </c>
      <c r="U63" s="163">
        <f t="shared" si="64"/>
        <v>148613.09999999998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  <c r="AN63" s="778">
        <v>29</v>
      </c>
    </row>
    <row r="64" spans="2:40" x14ac:dyDescent="0.3">
      <c r="B64" s="754"/>
      <c r="C64" s="18" t="s">
        <v>30</v>
      </c>
      <c r="D64" s="163">
        <f>D25+Agosto23!AF61</f>
        <v>14550.6</v>
      </c>
      <c r="E64" s="164">
        <f t="shared" si="61"/>
        <v>15028.300000000001</v>
      </c>
      <c r="F64" s="164">
        <f t="shared" si="61"/>
        <v>15264.900000000001</v>
      </c>
      <c r="G64" s="165">
        <v>18667</v>
      </c>
      <c r="H64" s="166">
        <v>19364</v>
      </c>
      <c r="I64" s="163">
        <f t="shared" si="62"/>
        <v>19954.400000000001</v>
      </c>
      <c r="J64" s="163">
        <f t="shared" si="62"/>
        <v>20582.900000000001</v>
      </c>
      <c r="K64" s="163">
        <f t="shared" si="62"/>
        <v>21107</v>
      </c>
      <c r="L64" s="163">
        <f t="shared" si="62"/>
        <v>21531.9</v>
      </c>
      <c r="M64" s="163">
        <f t="shared" si="63"/>
        <v>21881</v>
      </c>
      <c r="N64" s="163" t="e">
        <f>M64+#REF!</f>
        <v>#REF!</v>
      </c>
      <c r="O64" s="163" t="e">
        <f t="shared" si="63"/>
        <v>#REF!</v>
      </c>
      <c r="P64" s="163" t="e">
        <f t="shared" si="63"/>
        <v>#REF!</v>
      </c>
      <c r="Q64" s="163" t="e">
        <f t="shared" si="63"/>
        <v>#REF!</v>
      </c>
      <c r="R64" s="163" t="e">
        <f t="shared" si="63"/>
        <v>#REF!</v>
      </c>
      <c r="S64" s="163" t="e">
        <f t="shared" si="63"/>
        <v>#REF!</v>
      </c>
      <c r="T64" s="163" t="e">
        <f>S64+T26</f>
        <v>#REF!</v>
      </c>
      <c r="U64" s="163" t="e">
        <f>T64+U26</f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  <c r="AN64" s="779"/>
    </row>
    <row r="65" spans="2:40" x14ac:dyDescent="0.3">
      <c r="B65" s="754"/>
      <c r="C65" s="18" t="s">
        <v>111</v>
      </c>
      <c r="D65" s="163">
        <f>D26+Agosto23!AF62</f>
        <v>45371.5</v>
      </c>
      <c r="E65" s="164">
        <f t="shared" si="61"/>
        <v>45775.5</v>
      </c>
      <c r="F65" s="164">
        <f t="shared" si="61"/>
        <v>46054.1</v>
      </c>
      <c r="G65" s="165">
        <v>46772</v>
      </c>
      <c r="H65" s="166">
        <v>47086</v>
      </c>
      <c r="I65" s="163">
        <f t="shared" si="62"/>
        <v>47681.9</v>
      </c>
      <c r="J65" s="163">
        <f t="shared" si="62"/>
        <v>48236.800000000003</v>
      </c>
      <c r="K65" s="163">
        <f t="shared" si="62"/>
        <v>48745.5</v>
      </c>
      <c r="L65" s="163">
        <f t="shared" si="62"/>
        <v>49146.8</v>
      </c>
      <c r="M65" s="163">
        <f t="shared" si="63"/>
        <v>49444.800000000003</v>
      </c>
      <c r="N65" s="163">
        <f>M65+N25</f>
        <v>49969.5</v>
      </c>
      <c r="O65" s="163">
        <f t="shared" si="63"/>
        <v>50323.4</v>
      </c>
      <c r="P65" s="163">
        <f t="shared" si="63"/>
        <v>50753.700000000004</v>
      </c>
      <c r="Q65" s="163">
        <f t="shared" si="63"/>
        <v>51068.000000000007</v>
      </c>
      <c r="R65" s="163">
        <f t="shared" si="63"/>
        <v>51070.000000000007</v>
      </c>
      <c r="S65" s="163">
        <f t="shared" si="63"/>
        <v>51461.500000000007</v>
      </c>
      <c r="T65" s="163" t="e">
        <f>S65+#REF!</f>
        <v>#REF!</v>
      </c>
      <c r="U65" s="163" t="e">
        <f>T65+#REF!</f>
        <v>#REF!</v>
      </c>
      <c r="V65" s="163" t="e">
        <f t="shared" si="64"/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  <c r="AN65" s="780"/>
    </row>
    <row r="66" spans="2:40" ht="15" thickBot="1" x14ac:dyDescent="0.35">
      <c r="B66" s="754"/>
      <c r="C66" s="18" t="s">
        <v>32</v>
      </c>
      <c r="D66" s="163">
        <f>D27+Agosto23!AF63</f>
        <v>9653.1</v>
      </c>
      <c r="E66" s="164">
        <f t="shared" si="61"/>
        <v>10049.1</v>
      </c>
      <c r="F66" s="164">
        <f t="shared" si="61"/>
        <v>10329</v>
      </c>
      <c r="G66" s="165">
        <v>10779</v>
      </c>
      <c r="H66" s="166">
        <v>10940</v>
      </c>
      <c r="I66" s="163">
        <f t="shared" si="62"/>
        <v>11526.4</v>
      </c>
      <c r="J66" s="163">
        <f t="shared" si="62"/>
        <v>12049.3</v>
      </c>
      <c r="K66" s="163">
        <f t="shared" si="62"/>
        <v>12452</v>
      </c>
      <c r="L66" s="163">
        <f t="shared" si="62"/>
        <v>12801.6</v>
      </c>
      <c r="M66" s="163">
        <f t="shared" si="63"/>
        <v>13071.5</v>
      </c>
      <c r="N66" s="163">
        <f t="shared" si="63"/>
        <v>13439.4</v>
      </c>
      <c r="O66" s="163">
        <f t="shared" si="63"/>
        <v>13752.6</v>
      </c>
      <c r="P66" s="163">
        <f t="shared" si="63"/>
        <v>14223.300000000001</v>
      </c>
      <c r="Q66" s="163">
        <f t="shared" si="63"/>
        <v>14459.000000000002</v>
      </c>
      <c r="R66" s="163">
        <f t="shared" si="63"/>
        <v>14827.300000000001</v>
      </c>
      <c r="S66" s="163">
        <f t="shared" si="63"/>
        <v>15174.6</v>
      </c>
      <c r="T66" s="163">
        <f t="shared" si="64"/>
        <v>15526.5</v>
      </c>
      <c r="U66" s="163">
        <f t="shared" si="64"/>
        <v>15977.1</v>
      </c>
      <c r="V66" s="163">
        <f t="shared" si="64"/>
        <v>16507.7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  <c r="AN66" s="784">
        <v>100</v>
      </c>
    </row>
    <row r="67" spans="2:40" x14ac:dyDescent="0.3">
      <c r="B67" s="754"/>
      <c r="C67" s="18" t="s">
        <v>112</v>
      </c>
      <c r="D67" s="163">
        <f>D29+Agosto23!AF64</f>
        <v>19029.2</v>
      </c>
      <c r="E67" s="164">
        <f>D67+E29</f>
        <v>19405.400000000001</v>
      </c>
      <c r="F67" s="164">
        <f>E67+F29</f>
        <v>19653.900000000001</v>
      </c>
      <c r="G67" s="165">
        <v>20520.400000000001</v>
      </c>
      <c r="H67" s="166">
        <v>20739</v>
      </c>
      <c r="I67" s="163">
        <f t="shared" ref="I67:V67" si="65">H67+I29</f>
        <v>21254.2</v>
      </c>
      <c r="J67" s="163">
        <f>I67+J30</f>
        <v>21785.7</v>
      </c>
      <c r="K67" s="163">
        <f t="shared" si="65"/>
        <v>22146.5</v>
      </c>
      <c r="L67" s="163">
        <f t="shared" si="65"/>
        <v>22466.2</v>
      </c>
      <c r="M67" s="163">
        <f t="shared" si="65"/>
        <v>22692.100000000002</v>
      </c>
      <c r="N67" s="163">
        <f>M67+N30</f>
        <v>22864.9</v>
      </c>
      <c r="O67" s="163">
        <f t="shared" si="65"/>
        <v>23141.800000000003</v>
      </c>
      <c r="P67" s="163">
        <f t="shared" si="65"/>
        <v>23549.700000000004</v>
      </c>
      <c r="Q67" s="163">
        <f t="shared" si="65"/>
        <v>23759.100000000006</v>
      </c>
      <c r="R67" s="163">
        <f t="shared" si="65"/>
        <v>24083.200000000004</v>
      </c>
      <c r="S67" s="163">
        <f t="shared" si="65"/>
        <v>24400.900000000005</v>
      </c>
      <c r="T67" s="163">
        <f t="shared" si="65"/>
        <v>24725.200000000004</v>
      </c>
      <c r="U67" s="163">
        <f t="shared" si="65"/>
        <v>25130.600000000006</v>
      </c>
      <c r="V67" s="163">
        <f t="shared" si="65"/>
        <v>25588.900000000005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N67" s="785"/>
    </row>
    <row r="68" spans="2:40" x14ac:dyDescent="0.3">
      <c r="B68" s="756" t="s">
        <v>196</v>
      </c>
      <c r="C68" s="756"/>
      <c r="D68" s="756"/>
      <c r="E68" s="756"/>
      <c r="AN68" s="786"/>
    </row>
    <row r="69" spans="2:40" x14ac:dyDescent="0.3">
      <c r="B69" s="757" t="s">
        <v>132</v>
      </c>
      <c r="C69" s="757"/>
      <c r="D69" s="757"/>
      <c r="E69" s="757"/>
      <c r="AN69" s="784">
        <v>110</v>
      </c>
    </row>
    <row r="70" spans="2:40" x14ac:dyDescent="0.3">
      <c r="AN70" s="785"/>
    </row>
    <row r="71" spans="2:40" x14ac:dyDescent="0.3">
      <c r="AN71" s="786"/>
    </row>
    <row r="72" spans="2:40" x14ac:dyDescent="0.3">
      <c r="AN72" s="784">
        <v>110</v>
      </c>
    </row>
    <row r="73" spans="2:40" x14ac:dyDescent="0.3">
      <c r="AN73" s="785"/>
    </row>
    <row r="74" spans="2:40" x14ac:dyDescent="0.3">
      <c r="AN74" s="786"/>
    </row>
    <row r="75" spans="2:40" x14ac:dyDescent="0.3">
      <c r="AN75" s="778">
        <v>80</v>
      </c>
    </row>
    <row r="76" spans="2:40" x14ac:dyDescent="0.3">
      <c r="AN76" s="779"/>
    </row>
    <row r="77" spans="2:40" x14ac:dyDescent="0.3">
      <c r="AN77" s="780"/>
    </row>
    <row r="78" spans="2:40" x14ac:dyDescent="0.3">
      <c r="AN78" s="784">
        <v>100</v>
      </c>
    </row>
    <row r="79" spans="2:40" x14ac:dyDescent="0.3">
      <c r="AN79" s="785"/>
    </row>
    <row r="80" spans="2:40" x14ac:dyDescent="0.3">
      <c r="AN80" s="786"/>
    </row>
    <row r="81" spans="40:40" x14ac:dyDescent="0.3">
      <c r="AN81" s="784">
        <v>100</v>
      </c>
    </row>
    <row r="82" spans="40:40" x14ac:dyDescent="0.3">
      <c r="AN82" s="785"/>
    </row>
    <row r="83" spans="40:40" x14ac:dyDescent="0.3">
      <c r="AN83" s="786"/>
    </row>
    <row r="84" spans="40:40" x14ac:dyDescent="0.3">
      <c r="AN84" s="787">
        <v>110</v>
      </c>
    </row>
    <row r="85" spans="40:40" x14ac:dyDescent="0.3">
      <c r="AN85" s="788"/>
    </row>
    <row r="86" spans="40:40" x14ac:dyDescent="0.3">
      <c r="AN86" s="789"/>
    </row>
    <row r="87" spans="40:40" x14ac:dyDescent="0.3">
      <c r="AN87" s="784">
        <v>100</v>
      </c>
    </row>
    <row r="88" spans="40:40" x14ac:dyDescent="0.3">
      <c r="AN88" s="785"/>
    </row>
    <row r="89" spans="40:40" x14ac:dyDescent="0.3">
      <c r="AN89" s="786"/>
    </row>
    <row r="90" spans="40:40" x14ac:dyDescent="0.3">
      <c r="AN90" s="781">
        <v>395</v>
      </c>
    </row>
    <row r="91" spans="40:40" x14ac:dyDescent="0.3">
      <c r="AN91" s="782"/>
    </row>
    <row r="92" spans="40:40" x14ac:dyDescent="0.3">
      <c r="AN92" s="783"/>
    </row>
    <row r="93" spans="40:40" x14ac:dyDescent="0.3">
      <c r="AN93" s="784">
        <v>100</v>
      </c>
    </row>
    <row r="94" spans="40:40" x14ac:dyDescent="0.3">
      <c r="AN94" s="785"/>
    </row>
    <row r="95" spans="40:40" x14ac:dyDescent="0.3">
      <c r="AN95" s="786"/>
    </row>
    <row r="96" spans="40:40" x14ac:dyDescent="0.3">
      <c r="AN96" s="784">
        <v>100</v>
      </c>
    </row>
    <row r="97" spans="40:40" x14ac:dyDescent="0.3">
      <c r="AN97" s="785"/>
    </row>
    <row r="98" spans="40:40" x14ac:dyDescent="0.3">
      <c r="AN98" s="786"/>
    </row>
    <row r="99" spans="40:40" x14ac:dyDescent="0.3">
      <c r="AN99" s="784">
        <v>100</v>
      </c>
    </row>
    <row r="100" spans="40:40" x14ac:dyDescent="0.3">
      <c r="AN100" s="785"/>
    </row>
    <row r="101" spans="40:40" x14ac:dyDescent="0.3">
      <c r="AN101" s="786"/>
    </row>
    <row r="102" spans="40:40" x14ac:dyDescent="0.3">
      <c r="AN102" s="781">
        <v>120</v>
      </c>
    </row>
    <row r="103" spans="40:40" x14ac:dyDescent="0.3">
      <c r="AN103" s="782"/>
    </row>
    <row r="104" spans="40:40" x14ac:dyDescent="0.3">
      <c r="AN104" s="783"/>
    </row>
    <row r="105" spans="40:40" x14ac:dyDescent="0.3">
      <c r="AN105" s="781">
        <v>110</v>
      </c>
    </row>
    <row r="106" spans="40:40" x14ac:dyDescent="0.3">
      <c r="AN106" s="782"/>
    </row>
    <row r="107" spans="40:40" x14ac:dyDescent="0.3">
      <c r="AN107" s="783"/>
    </row>
    <row r="108" spans="40:40" x14ac:dyDescent="0.3">
      <c r="AN108" s="784">
        <v>100</v>
      </c>
    </row>
    <row r="109" spans="40:40" x14ac:dyDescent="0.3">
      <c r="AN109" s="785"/>
    </row>
    <row r="110" spans="40:40" x14ac:dyDescent="0.3">
      <c r="AN110" s="786"/>
    </row>
    <row r="111" spans="40:40" x14ac:dyDescent="0.3">
      <c r="AN111" s="790">
        <v>100</v>
      </c>
    </row>
    <row r="112" spans="40:40" x14ac:dyDescent="0.3">
      <c r="AN112" s="790"/>
    </row>
    <row r="113" spans="40:40" x14ac:dyDescent="0.3">
      <c r="AN113" s="790"/>
    </row>
  </sheetData>
  <mergeCells count="41">
    <mergeCell ref="AN111:AN113"/>
    <mergeCell ref="AN93:AN95"/>
    <mergeCell ref="AN96:AN98"/>
    <mergeCell ref="AN99:AN101"/>
    <mergeCell ref="AN102:AN104"/>
    <mergeCell ref="AN105:AN107"/>
    <mergeCell ref="AN108:AN110"/>
    <mergeCell ref="AN90:AN92"/>
    <mergeCell ref="AN63:AN65"/>
    <mergeCell ref="AN66:AN68"/>
    <mergeCell ref="B68:E68"/>
    <mergeCell ref="B69:E69"/>
    <mergeCell ref="AN69:AN71"/>
    <mergeCell ref="AN72:AN74"/>
    <mergeCell ref="AN75:AN77"/>
    <mergeCell ref="AN78:AN80"/>
    <mergeCell ref="AN81:AN83"/>
    <mergeCell ref="AN84:AN86"/>
    <mergeCell ref="AN87:AN89"/>
    <mergeCell ref="AN42:AN44"/>
    <mergeCell ref="B44:B51"/>
    <mergeCell ref="AN45:AN47"/>
    <mergeCell ref="AN48:AN50"/>
    <mergeCell ref="AN51:AN53"/>
    <mergeCell ref="B52:B55"/>
    <mergeCell ref="AN54:AN56"/>
    <mergeCell ref="B56:B67"/>
    <mergeCell ref="AN57:AN59"/>
    <mergeCell ref="AN60:AN62"/>
    <mergeCell ref="AN39:AN41"/>
    <mergeCell ref="B4:C4"/>
    <mergeCell ref="B5:B12"/>
    <mergeCell ref="B13:B16"/>
    <mergeCell ref="B17:B29"/>
    <mergeCell ref="B30:B31"/>
    <mergeCell ref="B32:C32"/>
    <mergeCell ref="AN33:AN35"/>
    <mergeCell ref="AE34:AG34"/>
    <mergeCell ref="AE35:AG35"/>
    <mergeCell ref="AE36:AG36"/>
    <mergeCell ref="AN36:AN38"/>
  </mergeCells>
  <conditionalFormatting sqref="AL5:BO31">
    <cfRule type="cellIs" dxfId="66" priority="2" operator="equal">
      <formula>"VAZIO"</formula>
    </cfRule>
  </conditionalFormatting>
  <conditionalFormatting sqref="AL5:BP31">
    <cfRule type="expression" dxfId="65" priority="6">
      <formula>AL5&gt;$BQ5</formula>
    </cfRule>
    <cfRule type="expression" dxfId="64" priority="7">
      <formula>AL5&lt;($BQ5-0.01)</formula>
    </cfRule>
  </conditionalFormatting>
  <conditionalFormatting sqref="AM8:BO8 BJ9 AM16:BO16 BG17 AM24:BO25">
    <cfRule type="cellIs" dxfId="63" priority="3" operator="equal">
      <formula>"""VAZIO"""</formula>
    </cfRule>
  </conditionalFormatting>
  <conditionalFormatting sqref="AP5:BO31">
    <cfRule type="expression" dxfId="62" priority="1">
      <formula>AP5=0</formula>
    </cfRule>
  </conditionalFormatting>
  <conditionalFormatting sqref="BT5:BT31">
    <cfRule type="cellIs" dxfId="61" priority="4" operator="greaterThan">
      <formula>0</formula>
    </cfRule>
    <cfRule type="cellIs" dxfId="60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D9820-F1B6-4D01-BCC0-94D1A3E252D4}">
  <sheetPr>
    <tabColor theme="7" tint="-0.499984740745262"/>
  </sheetPr>
  <dimension ref="B1:BX113"/>
  <sheetViews>
    <sheetView zoomScaleNormal="100" workbookViewId="0">
      <pane xSplit="3" ySplit="4" topLeftCell="AC31" activePane="bottomRight" state="frozen"/>
      <selection pane="topRight" activeCell="D1" sqref="D1"/>
      <selection pane="bottomLeft" activeCell="A5" sqref="A5"/>
      <selection pane="bottomRight" activeCell="AI40" sqref="AI40:AI41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4" width="16.4414062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1" spans="2:76" x14ac:dyDescent="0.3">
      <c r="AI1">
        <f>16267+12136+16339</f>
        <v>44742</v>
      </c>
    </row>
    <row r="2" spans="2:76" x14ac:dyDescent="0.3">
      <c r="AI2" s="102">
        <f>12444-AI14</f>
        <v>-869.99999999999818</v>
      </c>
    </row>
    <row r="3" spans="2:76" ht="15" thickBot="1" x14ac:dyDescent="0.35">
      <c r="D3" s="102"/>
      <c r="E3" s="102"/>
      <c r="F3" s="102"/>
      <c r="G3" s="102"/>
      <c r="H3" s="102"/>
      <c r="I3" s="102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916</v>
      </c>
      <c r="E4" s="344" t="s">
        <v>917</v>
      </c>
      <c r="F4" s="344" t="s">
        <v>918</v>
      </c>
      <c r="G4" s="344" t="s">
        <v>919</v>
      </c>
      <c r="H4" s="344" t="s">
        <v>920</v>
      </c>
      <c r="I4" s="344" t="s">
        <v>921</v>
      </c>
      <c r="J4" s="344" t="s">
        <v>922</v>
      </c>
      <c r="K4" s="344" t="s">
        <v>923</v>
      </c>
      <c r="L4" s="344" t="s">
        <v>924</v>
      </c>
      <c r="M4" s="344" t="s">
        <v>925</v>
      </c>
      <c r="N4" s="344" t="s">
        <v>926</v>
      </c>
      <c r="O4" s="344" t="s">
        <v>927</v>
      </c>
      <c r="P4" s="344" t="s">
        <v>928</v>
      </c>
      <c r="Q4" s="344" t="s">
        <v>929</v>
      </c>
      <c r="R4" s="344" t="s">
        <v>930</v>
      </c>
      <c r="S4" s="344" t="s">
        <v>931</v>
      </c>
      <c r="T4" s="344" t="s">
        <v>932</v>
      </c>
      <c r="U4" s="344" t="s">
        <v>933</v>
      </c>
      <c r="V4" s="344" t="s">
        <v>934</v>
      </c>
      <c r="W4" s="344" t="s">
        <v>935</v>
      </c>
      <c r="X4" s="344" t="s">
        <v>936</v>
      </c>
      <c r="Y4" s="344" t="s">
        <v>937</v>
      </c>
      <c r="Z4" s="344" t="s">
        <v>938</v>
      </c>
      <c r="AA4" s="344" t="s">
        <v>946</v>
      </c>
      <c r="AB4" s="344" t="s">
        <v>939</v>
      </c>
      <c r="AC4" s="344" t="s">
        <v>940</v>
      </c>
      <c r="AD4" s="344" t="s">
        <v>941</v>
      </c>
      <c r="AE4" s="344" t="s">
        <v>942</v>
      </c>
      <c r="AF4" s="344" t="s">
        <v>943</v>
      </c>
      <c r="AG4" s="345" t="s">
        <v>944</v>
      </c>
      <c r="AH4" s="345" t="s">
        <v>945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56.8</v>
      </c>
      <c r="E5" s="103">
        <v>58</v>
      </c>
      <c r="F5" s="103">
        <v>40.9</v>
      </c>
      <c r="G5" s="103">
        <v>47.2</v>
      </c>
      <c r="H5" s="103">
        <v>51.4</v>
      </c>
      <c r="I5" s="331">
        <v>49.4</v>
      </c>
      <c r="J5" s="103">
        <v>33.6</v>
      </c>
      <c r="K5" s="103">
        <v>48</v>
      </c>
      <c r="L5" s="103">
        <v>36.799999999999997</v>
      </c>
      <c r="M5" s="103">
        <v>44.3</v>
      </c>
      <c r="N5" s="283">
        <v>45.7</v>
      </c>
      <c r="O5" s="103">
        <v>19</v>
      </c>
      <c r="P5" s="103">
        <v>27</v>
      </c>
      <c r="Q5" s="331">
        <v>22.1</v>
      </c>
      <c r="R5" s="103">
        <v>17.600000000000001</v>
      </c>
      <c r="S5" s="103">
        <v>40</v>
      </c>
      <c r="T5" s="103">
        <v>61</v>
      </c>
      <c r="U5" s="103">
        <v>69</v>
      </c>
      <c r="V5" s="103">
        <v>65</v>
      </c>
      <c r="W5" s="331">
        <v>46</v>
      </c>
      <c r="X5" s="103">
        <v>41</v>
      </c>
      <c r="Y5" s="103">
        <v>61.1</v>
      </c>
      <c r="Z5" s="104">
        <v>58.2</v>
      </c>
      <c r="AA5" s="332">
        <v>52.5</v>
      </c>
      <c r="AB5" s="333">
        <v>61.5</v>
      </c>
      <c r="AC5" s="629">
        <v>35</v>
      </c>
      <c r="AD5" s="104">
        <v>34.9</v>
      </c>
      <c r="AE5" s="104">
        <v>44.5</v>
      </c>
      <c r="AF5" s="104">
        <v>26.1</v>
      </c>
      <c r="AG5" s="104">
        <v>31</v>
      </c>
      <c r="AH5" s="104">
        <v>41.1</v>
      </c>
      <c r="AI5" s="335">
        <f t="shared" ref="AI5:AI13" si="0">SUM(D5:AH5)</f>
        <v>1365.7</v>
      </c>
      <c r="AJ5" s="160">
        <v>12</v>
      </c>
      <c r="AK5" s="336">
        <f t="shared" ref="AK5:AK11" si="1">F5/(AJ5*432)</f>
        <v>7.8896604938271594E-3</v>
      </c>
      <c r="AL5" s="337">
        <f t="shared" ref="AL5:BA5" si="2">IF(OR(D5="",D5="Sem monitoramento"),"VAZIO",IFERROR(D5/($AJ5*24),"-"))</f>
        <v>0.19722222222222222</v>
      </c>
      <c r="AM5" s="338">
        <f t="shared" si="2"/>
        <v>0.2013888888888889</v>
      </c>
      <c r="AN5" s="338">
        <f t="shared" si="2"/>
        <v>0.14201388888888888</v>
      </c>
      <c r="AO5" s="338">
        <f t="shared" si="2"/>
        <v>0.16388888888888889</v>
      </c>
      <c r="AP5" s="338">
        <f t="shared" si="2"/>
        <v>0.17847222222222223</v>
      </c>
      <c r="AQ5" s="338">
        <f t="shared" si="2"/>
        <v>0.17152777777777778</v>
      </c>
      <c r="AR5" s="338">
        <f t="shared" si="2"/>
        <v>0.11666666666666667</v>
      </c>
      <c r="AS5" s="338">
        <f t="shared" si="2"/>
        <v>0.16666666666666666</v>
      </c>
      <c r="AT5" s="338">
        <f t="shared" si="2"/>
        <v>0.12777777777777777</v>
      </c>
      <c r="AU5" s="338">
        <f t="shared" si="2"/>
        <v>0.15381944444444443</v>
      </c>
      <c r="AV5" s="338">
        <f t="shared" si="2"/>
        <v>0.15868055555555557</v>
      </c>
      <c r="AW5" s="338">
        <f t="shared" si="2"/>
        <v>6.5972222222222224E-2</v>
      </c>
      <c r="AX5" s="338">
        <f t="shared" si="2"/>
        <v>9.375E-2</v>
      </c>
      <c r="AY5" s="338">
        <f t="shared" si="2"/>
        <v>7.6736111111111116E-2</v>
      </c>
      <c r="AZ5" s="338">
        <f t="shared" si="2"/>
        <v>6.1111111111111116E-2</v>
      </c>
      <c r="BA5" s="338">
        <f t="shared" si="2"/>
        <v>0.1388888888888889</v>
      </c>
      <c r="BB5" s="338">
        <f t="shared" ref="AV5:BJ20" si="3">IF(OR(T5="",T5="Sem monitoramento"),"VAZIO",IFERROR(T5/($AJ5*24),"-"))</f>
        <v>0.21180555555555555</v>
      </c>
      <c r="BC5" s="338">
        <f t="shared" si="3"/>
        <v>0.23958333333333334</v>
      </c>
      <c r="BD5" s="338">
        <f t="shared" si="3"/>
        <v>0.22569444444444445</v>
      </c>
      <c r="BE5" s="338">
        <f t="shared" si="3"/>
        <v>0.15972222222222221</v>
      </c>
      <c r="BF5" s="338">
        <f t="shared" si="3"/>
        <v>0.1423611111111111</v>
      </c>
      <c r="BG5" s="338">
        <f t="shared" si="3"/>
        <v>0.21215277777777777</v>
      </c>
      <c r="BH5" s="338">
        <f t="shared" si="3"/>
        <v>0.20208333333333334</v>
      </c>
      <c r="BI5" s="338">
        <f t="shared" si="3"/>
        <v>0.18229166666666666</v>
      </c>
      <c r="BJ5" s="338">
        <f t="shared" si="3"/>
        <v>0.21354166666666666</v>
      </c>
      <c r="BK5" s="338" t="e">
        <f>IF(OR(#REF!="",#REF!="Sem monitoramento"),"VAZIO",IFERROR(#REF!/($AJ5*24),"-"))</f>
        <v>#REF!</v>
      </c>
      <c r="BL5" s="338">
        <f t="shared" ref="BL5:BO20" si="4">IF(OR(AD5="",AD5="Sem monitoramento"),"VAZIO",IFERROR(AD5/($AJ5*24),"-"))</f>
        <v>0.12118055555555556</v>
      </c>
      <c r="BM5" s="338">
        <f t="shared" si="4"/>
        <v>0.1545138888888889</v>
      </c>
      <c r="BN5" s="338">
        <f t="shared" si="4"/>
        <v>9.0625000000000011E-2</v>
      </c>
      <c r="BO5" s="338">
        <f t="shared" si="4"/>
        <v>0.1076388888888889</v>
      </c>
      <c r="BP5" s="339">
        <f t="shared" ref="BP5:BP31" si="5">AI5/(AJ5*(COUNTA(D5:AG5)*24))</f>
        <v>0.15806712962962963</v>
      </c>
      <c r="BQ5" s="180">
        <f>'FCs estimados em PVsyst'!Y3</f>
        <v>0.1804398148148148</v>
      </c>
      <c r="BR5" s="340">
        <f t="shared" ref="BR5:BR11" si="6">AJ5*BQ5</f>
        <v>2.1652777777777779</v>
      </c>
      <c r="BS5" s="341">
        <f t="shared" ref="BS5:BS11" si="7">AN5-BQ5</f>
        <v>-3.8425925925925919E-2</v>
      </c>
      <c r="BT5" s="342">
        <f t="shared" ref="BT5:BT30" si="8">BP5-BQ5</f>
        <v>-2.2372685185185176E-2</v>
      </c>
      <c r="BU5" s="15" t="s">
        <v>7</v>
      </c>
      <c r="BV5" s="75" t="s">
        <v>107</v>
      </c>
      <c r="BW5" s="7">
        <f>COUNTIF(BT5:BT29,"&gt;0")</f>
        <v>13</v>
      </c>
      <c r="BX5" s="2"/>
    </row>
    <row r="6" spans="2:76" x14ac:dyDescent="0.3">
      <c r="B6" s="771"/>
      <c r="C6" s="325" t="s">
        <v>8</v>
      </c>
      <c r="D6" s="62">
        <v>134.9</v>
      </c>
      <c r="E6" s="63">
        <v>145.6</v>
      </c>
      <c r="F6" s="63">
        <v>99.8</v>
      </c>
      <c r="G6" s="63">
        <v>117.1</v>
      </c>
      <c r="H6" s="63">
        <v>116.6</v>
      </c>
      <c r="I6" s="283">
        <v>109.7</v>
      </c>
      <c r="J6" s="63">
        <v>90.9</v>
      </c>
      <c r="K6" s="282">
        <v>107.8</v>
      </c>
      <c r="L6" s="283">
        <v>84</v>
      </c>
      <c r="M6" s="63">
        <v>87.4</v>
      </c>
      <c r="N6" s="283">
        <v>106.3</v>
      </c>
      <c r="O6" s="283">
        <v>48</v>
      </c>
      <c r="P6" s="283">
        <v>63</v>
      </c>
      <c r="Q6" s="283">
        <v>52</v>
      </c>
      <c r="R6" s="63">
        <v>41.5</v>
      </c>
      <c r="S6" s="63">
        <v>95</v>
      </c>
      <c r="T6" s="63">
        <v>140</v>
      </c>
      <c r="U6" s="63">
        <v>163</v>
      </c>
      <c r="V6" s="63">
        <v>153</v>
      </c>
      <c r="W6" s="283">
        <v>121</v>
      </c>
      <c r="X6" s="63">
        <v>100</v>
      </c>
      <c r="Y6" s="63">
        <v>140.1</v>
      </c>
      <c r="Z6" s="221">
        <v>142</v>
      </c>
      <c r="AA6" s="320">
        <v>126.4</v>
      </c>
      <c r="AB6" s="20">
        <v>135.69999999999999</v>
      </c>
      <c r="AC6" s="31">
        <v>90.5</v>
      </c>
      <c r="AD6" s="15">
        <v>86.4</v>
      </c>
      <c r="AE6" s="15">
        <v>106</v>
      </c>
      <c r="AF6" s="15">
        <v>64.7</v>
      </c>
      <c r="AG6" s="15">
        <v>77.8</v>
      </c>
      <c r="AH6" s="15">
        <v>103</v>
      </c>
      <c r="AI6" s="335">
        <f t="shared" si="0"/>
        <v>3249.2</v>
      </c>
      <c r="AJ6" s="118">
        <v>67</v>
      </c>
      <c r="AK6" s="121">
        <f t="shared" si="1"/>
        <v>3.4480375898286344E-3</v>
      </c>
      <c r="AL6" s="67">
        <f t="shared" ref="AL6:AU7" si="9">IF(OR(D6="",D6="Sem monitoramento"),"VAZIO",IFERROR(D6/($AJ6*24),"-"))</f>
        <v>8.3893034825870655E-2</v>
      </c>
      <c r="AM6" s="68">
        <f t="shared" si="9"/>
        <v>9.0547263681592036E-2</v>
      </c>
      <c r="AN6" s="68">
        <f t="shared" si="9"/>
        <v>6.2064676616915421E-2</v>
      </c>
      <c r="AO6" s="68">
        <f t="shared" si="9"/>
        <v>7.2823383084577115E-2</v>
      </c>
      <c r="AP6" s="68">
        <f t="shared" si="9"/>
        <v>7.2512437810945268E-2</v>
      </c>
      <c r="AQ6" s="68">
        <f t="shared" si="9"/>
        <v>6.822139303482587E-2</v>
      </c>
      <c r="AR6" s="68">
        <f t="shared" si="9"/>
        <v>5.6529850746268658E-2</v>
      </c>
      <c r="AS6" s="68">
        <f t="shared" si="9"/>
        <v>6.7039800995024879E-2</v>
      </c>
      <c r="AT6" s="68">
        <f t="shared" si="9"/>
        <v>5.2238805970149252E-2</v>
      </c>
      <c r="AU6" s="68">
        <f t="shared" si="9"/>
        <v>5.4353233830845775E-2</v>
      </c>
      <c r="AV6" s="68">
        <f t="shared" si="3"/>
        <v>6.6106965174129353E-2</v>
      </c>
      <c r="AW6" s="68">
        <f t="shared" si="3"/>
        <v>2.9850746268656716E-2</v>
      </c>
      <c r="AX6" s="68">
        <f t="shared" si="3"/>
        <v>3.9179104477611942E-2</v>
      </c>
      <c r="AY6" s="68">
        <f t="shared" si="3"/>
        <v>3.2338308457711441E-2</v>
      </c>
      <c r="AZ6" s="68">
        <f t="shared" si="3"/>
        <v>2.5808457711442787E-2</v>
      </c>
      <c r="BA6" s="68">
        <f t="shared" si="3"/>
        <v>5.9079601990049753E-2</v>
      </c>
      <c r="BB6" s="68">
        <f t="shared" si="3"/>
        <v>8.7064676616915429E-2</v>
      </c>
      <c r="BC6" s="68">
        <f t="shared" si="3"/>
        <v>0.1013681592039801</v>
      </c>
      <c r="BD6" s="68">
        <f t="shared" si="3"/>
        <v>9.5149253731343281E-2</v>
      </c>
      <c r="BE6" s="68">
        <f t="shared" si="3"/>
        <v>7.5248756218905477E-2</v>
      </c>
      <c r="BF6" s="68">
        <f t="shared" si="3"/>
        <v>6.2189054726368161E-2</v>
      </c>
      <c r="BG6" s="68">
        <f t="shared" si="3"/>
        <v>8.7126865671641782E-2</v>
      </c>
      <c r="BH6" s="68">
        <f t="shared" si="3"/>
        <v>8.8308457711442787E-2</v>
      </c>
      <c r="BI6" s="68">
        <f t="shared" si="3"/>
        <v>7.8606965174129351E-2</v>
      </c>
      <c r="BJ6" s="68">
        <f t="shared" si="3"/>
        <v>8.4390547263681587E-2</v>
      </c>
      <c r="BK6" s="68">
        <f>IF(OR(AC5="",AC5="Sem monitoramento"),"VAZIO",IFERROR(AC5/($AJ6*24),"-"))</f>
        <v>2.1766169154228857E-2</v>
      </c>
      <c r="BL6" s="68">
        <f t="shared" si="4"/>
        <v>5.3731343283582096E-2</v>
      </c>
      <c r="BM6" s="68">
        <f t="shared" si="4"/>
        <v>6.5920398009950254E-2</v>
      </c>
      <c r="BN6" s="68">
        <f t="shared" si="4"/>
        <v>4.02363184079602E-2</v>
      </c>
      <c r="BO6" s="68">
        <f t="shared" si="4"/>
        <v>4.8383084577114426E-2</v>
      </c>
      <c r="BP6" s="70">
        <f t="shared" si="5"/>
        <v>6.7354892205638464E-2</v>
      </c>
      <c r="BQ6" s="180">
        <f>'FCs estimados em PVsyst'!Y4</f>
        <v>0.1868988391376451</v>
      </c>
      <c r="BR6" s="72">
        <f t="shared" si="6"/>
        <v>12.522222222222222</v>
      </c>
      <c r="BS6" s="73">
        <f t="shared" si="7"/>
        <v>-0.12483416252072968</v>
      </c>
      <c r="BT6" s="74">
        <f t="shared" si="8"/>
        <v>-0.11954394693200664</v>
      </c>
      <c r="BU6" s="15" t="s">
        <v>8</v>
      </c>
      <c r="BV6" s="77" t="s">
        <v>108</v>
      </c>
      <c r="BW6" s="78">
        <f>(COUNTA(BU5:BU29)-BW5-BW7)</f>
        <v>3</v>
      </c>
      <c r="BX6" s="2"/>
    </row>
    <row r="7" spans="2:76" x14ac:dyDescent="0.3">
      <c r="B7" s="771"/>
      <c r="C7" s="326" t="s">
        <v>9</v>
      </c>
      <c r="D7" s="223">
        <v>236.4</v>
      </c>
      <c r="E7" s="63">
        <v>234.6</v>
      </c>
      <c r="F7" s="63">
        <v>174.4</v>
      </c>
      <c r="G7" s="63">
        <v>192.4</v>
      </c>
      <c r="H7" s="63">
        <v>219</v>
      </c>
      <c r="I7" s="283">
        <v>200.6</v>
      </c>
      <c r="J7" s="63">
        <v>147.19999999999999</v>
      </c>
      <c r="K7" s="63">
        <v>206.7</v>
      </c>
      <c r="L7" s="283">
        <v>158.30000000000001</v>
      </c>
      <c r="M7" s="283">
        <v>197.7</v>
      </c>
      <c r="N7" s="283">
        <v>192.4</v>
      </c>
      <c r="O7" s="360">
        <v>87</v>
      </c>
      <c r="P7" s="283">
        <v>122</v>
      </c>
      <c r="Q7" s="283">
        <v>99</v>
      </c>
      <c r="R7" s="283">
        <v>80.900000000000006</v>
      </c>
      <c r="S7" s="283">
        <v>184</v>
      </c>
      <c r="T7" s="283">
        <v>266</v>
      </c>
      <c r="U7" s="63">
        <v>303</v>
      </c>
      <c r="V7" s="283">
        <v>275</v>
      </c>
      <c r="W7" s="283">
        <v>188</v>
      </c>
      <c r="X7" s="283">
        <v>168</v>
      </c>
      <c r="Y7" s="283">
        <v>254.6</v>
      </c>
      <c r="Z7" s="15">
        <v>247.5</v>
      </c>
      <c r="AA7" s="519">
        <v>230.3</v>
      </c>
      <c r="AB7" s="323">
        <v>258.5</v>
      </c>
      <c r="AC7" s="221">
        <v>146.30000000000001</v>
      </c>
      <c r="AD7" s="221">
        <v>160.4</v>
      </c>
      <c r="AE7" s="221">
        <v>195.5</v>
      </c>
      <c r="AF7" s="221">
        <v>117.7</v>
      </c>
      <c r="AG7" s="221">
        <v>138.6</v>
      </c>
      <c r="AH7" s="221">
        <v>172.8</v>
      </c>
      <c r="AI7" s="335">
        <f t="shared" si="0"/>
        <v>5854.8</v>
      </c>
      <c r="AJ7" s="118">
        <v>49</v>
      </c>
      <c r="AK7" s="121">
        <f t="shared" si="1"/>
        <v>8.2388510959939543E-3</v>
      </c>
      <c r="AL7" s="67">
        <f t="shared" si="9"/>
        <v>0.2010204081632653</v>
      </c>
      <c r="AM7" s="68">
        <f t="shared" si="9"/>
        <v>0.19948979591836735</v>
      </c>
      <c r="AN7" s="68">
        <f t="shared" si="9"/>
        <v>0.14829931972789115</v>
      </c>
      <c r="AO7" s="68">
        <f t="shared" si="9"/>
        <v>0.16360544217687076</v>
      </c>
      <c r="AP7" s="68">
        <f t="shared" si="9"/>
        <v>0.18622448979591838</v>
      </c>
      <c r="AQ7" s="68">
        <f t="shared" si="9"/>
        <v>0.17057823129251701</v>
      </c>
      <c r="AR7" s="68">
        <f t="shared" si="9"/>
        <v>0.12517006802721087</v>
      </c>
      <c r="AS7" s="68">
        <f t="shared" si="9"/>
        <v>0.17576530612244898</v>
      </c>
      <c r="AT7" s="68">
        <f t="shared" si="9"/>
        <v>0.13460884353741498</v>
      </c>
      <c r="AU7" s="68">
        <f t="shared" si="9"/>
        <v>0.16811224489795917</v>
      </c>
      <c r="AV7" s="68">
        <f t="shared" ref="AV7:BA8" si="10">IF(OR(N7="",N7="Sem monitoramento"),"VAZIO",IFERROR(N7/($AJ7*24),"-"))</f>
        <v>0.16360544217687076</v>
      </c>
      <c r="AW7" s="68">
        <f t="shared" si="10"/>
        <v>7.3979591836734693E-2</v>
      </c>
      <c r="AX7" s="68">
        <f t="shared" si="10"/>
        <v>0.10374149659863946</v>
      </c>
      <c r="AY7" s="68">
        <f t="shared" si="10"/>
        <v>8.4183673469387751E-2</v>
      </c>
      <c r="AZ7" s="68">
        <f t="shared" si="10"/>
        <v>6.8792517006802723E-2</v>
      </c>
      <c r="BA7" s="68">
        <f t="shared" si="10"/>
        <v>0.15646258503401361</v>
      </c>
      <c r="BB7" s="68">
        <f t="shared" si="3"/>
        <v>0.22619047619047619</v>
      </c>
      <c r="BC7" s="68">
        <f t="shared" si="3"/>
        <v>0.25765306122448978</v>
      </c>
      <c r="BD7" s="68">
        <f t="shared" si="3"/>
        <v>0.233843537414966</v>
      </c>
      <c r="BE7" s="68">
        <f t="shared" si="3"/>
        <v>0.1598639455782313</v>
      </c>
      <c r="BF7" s="68">
        <f t="shared" si="3"/>
        <v>0.14285714285714285</v>
      </c>
      <c r="BG7" s="68">
        <f t="shared" si="3"/>
        <v>0.21649659863945578</v>
      </c>
      <c r="BH7" s="68">
        <f t="shared" si="3"/>
        <v>0.21045918367346939</v>
      </c>
      <c r="BI7" s="68">
        <f>IF(OR(AA11="",AA11="Sem monitoramento"),"VAZIO",IFERROR(AA11/($AJ7*24),"-"))</f>
        <v>0.31794217687074827</v>
      </c>
      <c r="BJ7" s="68">
        <f>IF(OR(AB7="",AB7="Sem monitoramento"),"VAZIO",IFERROR(AB7/($AJ7*24),"-"))</f>
        <v>0.21981292517006804</v>
      </c>
      <c r="BK7" s="68" t="e">
        <f>IF(OR(#REF!="",#REF!="Sem monitoramento"),"VAZIO",IFERROR(#REF!/($AJ7*24),"-"))</f>
        <v>#REF!</v>
      </c>
      <c r="BL7" s="68">
        <f t="shared" si="4"/>
        <v>0.13639455782312926</v>
      </c>
      <c r="BM7" s="68">
        <f t="shared" si="4"/>
        <v>0.16624149659863946</v>
      </c>
      <c r="BN7" s="68">
        <f t="shared" si="4"/>
        <v>0.10008503401360544</v>
      </c>
      <c r="BO7" s="68" t="e">
        <f>IF(OR(#REF!="",#REF!="Sem monitoramento"),"VAZIO",IFERROR(#REF!/($AJ7*24),"-"))</f>
        <v>#REF!</v>
      </c>
      <c r="BP7" s="70">
        <f t="shared" si="5"/>
        <v>0.16595238095238096</v>
      </c>
      <c r="BQ7" s="180">
        <f>'FCs estimados em PVsyst'!Y5</f>
        <v>0.17987528344671203</v>
      </c>
      <c r="BR7" s="72">
        <f t="shared" si="6"/>
        <v>8.81388888888889</v>
      </c>
      <c r="BS7" s="73">
        <f t="shared" si="7"/>
        <v>-3.1575963718820876E-2</v>
      </c>
      <c r="BT7" s="74">
        <f t="shared" si="8"/>
        <v>-1.3922902494331063E-2</v>
      </c>
      <c r="BU7" s="15" t="s">
        <v>9</v>
      </c>
      <c r="BV7" s="79" t="s">
        <v>109</v>
      </c>
      <c r="BW7" s="80">
        <f>COUNTIF(BT5:BT29,"&lt;-0,01")</f>
        <v>9</v>
      </c>
      <c r="BX7" s="2"/>
    </row>
    <row r="8" spans="2:76" x14ac:dyDescent="0.3">
      <c r="B8" s="771"/>
      <c r="C8" s="326" t="s">
        <v>10</v>
      </c>
      <c r="D8" s="223">
        <v>134.9</v>
      </c>
      <c r="E8" s="63">
        <v>135</v>
      </c>
      <c r="F8" s="63">
        <v>97.6</v>
      </c>
      <c r="G8" s="63">
        <v>109.7</v>
      </c>
      <c r="H8" s="63">
        <v>124.6</v>
      </c>
      <c r="I8" s="63">
        <v>111.3</v>
      </c>
      <c r="J8" s="63">
        <v>83.1</v>
      </c>
      <c r="K8" s="63">
        <v>111.6</v>
      </c>
      <c r="L8" s="283">
        <v>88.4</v>
      </c>
      <c r="M8" s="283">
        <v>111</v>
      </c>
      <c r="N8" s="283">
        <v>107.7</v>
      </c>
      <c r="O8" s="63">
        <v>50</v>
      </c>
      <c r="P8" s="283">
        <v>70</v>
      </c>
      <c r="Q8" s="283">
        <v>56.8</v>
      </c>
      <c r="R8" s="63">
        <v>46.6</v>
      </c>
      <c r="S8" s="63">
        <v>103</v>
      </c>
      <c r="T8" s="63">
        <v>149</v>
      </c>
      <c r="U8" s="63">
        <v>173</v>
      </c>
      <c r="V8" s="63">
        <v>158</v>
      </c>
      <c r="W8" s="283">
        <v>105</v>
      </c>
      <c r="X8" s="283">
        <v>95</v>
      </c>
      <c r="Y8" s="283">
        <v>145.4</v>
      </c>
      <c r="Z8" s="15">
        <v>141.30000000000001</v>
      </c>
      <c r="AA8" s="18">
        <v>129.69999999999999</v>
      </c>
      <c r="AB8" s="323">
        <v>147.80000000000001</v>
      </c>
      <c r="AC8" s="221">
        <v>83.9</v>
      </c>
      <c r="AD8" s="221">
        <v>90.1</v>
      </c>
      <c r="AE8" s="221">
        <v>111.4</v>
      </c>
      <c r="AF8" s="221">
        <v>67.400000000000006</v>
      </c>
      <c r="AG8" s="221">
        <v>78.400000000000006</v>
      </c>
      <c r="AH8" s="221">
        <v>98.5</v>
      </c>
      <c r="AI8" s="335">
        <f t="shared" si="0"/>
        <v>3315.2000000000003</v>
      </c>
      <c r="AJ8" s="118">
        <v>33</v>
      </c>
      <c r="AK8" s="121">
        <f t="shared" si="1"/>
        <v>6.8462401795735123E-3</v>
      </c>
      <c r="AL8" s="67">
        <f>IF(OR(D8="",D8="Sem monitoramento"),"VAZIO",IFERROR(D8/($AJ8*24),"-"))</f>
        <v>0.17032828282828283</v>
      </c>
      <c r="AM8" s="68">
        <f>IF(OR(E8="",E8="Sem monitoramento"),"VAZIO",IFERROR(E8/($AJ8*24),"-"))</f>
        <v>0.17045454545454544</v>
      </c>
      <c r="AN8" s="68">
        <f>IF(OR(F8="",F8="Sem monitoramento"),"VAZIO",IFERROR(F8/($AJ8*24),"-"))</f>
        <v>0.12323232323232322</v>
      </c>
      <c r="AO8" s="68">
        <f>IF(OR(G8="",G8="Sem monitoramento"),"VAZIO",IFERROR(G8/($AJ8*24),"-"))</f>
        <v>0.138510101010101</v>
      </c>
      <c r="AP8" s="68">
        <f>IF(OR(H8="",H8="Sem monitoramento"),"VAZIO",IFERROR(H8/($AJ8*24),"-"))</f>
        <v>0.15732323232323231</v>
      </c>
      <c r="AQ8" s="68" t="e">
        <f>IF(OR(#REF!="",#REF!="Sem monitoramento"),"VAZIO",IFERROR(#REF!/($AJ8*24),"-"))</f>
        <v>#REF!</v>
      </c>
      <c r="AR8" s="68">
        <f>IF(OR(J8="",J8="Sem monitoramento"),"VAZIO",IFERROR(J8/($AJ8*24),"-"))</f>
        <v>0.10492424242424242</v>
      </c>
      <c r="AS8" s="68">
        <f>IF(OR(K8="",K8="Sem monitoramento"),"VAZIO",IFERROR(K8/($AJ8*24),"-"))</f>
        <v>0.1409090909090909</v>
      </c>
      <c r="AT8" s="68">
        <f>IF(OR(L8="",L8="Sem monitoramento"),"VAZIO",IFERROR(L8/($AJ8*24),"-"))</f>
        <v>0.11161616161616163</v>
      </c>
      <c r="AU8" s="68">
        <f>IF(OR(M8="",M8="Sem monitoramento"),"VAZIO",IFERROR(M8/($AJ8*24),"-"))</f>
        <v>0.14015151515151514</v>
      </c>
      <c r="AV8" s="68">
        <f t="shared" si="10"/>
        <v>0.13598484848484849</v>
      </c>
      <c r="AW8" s="68">
        <f t="shared" si="10"/>
        <v>6.3131313131313135E-2</v>
      </c>
      <c r="AX8" s="68">
        <f t="shared" si="10"/>
        <v>8.8383838383838384E-2</v>
      </c>
      <c r="AY8" s="68">
        <f t="shared" si="10"/>
        <v>7.1717171717171707E-2</v>
      </c>
      <c r="AZ8" s="68">
        <f t="shared" si="10"/>
        <v>5.8838383838383843E-2</v>
      </c>
      <c r="BA8" s="68">
        <f t="shared" si="10"/>
        <v>0.13005050505050506</v>
      </c>
      <c r="BB8" s="68">
        <f t="shared" si="3"/>
        <v>0.18813131313131312</v>
      </c>
      <c r="BC8" s="68">
        <f t="shared" si="3"/>
        <v>0.21843434343434343</v>
      </c>
      <c r="BD8" s="68">
        <f t="shared" si="3"/>
        <v>0.1994949494949495</v>
      </c>
      <c r="BE8" s="68">
        <f t="shared" si="3"/>
        <v>0.13257575757575757</v>
      </c>
      <c r="BF8" s="68">
        <f t="shared" si="3"/>
        <v>0.11994949494949494</v>
      </c>
      <c r="BG8" s="68">
        <f t="shared" si="3"/>
        <v>0.1835858585858586</v>
      </c>
      <c r="BH8" s="68">
        <f t="shared" si="3"/>
        <v>0.17840909090909093</v>
      </c>
      <c r="BI8" s="68">
        <f t="shared" si="3"/>
        <v>0.16376262626262625</v>
      </c>
      <c r="BJ8" s="68">
        <f>IF(OR(AB8="",AB8="Sem monitoramento"),"VAZIO",IFERROR(AB8/($AJ8*24),"-"))</f>
        <v>0.18661616161616162</v>
      </c>
      <c r="BK8" s="68" t="e">
        <f>IF(OR(#REF!="",#REF!="Sem monitoramento"),"VAZIO",IFERROR(#REF!/($AJ8*24),"-"))</f>
        <v>#REF!</v>
      </c>
      <c r="BL8" s="68">
        <f t="shared" si="4"/>
        <v>0.11376262626262626</v>
      </c>
      <c r="BM8" s="68">
        <f t="shared" si="4"/>
        <v>0.14065656565656567</v>
      </c>
      <c r="BN8" s="68">
        <f t="shared" si="4"/>
        <v>8.5101010101010108E-2</v>
      </c>
      <c r="BO8" s="68" t="e">
        <f>IF(OR(#REF!="",#REF!="Sem monitoramento"),"VAZIO",IFERROR(#REF!/($AJ8*24),"-"))</f>
        <v>#REF!</v>
      </c>
      <c r="BP8" s="70">
        <f t="shared" si="5"/>
        <v>0.13952861952861953</v>
      </c>
      <c r="BQ8" s="180">
        <f>'FCs estimados em PVsyst'!Y6</f>
        <v>0.18501683501683502</v>
      </c>
      <c r="BR8" s="72">
        <f t="shared" si="6"/>
        <v>6.1055555555555561</v>
      </c>
      <c r="BS8" s="73">
        <f t="shared" si="7"/>
        <v>-6.1784511784511803E-2</v>
      </c>
      <c r="BT8" s="74">
        <f t="shared" si="8"/>
        <v>-4.5488215488215494E-2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572">
        <v>55</v>
      </c>
      <c r="E9" s="63">
        <v>53.6</v>
      </c>
      <c r="F9" s="63">
        <v>41.9</v>
      </c>
      <c r="G9" s="82">
        <v>41.9</v>
      </c>
      <c r="H9" s="82">
        <v>42.9</v>
      </c>
      <c r="I9" s="308">
        <v>40.200000000000003</v>
      </c>
      <c r="J9" s="316">
        <v>35.200000000000003</v>
      </c>
      <c r="K9" s="283">
        <v>44.8</v>
      </c>
      <c r="L9" s="63">
        <v>35.9</v>
      </c>
      <c r="M9" s="63">
        <v>40.6</v>
      </c>
      <c r="N9" s="63">
        <v>46.7</v>
      </c>
      <c r="O9" s="63">
        <v>19</v>
      </c>
      <c r="P9" s="316">
        <v>25</v>
      </c>
      <c r="Q9" s="283">
        <v>21.2</v>
      </c>
      <c r="R9" s="308">
        <v>16.899999999999999</v>
      </c>
      <c r="S9" s="63">
        <v>38</v>
      </c>
      <c r="T9" s="63">
        <v>53</v>
      </c>
      <c r="U9" s="316">
        <v>57</v>
      </c>
      <c r="V9" s="63">
        <v>57</v>
      </c>
      <c r="W9" s="283">
        <v>46</v>
      </c>
      <c r="X9" s="63">
        <v>37</v>
      </c>
      <c r="Y9" s="63">
        <v>55.4</v>
      </c>
      <c r="Z9" s="148">
        <v>54.2</v>
      </c>
      <c r="AA9" s="18">
        <v>49.3</v>
      </c>
      <c r="AB9" s="323">
        <v>46.6</v>
      </c>
      <c r="AC9" s="489">
        <v>33.9</v>
      </c>
      <c r="AD9" s="15">
        <v>34.4</v>
      </c>
      <c r="AE9" s="15">
        <v>41.6</v>
      </c>
      <c r="AF9" s="15">
        <v>28</v>
      </c>
      <c r="AG9" s="15">
        <v>34</v>
      </c>
      <c r="AH9" s="15">
        <v>42.7</v>
      </c>
      <c r="AI9" s="656">
        <f t="shared" si="0"/>
        <v>1268.9000000000001</v>
      </c>
      <c r="AJ9" s="118">
        <v>12</v>
      </c>
      <c r="AK9" s="121">
        <f t="shared" si="1"/>
        <v>8.0825617283950615E-3</v>
      </c>
      <c r="AL9" s="67">
        <f>IF(OR(D10="",D10="Sem monitoramento"),"VAZIO",IFERROR(D10/($AJ9*24),"-"))</f>
        <v>0.25624999999999998</v>
      </c>
      <c r="AM9" s="68">
        <f>IF(OR(E9="",E9="Sem monitoramento"),"VAZIO",IFERROR(E9/($AJ9*24),"-"))</f>
        <v>0.18611111111111112</v>
      </c>
      <c r="AN9" s="68">
        <f>IF(OR(F9="",F9="Sem monitoramento"),"VAZIO",IFERROR(F9/($AJ9*24),"-"))</f>
        <v>0.14548611111111109</v>
      </c>
      <c r="AO9" s="68">
        <f>IF(OR(G9="",G9="Sem monitoramento"),"VAZIO",IFERROR(G9/($AJ9*24),"-"))</f>
        <v>0.14548611111111109</v>
      </c>
      <c r="AP9" s="68">
        <f>IF(OR(H9="",H9="Sem monitoramento"),"VAZIO",IFERROR(H9/($AJ9*24),"-"))</f>
        <v>0.14895833333333333</v>
      </c>
      <c r="AQ9" s="68">
        <f>IF(OR(I9="",I9="Sem monitoramento"),"VAZIO",IFERROR(I9/($AJ9*24),"-"))</f>
        <v>0.13958333333333334</v>
      </c>
      <c r="AR9" s="68">
        <f>IF(OR(J10="",J10="Sem monitoramento"),"VAZIO",IFERROR(J10/($AJ9*24),"-"))</f>
        <v>0.10729166666666666</v>
      </c>
      <c r="AS9" s="68">
        <f t="shared" ref="AS9:AW10" si="11">IF(OR(K9="",K9="Sem monitoramento"),"VAZIO",IFERROR(K9/($AJ9*24),"-"))</f>
        <v>0.15555555555555556</v>
      </c>
      <c r="AT9" s="68">
        <f t="shared" si="11"/>
        <v>0.12465277777777778</v>
      </c>
      <c r="AU9" s="68">
        <f t="shared" si="11"/>
        <v>0.14097222222222222</v>
      </c>
      <c r="AV9" s="68">
        <f t="shared" si="11"/>
        <v>0.16215277777777778</v>
      </c>
      <c r="AW9" s="68">
        <f t="shared" si="11"/>
        <v>6.5972222222222224E-2</v>
      </c>
      <c r="AX9" s="68">
        <f>IF(OR(P10="",P10="Sem monitoramento"),"VAZIO",IFERROR(P10/($AJ9*24),"-"))</f>
        <v>6.5972222222222224E-2</v>
      </c>
      <c r="AY9" s="68">
        <f>IF(OR(Q9="",Q9="Sem monitoramento"),"VAZIO",IFERROR(Q9/($AJ9*24),"-"))</f>
        <v>7.3611111111111113E-2</v>
      </c>
      <c r="AZ9" s="68">
        <f>IF(OR(R9="",R9="Sem monitoramento"),"VAZIO",IFERROR(R9/($AJ9*24),"-"))</f>
        <v>5.8680555555555548E-2</v>
      </c>
      <c r="BA9" s="68">
        <f>IF(OR(S9="",S9="Sem monitoramento"),"VAZIO",IFERROR(S9/($AJ9*24),"-"))</f>
        <v>0.13194444444444445</v>
      </c>
      <c r="BB9" s="68">
        <f t="shared" si="3"/>
        <v>0.18402777777777779</v>
      </c>
      <c r="BC9" s="68">
        <f>IF(OR(U7="",U7="Sem monitoramento"),"VAZIO",IFERROR(U7/($AJ9*24),"-"))</f>
        <v>1.0520833333333333</v>
      </c>
      <c r="BD9" s="68">
        <f t="shared" si="3"/>
        <v>0.19791666666666666</v>
      </c>
      <c r="BE9" s="68">
        <f t="shared" si="3"/>
        <v>0.15972222222222221</v>
      </c>
      <c r="BF9" s="68">
        <f t="shared" si="3"/>
        <v>0.12847222222222221</v>
      </c>
      <c r="BG9" s="68">
        <f t="shared" si="3"/>
        <v>0.19236111111111109</v>
      </c>
      <c r="BH9" s="68">
        <f>IF(OR(Z10="",Z10="Sem monitoramento"),"VAZIO",IFERROR(Z10/($AJ9*24),"-"))</f>
        <v>0.12013888888888889</v>
      </c>
      <c r="BI9" s="68">
        <f>IF(OR(AA9="",AA9="Sem monitoramento"),"VAZIO",IFERROR(AA9/($AJ9*24),"-"))</f>
        <v>0.17118055555555556</v>
      </c>
      <c r="BJ9" s="68">
        <f>IF(OR(AB9="",AB9="Sem monitoramento"),"VAZIO",IFERROR(AB9/($AJ9*24),"-"))</f>
        <v>0.16180555555555556</v>
      </c>
      <c r="BK9" s="68">
        <f>IF(OR(AC7="",AC7="Sem monitoramento"),"VAZIO",IFERROR(AC7/($AJ9*24),"-"))</f>
        <v>0.50798611111111114</v>
      </c>
      <c r="BL9" s="68">
        <f t="shared" si="4"/>
        <v>0.11944444444444444</v>
      </c>
      <c r="BM9" s="68">
        <f t="shared" si="4"/>
        <v>0.14444444444444446</v>
      </c>
      <c r="BN9" s="68">
        <f t="shared" si="4"/>
        <v>9.7222222222222224E-2</v>
      </c>
      <c r="BO9" s="68">
        <f>IF(OR(AG7="",AG7="Sem monitoramento"),"VAZIO",IFERROR(AG7/($AJ9*24),"-"))</f>
        <v>0.48124999999999996</v>
      </c>
      <c r="BP9" s="70">
        <f t="shared" si="5"/>
        <v>0.14686342592592594</v>
      </c>
      <c r="BQ9" s="180">
        <f>'FCs estimados em PVsyst'!Y7</f>
        <v>0.18333333333333332</v>
      </c>
      <c r="BR9" s="72">
        <f t="shared" si="6"/>
        <v>2.1999999999999997</v>
      </c>
      <c r="BS9" s="73">
        <f t="shared" si="7"/>
        <v>-3.7847222222222227E-2</v>
      </c>
      <c r="BT9" s="74">
        <f t="shared" si="8"/>
        <v>-3.6469907407407381E-2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73.8</v>
      </c>
      <c r="E10" s="63">
        <v>72</v>
      </c>
      <c r="F10" s="63">
        <v>51.9</v>
      </c>
      <c r="G10" s="82">
        <v>49</v>
      </c>
      <c r="H10" s="312">
        <v>0</v>
      </c>
      <c r="I10" s="519">
        <v>35</v>
      </c>
      <c r="J10" s="63">
        <v>30.9</v>
      </c>
      <c r="K10" s="283">
        <v>38.299999999999997</v>
      </c>
      <c r="L10" s="63">
        <v>29.8</v>
      </c>
      <c r="M10" s="63">
        <v>33.299999999999997</v>
      </c>
      <c r="N10" s="63">
        <v>37</v>
      </c>
      <c r="O10" s="63">
        <v>16</v>
      </c>
      <c r="P10" s="63">
        <v>19</v>
      </c>
      <c r="Q10" s="283">
        <v>16.3</v>
      </c>
      <c r="R10" s="308">
        <v>12.9</v>
      </c>
      <c r="S10" s="63">
        <v>28</v>
      </c>
      <c r="T10" s="63">
        <v>38</v>
      </c>
      <c r="U10" s="63">
        <v>41</v>
      </c>
      <c r="V10" s="63">
        <v>39</v>
      </c>
      <c r="W10" s="283">
        <v>32</v>
      </c>
      <c r="X10" s="63">
        <v>25</v>
      </c>
      <c r="Y10" s="63">
        <v>36.299999999999997</v>
      </c>
      <c r="Z10" s="15">
        <v>34.6</v>
      </c>
      <c r="AA10" s="18">
        <v>30.9</v>
      </c>
      <c r="AB10" s="323">
        <v>28.7</v>
      </c>
      <c r="AC10" s="489">
        <v>21.8</v>
      </c>
      <c r="AD10" s="15">
        <v>21.8</v>
      </c>
      <c r="AE10" s="15">
        <v>25.1</v>
      </c>
      <c r="AF10" s="15">
        <v>19.2</v>
      </c>
      <c r="AG10" s="15">
        <v>22.6</v>
      </c>
      <c r="AH10" s="15">
        <v>27.8</v>
      </c>
      <c r="AI10" s="335">
        <f t="shared" si="0"/>
        <v>987</v>
      </c>
      <c r="AJ10" s="118">
        <v>25</v>
      </c>
      <c r="AK10" s="121">
        <f t="shared" si="1"/>
        <v>4.8055555555555551E-3</v>
      </c>
      <c r="AL10" s="67" t="e">
        <f>IF(OR(#REF!="",#REF!="Sem monitoramento"),"VAZIO",IFERROR(#REF!/($AJ10*24),"-"))</f>
        <v>#REF!</v>
      </c>
      <c r="AM10" s="68">
        <f t="shared" ref="AM10:AU25" si="12">IF(OR(E10="",E10="Sem monitoramento"),"VAZIO",IFERROR(E10/($AJ10*24),"-"))</f>
        <v>0.12</v>
      </c>
      <c r="AN10" s="68">
        <f t="shared" si="12"/>
        <v>8.6499999999999994E-2</v>
      </c>
      <c r="AO10" s="68">
        <f t="shared" si="12"/>
        <v>8.1666666666666665E-2</v>
      </c>
      <c r="AP10" s="68">
        <f t="shared" si="12"/>
        <v>0</v>
      </c>
      <c r="AQ10" s="68">
        <f>IF(OR(I8="",I8="Sem monitoramento"),"VAZIO",IFERROR(I8/($AJ10*24),"-"))</f>
        <v>0.1855</v>
      </c>
      <c r="AR10" s="68" t="e">
        <f>IF(OR(#REF!="",#REF!="Sem monitoramento"),"VAZIO",IFERROR(#REF!/($AJ10*24),"-"))</f>
        <v>#REF!</v>
      </c>
      <c r="AS10" s="68">
        <f t="shared" si="11"/>
        <v>6.3833333333333325E-2</v>
      </c>
      <c r="AT10" s="68">
        <f t="shared" si="11"/>
        <v>4.9666666666666665E-2</v>
      </c>
      <c r="AU10" s="68">
        <f t="shared" si="11"/>
        <v>5.5499999999999994E-2</v>
      </c>
      <c r="AV10" s="68">
        <f t="shared" si="11"/>
        <v>6.1666666666666668E-2</v>
      </c>
      <c r="AW10" s="68">
        <f t="shared" si="11"/>
        <v>2.6666666666666668E-2</v>
      </c>
      <c r="AX10" s="68" t="e">
        <f>IF(OR(#REF!="",#REF!="Sem monitoramento"),"VAZIO",IFERROR(#REF!/($AJ10*24),"-"))</f>
        <v>#REF!</v>
      </c>
      <c r="AY10" s="68">
        <f t="shared" si="3"/>
        <v>2.7166666666666669E-2</v>
      </c>
      <c r="AZ10" s="68">
        <f t="shared" si="3"/>
        <v>2.1500000000000002E-2</v>
      </c>
      <c r="BA10" s="68">
        <f t="shared" si="3"/>
        <v>4.6666666666666669E-2</v>
      </c>
      <c r="BB10" s="68">
        <f t="shared" si="3"/>
        <v>6.3333333333333339E-2</v>
      </c>
      <c r="BC10" s="68">
        <f>IF(OR(U8="",U8="Sem monitoramento"),"VAZIO",IFERROR(U8/($AJ10*24),"-"))</f>
        <v>0.28833333333333333</v>
      </c>
      <c r="BD10" s="68">
        <f t="shared" si="3"/>
        <v>6.5000000000000002E-2</v>
      </c>
      <c r="BE10" s="68">
        <f t="shared" si="3"/>
        <v>5.3333333333333337E-2</v>
      </c>
      <c r="BF10" s="68">
        <f t="shared" si="3"/>
        <v>4.1666666666666664E-2</v>
      </c>
      <c r="BG10" s="68">
        <f t="shared" si="3"/>
        <v>6.0499999999999998E-2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5.1499999999999997E-2</v>
      </c>
      <c r="BJ10" s="68">
        <f>IF(OR(AB10="",AB10="Sem monitoramento"),"VAZIO",IFERROR(AB10/($AJ10*24),"-"))</f>
        <v>4.7833333333333332E-2</v>
      </c>
      <c r="BK10" s="68">
        <f>IF(OR(AC8="",AC8="Sem monitoramento"),"VAZIO",IFERROR(AC8/($AJ10*24),"-"))</f>
        <v>0.13983333333333334</v>
      </c>
      <c r="BL10" s="68">
        <f t="shared" si="4"/>
        <v>3.6333333333333336E-2</v>
      </c>
      <c r="BM10" s="68">
        <f t="shared" si="4"/>
        <v>4.1833333333333333E-2</v>
      </c>
      <c r="BN10" s="68">
        <f t="shared" si="4"/>
        <v>3.2000000000000001E-2</v>
      </c>
      <c r="BO10" s="68">
        <f>IF(OR(AG8="",AG8="Sem monitoramento"),"VAZIO",IFERROR(AG8/($AJ10*24),"-"))</f>
        <v>0.13066666666666668</v>
      </c>
      <c r="BP10" s="70">
        <f t="shared" si="5"/>
        <v>5.4833333333333331E-2</v>
      </c>
      <c r="BQ10" s="180">
        <f>'FCs estimados em PVsyst'!Y8</f>
        <v>0.185</v>
      </c>
      <c r="BR10" s="72">
        <f t="shared" si="6"/>
        <v>4.625</v>
      </c>
      <c r="BS10" s="73">
        <f t="shared" si="7"/>
        <v>-9.8500000000000004E-2</v>
      </c>
      <c r="BT10" s="74">
        <f t="shared" si="8"/>
        <v>-0.13016666666666665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370.6</v>
      </c>
      <c r="E11" s="63">
        <v>377.4</v>
      </c>
      <c r="F11" s="63">
        <v>282.7</v>
      </c>
      <c r="G11" s="63">
        <v>277.39999999999998</v>
      </c>
      <c r="H11" s="63">
        <v>419.9</v>
      </c>
      <c r="I11" s="283">
        <v>352.1</v>
      </c>
      <c r="J11" s="283">
        <v>256.60000000000002</v>
      </c>
      <c r="K11" s="283">
        <v>317.7</v>
      </c>
      <c r="L11" s="63">
        <v>251</v>
      </c>
      <c r="M11" s="519">
        <v>359</v>
      </c>
      <c r="N11" s="63">
        <v>422</v>
      </c>
      <c r="O11" s="63">
        <v>142</v>
      </c>
      <c r="P11" s="63">
        <v>203</v>
      </c>
      <c r="Q11" s="283">
        <v>186.6</v>
      </c>
      <c r="R11" s="63">
        <v>189</v>
      </c>
      <c r="S11" s="63">
        <v>273</v>
      </c>
      <c r="T11" s="63">
        <v>383</v>
      </c>
      <c r="U11" s="63">
        <v>412</v>
      </c>
      <c r="V11" s="283">
        <v>436</v>
      </c>
      <c r="W11" s="519">
        <v>338</v>
      </c>
      <c r="X11" s="63">
        <v>366</v>
      </c>
      <c r="Y11" s="63">
        <v>446.3</v>
      </c>
      <c r="Z11" s="15">
        <v>387.5</v>
      </c>
      <c r="AA11" s="18">
        <v>373.9</v>
      </c>
      <c r="AB11" s="323">
        <v>351.5</v>
      </c>
      <c r="AC11" s="221">
        <v>237.3</v>
      </c>
      <c r="AD11" s="15">
        <v>313.39999999999998</v>
      </c>
      <c r="AE11" s="15">
        <v>309.60000000000002</v>
      </c>
      <c r="AF11" s="15">
        <v>229.1</v>
      </c>
      <c r="AG11" s="15">
        <v>235.7</v>
      </c>
      <c r="AH11" s="15">
        <v>234.4</v>
      </c>
      <c r="AI11" s="656">
        <f t="shared" si="0"/>
        <v>9733.7000000000007</v>
      </c>
      <c r="AJ11" s="118">
        <v>78</v>
      </c>
      <c r="AK11" s="121">
        <f t="shared" si="1"/>
        <v>8.3897198480531818E-3</v>
      </c>
      <c r="AL11" s="67">
        <f t="shared" ref="AL11:AL27" si="13">IF(OR(D11="",D11="Sem monitoramento"),"VAZIO",IFERROR(D11/($AJ11*24),"-"))</f>
        <v>0.19797008547008549</v>
      </c>
      <c r="AM11" s="68">
        <f t="shared" si="12"/>
        <v>0.20160256410256408</v>
      </c>
      <c r="AN11" s="68">
        <f t="shared" si="12"/>
        <v>0.15101495726495726</v>
      </c>
      <c r="AO11" s="68">
        <f t="shared" si="12"/>
        <v>0.14818376068376068</v>
      </c>
      <c r="AP11" s="68">
        <f t="shared" si="12"/>
        <v>0.22430555555555554</v>
      </c>
      <c r="AQ11" s="68">
        <f t="shared" si="12"/>
        <v>0.18808760683760686</v>
      </c>
      <c r="AR11" s="68">
        <f t="shared" si="12"/>
        <v>0.13707264957264959</v>
      </c>
      <c r="AS11" s="68">
        <f t="shared" ref="AS11:AT16" si="14">IF(OR(K11="",K11="Sem monitoramento"),"VAZIO",IFERROR(K11/($AJ11*24),"-"))</f>
        <v>0.16971153846153847</v>
      </c>
      <c r="AT11" s="68">
        <f t="shared" si="14"/>
        <v>0.13408119658119658</v>
      </c>
      <c r="AU11" s="68">
        <f>IF(OR(M12="",M12="Sem monitoramento"),"VAZIO",IFERROR(M12/($AJ11*24),"-"))</f>
        <v>0.12964743589743588</v>
      </c>
      <c r="AV11" s="68">
        <f t="shared" ref="AV11:AX16" si="15">IF(OR(N11="",N11="Sem monitoramento"),"VAZIO",IFERROR(N11/($AJ11*24),"-"))</f>
        <v>0.22542735042735043</v>
      </c>
      <c r="AW11" s="68">
        <f t="shared" si="15"/>
        <v>7.5854700854700849E-2</v>
      </c>
      <c r="AX11" s="68">
        <f t="shared" si="15"/>
        <v>0.10844017094017094</v>
      </c>
      <c r="AY11" s="68">
        <f t="shared" si="3"/>
        <v>9.9679487179487172E-2</v>
      </c>
      <c r="AZ11" s="68">
        <f t="shared" si="3"/>
        <v>0.10096153846153846</v>
      </c>
      <c r="BA11" s="68">
        <f t="shared" si="3"/>
        <v>0.14583333333333334</v>
      </c>
      <c r="BB11" s="68">
        <f t="shared" si="3"/>
        <v>0.20459401709401709</v>
      </c>
      <c r="BC11" s="68">
        <f t="shared" si="3"/>
        <v>0.22008547008547008</v>
      </c>
      <c r="BD11" s="68">
        <f t="shared" si="3"/>
        <v>0.23290598290598291</v>
      </c>
      <c r="BE11" s="68">
        <f>IF(OR(W12="",W12="Sem monitoramento"),"VAZIO",IFERROR(W12/($AJ11*24),"-"))</f>
        <v>0.14903846153846154</v>
      </c>
      <c r="BF11" s="68">
        <f t="shared" si="3"/>
        <v>0.19551282051282051</v>
      </c>
      <c r="BG11" s="68">
        <f t="shared" si="3"/>
        <v>0.23840811965811967</v>
      </c>
      <c r="BH11" s="68">
        <f t="shared" si="3"/>
        <v>0.20699786324786323</v>
      </c>
      <c r="BI11" s="68" t="e">
        <f>IF(OR(#REF!="",#REF!="Sem monitoramento"),"VAZIO",IFERROR(#REF!/($AJ11*24),"-"))</f>
        <v>#REF!</v>
      </c>
      <c r="BJ11" s="68">
        <f>IF(OR(AB9="",AB9="Sem monitoramento"),"VAZIO",IFERROR(AB9/($AJ11*24),"-"))</f>
        <v>2.4893162393162395E-2</v>
      </c>
      <c r="BK11" s="68">
        <f t="shared" ref="BK11:BL31" si="16">IF(OR(AC11="",AC11="Sem monitoramento"),"VAZIO",IFERROR(AC11/($AJ11*24),"-"))</f>
        <v>0.12676282051282051</v>
      </c>
      <c r="BL11" s="68">
        <f t="shared" si="4"/>
        <v>0.1674145299145299</v>
      </c>
      <c r="BM11" s="68">
        <f t="shared" si="4"/>
        <v>0.16538461538461541</v>
      </c>
      <c r="BN11" s="68">
        <f t="shared" si="4"/>
        <v>0.12238247863247863</v>
      </c>
      <c r="BO11" s="68">
        <f t="shared" si="4"/>
        <v>0.12590811965811965</v>
      </c>
      <c r="BP11" s="70">
        <f t="shared" si="5"/>
        <v>0.17332086894586896</v>
      </c>
      <c r="BQ11" s="198">
        <f>BQ19</f>
        <v>0.168125</v>
      </c>
      <c r="BR11" s="72">
        <f t="shared" si="6"/>
        <v>13.11375</v>
      </c>
      <c r="BS11" s="73">
        <f t="shared" si="7"/>
        <v>-1.7110042735042741E-2</v>
      </c>
      <c r="BT11" s="74">
        <f t="shared" si="8"/>
        <v>5.1958689458689589E-3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280.10000000000002</v>
      </c>
      <c r="E12" s="308">
        <v>298.8</v>
      </c>
      <c r="F12" s="82">
        <v>311.3</v>
      </c>
      <c r="G12" s="82">
        <v>225.5</v>
      </c>
      <c r="H12" s="82">
        <v>239.4</v>
      </c>
      <c r="I12" s="308">
        <v>267.2</v>
      </c>
      <c r="J12" s="82">
        <v>210.3</v>
      </c>
      <c r="K12" s="308">
        <v>245.1</v>
      </c>
      <c r="L12" s="82">
        <v>189.5</v>
      </c>
      <c r="M12" s="355">
        <v>242.7</v>
      </c>
      <c r="N12" s="82">
        <v>242.8</v>
      </c>
      <c r="O12" s="82">
        <v>112</v>
      </c>
      <c r="P12" s="82">
        <v>138</v>
      </c>
      <c r="Q12" s="308">
        <v>118.3</v>
      </c>
      <c r="R12" s="308">
        <v>95.2</v>
      </c>
      <c r="S12" s="82">
        <v>217</v>
      </c>
      <c r="T12" s="82">
        <v>320</v>
      </c>
      <c r="U12" s="82">
        <v>355</v>
      </c>
      <c r="V12" s="82">
        <v>358</v>
      </c>
      <c r="W12" s="283">
        <v>279</v>
      </c>
      <c r="X12" s="82">
        <v>231</v>
      </c>
      <c r="Y12" s="63">
        <v>323.60000000000002</v>
      </c>
      <c r="Z12" s="16">
        <v>327.7</v>
      </c>
      <c r="AA12" s="17">
        <v>293.39999999999998</v>
      </c>
      <c r="AB12" s="324">
        <v>294.5</v>
      </c>
      <c r="AC12" s="489">
        <v>204</v>
      </c>
      <c r="AD12" s="16">
        <v>209</v>
      </c>
      <c r="AE12" s="16">
        <v>215</v>
      </c>
      <c r="AF12" s="657">
        <v>145</v>
      </c>
      <c r="AG12" s="657">
        <v>186</v>
      </c>
      <c r="AH12" s="16">
        <v>214</v>
      </c>
      <c r="AI12" s="335">
        <f t="shared" si="0"/>
        <v>7388.4000000000005</v>
      </c>
      <c r="AJ12" s="123">
        <v>61</v>
      </c>
      <c r="AK12" s="121" t="s">
        <v>31</v>
      </c>
      <c r="AL12" s="67">
        <f t="shared" si="13"/>
        <v>0.19132513661202188</v>
      </c>
      <c r="AM12" s="68">
        <f t="shared" si="12"/>
        <v>0.20409836065573772</v>
      </c>
      <c r="AN12" s="68">
        <f t="shared" si="12"/>
        <v>0.21263661202185793</v>
      </c>
      <c r="AO12" s="68">
        <f t="shared" si="12"/>
        <v>0.15403005464480873</v>
      </c>
      <c r="AP12" s="68">
        <f t="shared" si="12"/>
        <v>0.16352459016393442</v>
      </c>
      <c r="AQ12" s="68">
        <f t="shared" si="12"/>
        <v>0.18251366120218579</v>
      </c>
      <c r="AR12" s="68">
        <f t="shared" si="12"/>
        <v>0.14364754098360658</v>
      </c>
      <c r="AS12" s="68">
        <f t="shared" si="14"/>
        <v>0.16741803278688525</v>
      </c>
      <c r="AT12" s="68">
        <f t="shared" si="14"/>
        <v>0.1294398907103825</v>
      </c>
      <c r="AU12" s="68">
        <f>IF(OR(M13="",M13="Sem monitoramento"),"VAZIO",IFERROR(M13/($AJ12*24),"-"))</f>
        <v>0.26659836065573772</v>
      </c>
      <c r="AV12" s="68">
        <f t="shared" si="15"/>
        <v>0.16584699453551913</v>
      </c>
      <c r="AW12" s="68">
        <f t="shared" si="15"/>
        <v>7.650273224043716E-2</v>
      </c>
      <c r="AX12" s="68">
        <f t="shared" si="15"/>
        <v>9.4262295081967207E-2</v>
      </c>
      <c r="AY12" s="68">
        <f t="shared" si="3"/>
        <v>8.0806010928961752E-2</v>
      </c>
      <c r="AZ12" s="68">
        <f t="shared" si="3"/>
        <v>6.502732240437159E-2</v>
      </c>
      <c r="BA12" s="68">
        <f t="shared" si="3"/>
        <v>0.14822404371584699</v>
      </c>
      <c r="BB12" s="68">
        <f t="shared" si="3"/>
        <v>0.21857923497267759</v>
      </c>
      <c r="BC12" s="68">
        <f t="shared" si="3"/>
        <v>0.2424863387978142</v>
      </c>
      <c r="BD12" s="68">
        <f t="shared" si="3"/>
        <v>0.24453551912568305</v>
      </c>
      <c r="BE12" s="68" t="e">
        <f>IF(OR(#REF!="",#REF!="Sem monitoramento"),"VAZIO",IFERROR(#REF!/($AJ12*24),"-"))</f>
        <v>#REF!</v>
      </c>
      <c r="BF12" s="68">
        <f t="shared" si="3"/>
        <v>0.15778688524590165</v>
      </c>
      <c r="BG12" s="68" t="e">
        <f>IF(OR(#REF!="",#REF!="Sem monitoramento"),"VAZIO",IFERROR(#REF!/($AJ12*24),"-"))</f>
        <v>#REF!</v>
      </c>
      <c r="BH12" s="68">
        <f t="shared" si="3"/>
        <v>0.22383879781420765</v>
      </c>
      <c r="BI12" s="68">
        <f t="shared" si="3"/>
        <v>0.20040983606557375</v>
      </c>
      <c r="BJ12" s="68">
        <f t="shared" si="3"/>
        <v>0.20116120218579234</v>
      </c>
      <c r="BK12" s="68">
        <f t="shared" si="16"/>
        <v>0.13934426229508196</v>
      </c>
      <c r="BL12" s="68">
        <f t="shared" si="4"/>
        <v>0.14275956284153005</v>
      </c>
      <c r="BM12" s="68">
        <f t="shared" si="4"/>
        <v>0.14685792349726776</v>
      </c>
      <c r="BN12" s="68">
        <f t="shared" si="4"/>
        <v>9.9043715846994534E-2</v>
      </c>
      <c r="BO12" s="68">
        <f t="shared" si="4"/>
        <v>0.12704918032786885</v>
      </c>
      <c r="BP12" s="70">
        <f t="shared" si="5"/>
        <v>0.16822404371584701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8"/>
        <v>-1.6429872495446252E-2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223">
        <v>487.1</v>
      </c>
      <c r="E13" s="283">
        <v>496.8</v>
      </c>
      <c r="F13" s="283">
        <v>375.8</v>
      </c>
      <c r="G13" s="283">
        <v>394.2</v>
      </c>
      <c r="H13" s="283">
        <v>415.4</v>
      </c>
      <c r="I13" s="283">
        <v>384.7</v>
      </c>
      <c r="J13" s="63">
        <v>375.6</v>
      </c>
      <c r="K13" s="283">
        <v>391.3</v>
      </c>
      <c r="L13" s="63">
        <v>307.39999999999998</v>
      </c>
      <c r="M13" s="356">
        <v>390.3</v>
      </c>
      <c r="N13" s="283">
        <v>396</v>
      </c>
      <c r="O13" s="63">
        <v>195</v>
      </c>
      <c r="P13" s="63">
        <v>232</v>
      </c>
      <c r="Q13" s="283">
        <v>198</v>
      </c>
      <c r="R13" s="308">
        <v>161.80000000000001</v>
      </c>
      <c r="S13" s="63">
        <v>359</v>
      </c>
      <c r="T13" s="63">
        <v>482</v>
      </c>
      <c r="U13" s="63">
        <v>579</v>
      </c>
      <c r="V13" s="63">
        <v>590</v>
      </c>
      <c r="W13" s="283">
        <v>485</v>
      </c>
      <c r="X13" s="63">
        <v>412</v>
      </c>
      <c r="Y13" s="316">
        <v>524.6</v>
      </c>
      <c r="Z13" s="15">
        <v>547.5</v>
      </c>
      <c r="AA13" s="18">
        <v>496.6</v>
      </c>
      <c r="AB13" s="323">
        <v>449</v>
      </c>
      <c r="AC13" s="489">
        <v>374.4</v>
      </c>
      <c r="AD13" s="15">
        <v>351.7</v>
      </c>
      <c r="AE13" s="15">
        <v>379.9</v>
      </c>
      <c r="AF13" s="15">
        <v>271.60000000000002</v>
      </c>
      <c r="AG13" s="15">
        <v>303.89999999999998</v>
      </c>
      <c r="AH13" s="15">
        <v>380</v>
      </c>
      <c r="AI13" s="335">
        <f t="shared" si="0"/>
        <v>12187.6</v>
      </c>
      <c r="AJ13" s="118">
        <v>100</v>
      </c>
      <c r="AK13" s="121">
        <f t="shared" ref="AK13:AK30" si="17">F13/(AJ13*432)</f>
        <v>8.6990740740740743E-3</v>
      </c>
      <c r="AL13" s="67">
        <f t="shared" si="13"/>
        <v>0.20295833333333335</v>
      </c>
      <c r="AM13" s="68">
        <f t="shared" si="12"/>
        <v>0.20700000000000002</v>
      </c>
      <c r="AN13" s="68">
        <f t="shared" si="12"/>
        <v>0.15658333333333332</v>
      </c>
      <c r="AO13" s="68">
        <f t="shared" si="12"/>
        <v>0.16425000000000001</v>
      </c>
      <c r="AP13" s="68">
        <f t="shared" si="12"/>
        <v>0.17308333333333331</v>
      </c>
      <c r="AQ13" s="68">
        <f t="shared" si="12"/>
        <v>0.16029166666666667</v>
      </c>
      <c r="AR13" s="68">
        <f t="shared" si="12"/>
        <v>0.1565</v>
      </c>
      <c r="AS13" s="68">
        <f t="shared" si="14"/>
        <v>0.16304166666666667</v>
      </c>
      <c r="AT13" s="68">
        <f t="shared" si="14"/>
        <v>0.12808333333333333</v>
      </c>
      <c r="AU13" s="68" t="e">
        <f>IF(OR(#REF!="",#REF!="Sem monitoramento"),"VAZIO",IFERROR(#REF!/($AJ13*24),"-"))</f>
        <v>#REF!</v>
      </c>
      <c r="AV13" s="68">
        <f t="shared" si="15"/>
        <v>0.16500000000000001</v>
      </c>
      <c r="AW13" s="68">
        <f t="shared" si="15"/>
        <v>8.1250000000000003E-2</v>
      </c>
      <c r="AX13" s="68">
        <f t="shared" si="15"/>
        <v>9.6666666666666665E-2</v>
      </c>
      <c r="AY13" s="68">
        <f t="shared" si="3"/>
        <v>8.2500000000000004E-2</v>
      </c>
      <c r="AZ13" s="68">
        <f t="shared" si="3"/>
        <v>6.7416666666666666E-2</v>
      </c>
      <c r="BA13" s="68">
        <f t="shared" si="3"/>
        <v>0.14958333333333335</v>
      </c>
      <c r="BB13" s="68">
        <f t="shared" si="3"/>
        <v>0.20083333333333334</v>
      </c>
      <c r="BC13" s="68">
        <f t="shared" si="3"/>
        <v>0.24124999999999999</v>
      </c>
      <c r="BD13" s="68">
        <f t="shared" si="3"/>
        <v>0.24583333333333332</v>
      </c>
      <c r="BE13" s="68">
        <f t="shared" si="3"/>
        <v>0.20208333333333334</v>
      </c>
      <c r="BF13" s="68">
        <f t="shared" si="3"/>
        <v>0.17166666666666666</v>
      </c>
      <c r="BG13" s="68">
        <f>IF(OR(Y12="",Y12="Sem monitoramento"),"VAZIO",IFERROR(Y12/($AJ13*24),"-"))</f>
        <v>0.13483333333333333</v>
      </c>
      <c r="BH13" s="68">
        <f t="shared" si="3"/>
        <v>0.22812499999999999</v>
      </c>
      <c r="BI13" s="68">
        <f t="shared" si="3"/>
        <v>0.20691666666666667</v>
      </c>
      <c r="BJ13" s="68">
        <f t="shared" si="3"/>
        <v>0.18708333333333332</v>
      </c>
      <c r="BK13" s="68">
        <f t="shared" si="16"/>
        <v>0.156</v>
      </c>
      <c r="BL13" s="68">
        <f t="shared" si="4"/>
        <v>0.14654166666666665</v>
      </c>
      <c r="BM13" s="68">
        <f t="shared" si="4"/>
        <v>0.15829166666666666</v>
      </c>
      <c r="BN13" s="68">
        <f t="shared" si="4"/>
        <v>0.11316666666666668</v>
      </c>
      <c r="BO13" s="68">
        <f t="shared" si="4"/>
        <v>0.12662499999999999</v>
      </c>
      <c r="BP13" s="70">
        <f t="shared" si="5"/>
        <v>0.16927222222222224</v>
      </c>
      <c r="BQ13" s="198">
        <f>BQ19</f>
        <v>0.168125</v>
      </c>
      <c r="BR13" s="72">
        <f t="shared" ref="BR13:BR30" si="18">AJ13*BQ13</f>
        <v>16.8125</v>
      </c>
      <c r="BS13" s="73">
        <f t="shared" ref="BS13:BS30" si="19">AN13-BQ13</f>
        <v>-1.1541666666666672E-2</v>
      </c>
      <c r="BT13" s="74">
        <f t="shared" si="8"/>
        <v>1.1472222222222439E-3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62">
        <v>494.2</v>
      </c>
      <c r="E14" s="63">
        <v>532.1</v>
      </c>
      <c r="F14" s="63">
        <v>403.8</v>
      </c>
      <c r="G14" s="63">
        <v>385.1</v>
      </c>
      <c r="H14" s="63">
        <v>543.70000000000005</v>
      </c>
      <c r="I14" s="283">
        <v>481.7</v>
      </c>
      <c r="J14" s="283">
        <v>365.8</v>
      </c>
      <c r="K14" s="283">
        <v>427.7</v>
      </c>
      <c r="L14" s="63">
        <v>358.5</v>
      </c>
      <c r="M14" s="283">
        <v>482.1</v>
      </c>
      <c r="N14" s="63">
        <v>565.29999999999995</v>
      </c>
      <c r="O14" s="63">
        <v>192</v>
      </c>
      <c r="P14" s="63">
        <v>274</v>
      </c>
      <c r="Q14" s="283">
        <v>254.1</v>
      </c>
      <c r="R14" s="63">
        <v>257.60000000000002</v>
      </c>
      <c r="S14" s="63">
        <v>381</v>
      </c>
      <c r="T14" s="63">
        <v>542</v>
      </c>
      <c r="U14" s="63">
        <v>563</v>
      </c>
      <c r="V14" s="283">
        <v>602</v>
      </c>
      <c r="W14" s="283">
        <v>464</v>
      </c>
      <c r="X14" s="63">
        <v>506</v>
      </c>
      <c r="Y14" s="63">
        <v>575.79999999999995</v>
      </c>
      <c r="Z14" s="15">
        <v>519.4</v>
      </c>
      <c r="AA14" s="18">
        <v>514.29999999999995</v>
      </c>
      <c r="AB14" s="323">
        <v>489.1</v>
      </c>
      <c r="AC14" s="221">
        <v>330.4</v>
      </c>
      <c r="AD14" s="15">
        <v>414.5</v>
      </c>
      <c r="AE14" s="15">
        <v>415.6</v>
      </c>
      <c r="AF14" s="15">
        <v>315.8</v>
      </c>
      <c r="AG14" s="15">
        <v>326.89999999999998</v>
      </c>
      <c r="AH14" s="15">
        <v>336.5</v>
      </c>
      <c r="AI14" s="656">
        <f t="shared" ref="AI14:AI31" si="20">SUM(D14:AH14)</f>
        <v>13313.999999999998</v>
      </c>
      <c r="AJ14" s="118">
        <v>100</v>
      </c>
      <c r="AK14" s="121">
        <f t="shared" si="17"/>
        <v>9.347222222222222E-3</v>
      </c>
      <c r="AL14" s="67">
        <f t="shared" si="13"/>
        <v>0.20591666666666666</v>
      </c>
      <c r="AM14" s="68">
        <f t="shared" si="12"/>
        <v>0.22170833333333334</v>
      </c>
      <c r="AN14" s="68">
        <f t="shared" si="12"/>
        <v>0.16825000000000001</v>
      </c>
      <c r="AO14" s="68">
        <f t="shared" si="12"/>
        <v>0.16045833333333334</v>
      </c>
      <c r="AP14" s="68">
        <f t="shared" si="12"/>
        <v>0.2265416666666667</v>
      </c>
      <c r="AQ14" s="68">
        <f t="shared" si="12"/>
        <v>0.20070833333333332</v>
      </c>
      <c r="AR14" s="68">
        <f t="shared" si="12"/>
        <v>0.15241666666666667</v>
      </c>
      <c r="AS14" s="68">
        <f t="shared" si="14"/>
        <v>0.17820833333333333</v>
      </c>
      <c r="AT14" s="68">
        <f t="shared" si="14"/>
        <v>0.14937500000000001</v>
      </c>
      <c r="AU14" s="68">
        <f>IF(OR(M14="",M14="Sem monitoramento"),"VAZIO",IFERROR(M14/($AJ14*24),"-"))</f>
        <v>0.200875</v>
      </c>
      <c r="AV14" s="68">
        <f t="shared" si="15"/>
        <v>0.23554166666666665</v>
      </c>
      <c r="AW14" s="68">
        <f t="shared" si="15"/>
        <v>0.08</v>
      </c>
      <c r="AX14" s="68">
        <f t="shared" si="15"/>
        <v>0.11416666666666667</v>
      </c>
      <c r="AY14" s="68">
        <f t="shared" si="3"/>
        <v>0.105875</v>
      </c>
      <c r="AZ14" s="68">
        <f t="shared" si="3"/>
        <v>0.10733333333333334</v>
      </c>
      <c r="BA14" s="68">
        <f t="shared" si="3"/>
        <v>0.15875</v>
      </c>
      <c r="BB14" s="68">
        <f t="shared" si="3"/>
        <v>0.22583333333333333</v>
      </c>
      <c r="BC14" s="68">
        <f t="shared" si="3"/>
        <v>0.23458333333333334</v>
      </c>
      <c r="BD14" s="68">
        <f t="shared" si="3"/>
        <v>0.25083333333333335</v>
      </c>
      <c r="BE14" s="68">
        <f t="shared" si="3"/>
        <v>0.19333333333333333</v>
      </c>
      <c r="BF14" s="68">
        <f t="shared" si="3"/>
        <v>0.21083333333333334</v>
      </c>
      <c r="BG14" s="68">
        <f t="shared" si="3"/>
        <v>0.23991666666666664</v>
      </c>
      <c r="BH14" s="68">
        <f t="shared" si="3"/>
        <v>0.21641666666666665</v>
      </c>
      <c r="BI14" s="68">
        <f t="shared" si="3"/>
        <v>0.21429166666666666</v>
      </c>
      <c r="BJ14" s="68">
        <f t="shared" si="3"/>
        <v>0.20379166666666668</v>
      </c>
      <c r="BK14" s="68">
        <f t="shared" si="16"/>
        <v>0.13766666666666666</v>
      </c>
      <c r="BL14" s="68">
        <f t="shared" si="4"/>
        <v>0.17270833333333332</v>
      </c>
      <c r="BM14" s="68">
        <f t="shared" si="4"/>
        <v>0.17316666666666666</v>
      </c>
      <c r="BN14" s="68">
        <f t="shared" si="4"/>
        <v>0.13158333333333333</v>
      </c>
      <c r="BO14" s="68">
        <f t="shared" si="4"/>
        <v>0.13620833333333332</v>
      </c>
      <c r="BP14" s="70">
        <f t="shared" si="5"/>
        <v>0.18491666666666665</v>
      </c>
      <c r="BQ14" s="198">
        <f>$BQ$19</f>
        <v>0.168125</v>
      </c>
      <c r="BR14" s="72">
        <f t="shared" si="18"/>
        <v>16.8125</v>
      </c>
      <c r="BS14" s="73">
        <f t="shared" si="19"/>
        <v>1.2500000000001399E-4</v>
      </c>
      <c r="BT14" s="74">
        <f t="shared" si="8"/>
        <v>1.6791666666666649E-2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141.5</v>
      </c>
      <c r="E15" s="63">
        <v>148.69999999999999</v>
      </c>
      <c r="F15" s="63">
        <v>116.7</v>
      </c>
      <c r="G15" s="63">
        <v>108.7</v>
      </c>
      <c r="H15" s="63">
        <v>160</v>
      </c>
      <c r="I15" s="283">
        <v>135.9</v>
      </c>
      <c r="J15" s="283">
        <v>94.5</v>
      </c>
      <c r="K15" s="283">
        <v>121.6</v>
      </c>
      <c r="L15" s="63">
        <v>100.5</v>
      </c>
      <c r="M15" s="283">
        <v>137.19999999999999</v>
      </c>
      <c r="N15" s="63">
        <v>161.5</v>
      </c>
      <c r="O15" s="63">
        <v>50</v>
      </c>
      <c r="P15" s="63">
        <v>73</v>
      </c>
      <c r="Q15" s="283">
        <v>66.900000000000006</v>
      </c>
      <c r="R15" s="63">
        <v>68.099999999999994</v>
      </c>
      <c r="S15" s="63">
        <v>103</v>
      </c>
      <c r="T15" s="63">
        <v>161</v>
      </c>
      <c r="U15" s="63">
        <v>158</v>
      </c>
      <c r="V15" s="283">
        <v>164</v>
      </c>
      <c r="W15" s="283">
        <v>126</v>
      </c>
      <c r="X15" s="63">
        <v>137</v>
      </c>
      <c r="Y15" s="63">
        <v>163.69999999999999</v>
      </c>
      <c r="Z15" s="31">
        <v>140.9</v>
      </c>
      <c r="AA15" s="18">
        <v>136.80000000000001</v>
      </c>
      <c r="AB15" s="323">
        <v>140.1</v>
      </c>
      <c r="AC15" s="221">
        <v>86.1</v>
      </c>
      <c r="AD15" s="221">
        <v>116.2</v>
      </c>
      <c r="AE15" s="15">
        <v>117.5</v>
      </c>
      <c r="AF15" s="15">
        <v>83.1</v>
      </c>
      <c r="AG15" s="15">
        <v>87.2</v>
      </c>
      <c r="AH15" s="15">
        <v>92.2</v>
      </c>
      <c r="AI15" s="656">
        <f t="shared" si="20"/>
        <v>3697.5999999999995</v>
      </c>
      <c r="AJ15" s="118">
        <v>29</v>
      </c>
      <c r="AK15" s="121">
        <f t="shared" si="17"/>
        <v>9.3151340996168591E-3</v>
      </c>
      <c r="AL15" s="67">
        <f t="shared" si="13"/>
        <v>0.20330459770114942</v>
      </c>
      <c r="AM15" s="68">
        <f t="shared" si="12"/>
        <v>0.21364942528735631</v>
      </c>
      <c r="AN15" s="68">
        <f t="shared" si="12"/>
        <v>0.16767241379310346</v>
      </c>
      <c r="AO15" s="68">
        <f t="shared" si="12"/>
        <v>0.15617816091954023</v>
      </c>
      <c r="AP15" s="68">
        <f t="shared" si="12"/>
        <v>0.22988505747126436</v>
      </c>
      <c r="AQ15" s="68">
        <f t="shared" si="12"/>
        <v>0.19525862068965519</v>
      </c>
      <c r="AR15" s="68">
        <f t="shared" si="12"/>
        <v>0.13577586206896552</v>
      </c>
      <c r="AS15" s="68">
        <f t="shared" si="14"/>
        <v>0.17471264367816092</v>
      </c>
      <c r="AT15" s="68">
        <f t="shared" si="14"/>
        <v>0.14439655172413793</v>
      </c>
      <c r="AU15" s="68">
        <f>IF(OR(M15="",M15="Sem monitoramento"),"VAZIO",IFERROR(M15/($AJ15*24),"-"))</f>
        <v>0.19712643678160918</v>
      </c>
      <c r="AV15" s="68">
        <f t="shared" si="15"/>
        <v>0.23204022988505746</v>
      </c>
      <c r="AW15" s="68">
        <f t="shared" si="15"/>
        <v>7.183908045977011E-2</v>
      </c>
      <c r="AX15" s="68">
        <f t="shared" si="15"/>
        <v>0.10488505747126436</v>
      </c>
      <c r="AY15" s="68">
        <f t="shared" si="3"/>
        <v>9.6120689655172425E-2</v>
      </c>
      <c r="AZ15" s="68">
        <f t="shared" si="3"/>
        <v>9.7844827586206884E-2</v>
      </c>
      <c r="BA15" s="68">
        <f t="shared" si="3"/>
        <v>0.14798850574712644</v>
      </c>
      <c r="BB15" s="68">
        <f t="shared" si="3"/>
        <v>0.23132183908045978</v>
      </c>
      <c r="BC15" s="68">
        <f t="shared" si="3"/>
        <v>0.22701149425287356</v>
      </c>
      <c r="BD15" s="68">
        <f t="shared" si="3"/>
        <v>0.23563218390804597</v>
      </c>
      <c r="BE15" s="68">
        <f t="shared" si="3"/>
        <v>0.18103448275862069</v>
      </c>
      <c r="BF15" s="68">
        <f>IF(OR(X15="",X15="Sem monitoramento"),"VAZIO",IFERROR(X15/($AJ15*24),"-"))</f>
        <v>0.19683908045977011</v>
      </c>
      <c r="BG15" s="68">
        <f>IF(OR(Y16="",Y16="Sem monitoramento"),"VAZIO",IFERROR(Y16/($AJ15*24),"-"))</f>
        <v>0.71379310344827585</v>
      </c>
      <c r="BH15" s="68">
        <f>IF(OR(Z16="",Z16="Sem monitoramento"),"VAZIO",IFERROR(Z16/($AJ15*24),"-"))</f>
        <v>0.73160919540229885</v>
      </c>
      <c r="BI15" s="68">
        <f t="shared" si="3"/>
        <v>0.19655172413793104</v>
      </c>
      <c r="BJ15" s="68">
        <f t="shared" si="3"/>
        <v>0.20129310344827586</v>
      </c>
      <c r="BK15" s="68">
        <f t="shared" si="16"/>
        <v>0.12370689655172414</v>
      </c>
      <c r="BL15" s="68">
        <f t="shared" si="4"/>
        <v>0.16695402298850576</v>
      </c>
      <c r="BM15" s="68">
        <f t="shared" si="4"/>
        <v>0.16882183908045978</v>
      </c>
      <c r="BN15" s="68">
        <f t="shared" si="4"/>
        <v>0.11939655172413792</v>
      </c>
      <c r="BO15" s="68">
        <f t="shared" si="4"/>
        <v>0.12528735632183907</v>
      </c>
      <c r="BP15" s="70">
        <f t="shared" si="5"/>
        <v>0.17708812260536397</v>
      </c>
      <c r="BQ15" s="180">
        <f>'FCs estimados em PVsyst'!Y13</f>
        <v>0.1850095785440613</v>
      </c>
      <c r="BR15" s="72">
        <f t="shared" si="18"/>
        <v>5.365277777777778</v>
      </c>
      <c r="BS15" s="73">
        <f t="shared" si="19"/>
        <v>-1.733716475095784E-2</v>
      </c>
      <c r="BT15" s="74">
        <f t="shared" si="8"/>
        <v>-7.921455938697336E-3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463.2</v>
      </c>
      <c r="E16" s="283">
        <v>496</v>
      </c>
      <c r="F16" s="283">
        <v>434.5</v>
      </c>
      <c r="G16" s="283">
        <v>397.6</v>
      </c>
      <c r="H16" s="63">
        <v>498.2</v>
      </c>
      <c r="I16" s="63">
        <v>406.2</v>
      </c>
      <c r="J16" s="63">
        <v>325.39999999999998</v>
      </c>
      <c r="K16" s="63">
        <v>377.2</v>
      </c>
      <c r="L16" s="63">
        <v>324</v>
      </c>
      <c r="M16" s="63">
        <v>435.4</v>
      </c>
      <c r="N16" s="63">
        <v>541</v>
      </c>
      <c r="O16" s="63">
        <v>155</v>
      </c>
      <c r="P16" s="283">
        <v>245</v>
      </c>
      <c r="Q16" s="283">
        <v>253.6</v>
      </c>
      <c r="R16" s="283">
        <v>187.8</v>
      </c>
      <c r="S16" s="283">
        <v>367</v>
      </c>
      <c r="T16" s="141">
        <v>540</v>
      </c>
      <c r="U16" s="283">
        <v>566</v>
      </c>
      <c r="V16" s="283">
        <v>444</v>
      </c>
      <c r="W16" s="283">
        <v>466</v>
      </c>
      <c r="X16" s="63">
        <v>510</v>
      </c>
      <c r="Y16" s="63">
        <v>496.8</v>
      </c>
      <c r="Z16" s="15">
        <v>509.2</v>
      </c>
      <c r="AA16" s="61">
        <v>469</v>
      </c>
      <c r="AB16" s="323">
        <v>402.5</v>
      </c>
      <c r="AC16" s="15">
        <v>329.3</v>
      </c>
      <c r="AD16" s="15">
        <v>341.2</v>
      </c>
      <c r="AE16" s="15">
        <v>356.4</v>
      </c>
      <c r="AF16" s="15">
        <v>277.39999999999998</v>
      </c>
      <c r="AG16" s="15">
        <v>319.3</v>
      </c>
      <c r="AH16" s="15">
        <v>333.9</v>
      </c>
      <c r="AI16" s="656">
        <f t="shared" si="20"/>
        <v>12268.099999999999</v>
      </c>
      <c r="AJ16" s="118">
        <v>100</v>
      </c>
      <c r="AK16" s="121">
        <f t="shared" si="17"/>
        <v>1.005787037037037E-2</v>
      </c>
      <c r="AL16" s="67">
        <f t="shared" si="13"/>
        <v>0.193</v>
      </c>
      <c r="AM16" s="68">
        <f t="shared" si="12"/>
        <v>0.20666666666666667</v>
      </c>
      <c r="AN16" s="68">
        <f t="shared" si="12"/>
        <v>0.18104166666666666</v>
      </c>
      <c r="AO16" s="68">
        <f t="shared" si="12"/>
        <v>0.16566666666666668</v>
      </c>
      <c r="AP16" s="68">
        <f t="shared" si="12"/>
        <v>0.20758333333333334</v>
      </c>
      <c r="AQ16" s="68">
        <f t="shared" si="12"/>
        <v>0.16924999999999998</v>
      </c>
      <c r="AR16" s="68">
        <f t="shared" si="12"/>
        <v>0.13558333333333333</v>
      </c>
      <c r="AS16" s="68">
        <f t="shared" si="14"/>
        <v>0.15716666666666665</v>
      </c>
      <c r="AT16" s="68">
        <f t="shared" si="14"/>
        <v>0.13500000000000001</v>
      </c>
      <c r="AU16" s="68">
        <f>IF(OR(M16="",M16="Sem monitoramento"),"VAZIO",IFERROR(M16/($AJ16*24),"-"))</f>
        <v>0.18141666666666667</v>
      </c>
      <c r="AV16" s="68">
        <f t="shared" si="15"/>
        <v>0.22541666666666665</v>
      </c>
      <c r="AW16" s="68">
        <f t="shared" si="15"/>
        <v>6.458333333333334E-2</v>
      </c>
      <c r="AX16" s="68">
        <f t="shared" si="15"/>
        <v>0.10208333333333333</v>
      </c>
      <c r="AY16" s="68">
        <f t="shared" si="3"/>
        <v>0.10566666666666666</v>
      </c>
      <c r="AZ16" s="68">
        <f t="shared" si="3"/>
        <v>7.825E-2</v>
      </c>
      <c r="BA16" s="68">
        <f t="shared" si="3"/>
        <v>0.15291666666666667</v>
      </c>
      <c r="BB16" s="68">
        <f>IF(OR(T14="",T14="Sem monitoramento"),"VAZIO",IFERROR(T14/($AJ16*24),"-"))</f>
        <v>0.22583333333333333</v>
      </c>
      <c r="BC16" s="68">
        <f t="shared" si="3"/>
        <v>0.23583333333333334</v>
      </c>
      <c r="BD16" s="68">
        <f t="shared" si="3"/>
        <v>0.185</v>
      </c>
      <c r="BE16" s="68">
        <f t="shared" si="3"/>
        <v>0.19416666666666665</v>
      </c>
      <c r="BF16" s="68">
        <f>IF(OR(X16="",X16="Sem monitoramento"),"VAZIO",IFERROR(X16/($AJ16*24),"-"))</f>
        <v>0.21249999999999999</v>
      </c>
      <c r="BG16" s="68" t="e">
        <f>IF(OR(#REF!="",#REF!="Sem monitoramento"),"VAZIO",IFERROR(#REF!/($AJ16*24),"-"))</f>
        <v>#REF!</v>
      </c>
      <c r="BH16" s="68" t="e">
        <f>IF(OR(#REF!="",#REF!="Sem monitoramento"),"VAZIO",IFERROR(#REF!/($AJ16*24),"-"))</f>
        <v>#REF!</v>
      </c>
      <c r="BI16" s="68">
        <f t="shared" si="3"/>
        <v>0.19541666666666666</v>
      </c>
      <c r="BJ16" s="68">
        <f t="shared" si="3"/>
        <v>0.16770833333333332</v>
      </c>
      <c r="BK16" s="68">
        <f t="shared" si="16"/>
        <v>0.13720833333333335</v>
      </c>
      <c r="BL16" s="68">
        <f t="shared" si="4"/>
        <v>0.14216666666666666</v>
      </c>
      <c r="BM16" s="68">
        <f t="shared" si="4"/>
        <v>0.14849999999999999</v>
      </c>
      <c r="BN16" s="68">
        <f t="shared" si="4"/>
        <v>0.11558333333333333</v>
      </c>
      <c r="BO16" s="68">
        <f t="shared" si="4"/>
        <v>0.13304166666666667</v>
      </c>
      <c r="BP16" s="70">
        <f t="shared" si="5"/>
        <v>0.17039027777777777</v>
      </c>
      <c r="BQ16" s="180">
        <f>'FCs estimados em PVsyst'!Y14</f>
        <v>0.16425000000000001</v>
      </c>
      <c r="BR16" s="72">
        <f t="shared" si="18"/>
        <v>16.425000000000001</v>
      </c>
      <c r="BS16" s="73">
        <f t="shared" si="19"/>
        <v>1.6791666666666649E-2</v>
      </c>
      <c r="BT16" s="74">
        <f t="shared" si="8"/>
        <v>6.1402777777777584E-3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468.6</v>
      </c>
      <c r="E17" s="63">
        <v>549.4</v>
      </c>
      <c r="F17" s="308">
        <v>441.3</v>
      </c>
      <c r="G17" s="283">
        <v>422.9</v>
      </c>
      <c r="H17" s="283">
        <v>480.5</v>
      </c>
      <c r="I17" s="82">
        <v>511.8</v>
      </c>
      <c r="J17" s="82">
        <v>395.6</v>
      </c>
      <c r="K17" s="63">
        <v>503.4</v>
      </c>
      <c r="L17" s="63">
        <v>414.6</v>
      </c>
      <c r="M17" s="63">
        <v>525.70000000000005</v>
      </c>
      <c r="N17" s="480">
        <v>490.3</v>
      </c>
      <c r="O17" s="283">
        <v>204</v>
      </c>
      <c r="P17" s="283">
        <v>266</v>
      </c>
      <c r="Q17" s="283">
        <v>195.3</v>
      </c>
      <c r="R17" s="63">
        <v>258.7</v>
      </c>
      <c r="S17" s="283">
        <v>465</v>
      </c>
      <c r="T17" s="63">
        <v>530</v>
      </c>
      <c r="U17" s="63">
        <v>492</v>
      </c>
      <c r="V17" s="63">
        <v>526</v>
      </c>
      <c r="W17" s="283">
        <v>572</v>
      </c>
      <c r="X17" s="282">
        <v>387</v>
      </c>
      <c r="Y17" s="519">
        <v>438.6</v>
      </c>
      <c r="Z17" s="15">
        <v>474.5</v>
      </c>
      <c r="AA17" s="18">
        <v>482.3</v>
      </c>
      <c r="AB17" s="20">
        <v>513.70000000000005</v>
      </c>
      <c r="AC17" s="221">
        <v>361.1</v>
      </c>
      <c r="AD17" s="221">
        <v>374.7</v>
      </c>
      <c r="AE17" s="15">
        <v>465.6</v>
      </c>
      <c r="AF17" s="15">
        <v>276.3</v>
      </c>
      <c r="AG17" s="15">
        <v>338.3</v>
      </c>
      <c r="AH17" s="15">
        <v>432.6</v>
      </c>
      <c r="AI17" s="656">
        <f t="shared" si="20"/>
        <v>13257.800000000001</v>
      </c>
      <c r="AJ17" s="118">
        <v>100</v>
      </c>
      <c r="AK17" s="122">
        <f t="shared" si="17"/>
        <v>1.0215277777777778E-2</v>
      </c>
      <c r="AL17" s="67">
        <f t="shared" si="13"/>
        <v>0.19525000000000001</v>
      </c>
      <c r="AM17" s="68">
        <f t="shared" si="12"/>
        <v>0.22891666666666666</v>
      </c>
      <c r="AN17" s="68">
        <f t="shared" si="12"/>
        <v>0.18387500000000001</v>
      </c>
      <c r="AO17" s="68">
        <f t="shared" si="12"/>
        <v>0.17620833333333333</v>
      </c>
      <c r="AP17" s="68">
        <f t="shared" si="12"/>
        <v>0.20020833333333332</v>
      </c>
      <c r="AQ17" s="68">
        <f t="shared" si="12"/>
        <v>0.21325</v>
      </c>
      <c r="AR17" s="68">
        <f t="shared" si="12"/>
        <v>0.16483333333333333</v>
      </c>
      <c r="AS17" s="68" t="e">
        <f>IF(OR(#REF!="",#REF!="Sem monitoramento"),"VAZIO",IFERROR(#REF!/($AJ17*24),"-"))</f>
        <v>#REF!</v>
      </c>
      <c r="AT17" s="68">
        <f>IF(OR(L17="",L17="Sem monitoramento"),"VAZIO",IFERROR(L17/($AJ17*24),"-"))</f>
        <v>0.17275000000000001</v>
      </c>
      <c r="AU17" s="68">
        <f>IF(OR(M17="",M17="Sem monitoramento"),"VAZIO",IFERROR(M17/($AJ17*24),"-"))</f>
        <v>0.21904166666666669</v>
      </c>
      <c r="AV17" s="68">
        <f>IF(OR(N18="",N18="Sem monitoramento"),"VAZIO",IFERROR(N18/($AJ17*24),"-"))</f>
        <v>0.21604166666666666</v>
      </c>
      <c r="AW17" s="68">
        <f t="shared" ref="AW17:AX20" si="21">IF(OR(O17="",O17="Sem monitoramento"),"VAZIO",IFERROR(O17/($AJ17*24),"-"))</f>
        <v>8.5000000000000006E-2</v>
      </c>
      <c r="AX17" s="68">
        <f t="shared" si="21"/>
        <v>0.11083333333333334</v>
      </c>
      <c r="AY17" s="68">
        <f t="shared" si="3"/>
        <v>8.1375000000000003E-2</v>
      </c>
      <c r="AZ17" s="68">
        <f t="shared" si="3"/>
        <v>0.10779166666666666</v>
      </c>
      <c r="BA17" s="68">
        <f t="shared" si="3"/>
        <v>0.19375000000000001</v>
      </c>
      <c r="BB17" s="68">
        <f t="shared" si="3"/>
        <v>0.22083333333333333</v>
      </c>
      <c r="BC17" s="68">
        <f t="shared" si="3"/>
        <v>0.20499999999999999</v>
      </c>
      <c r="BD17" s="68">
        <f t="shared" si="3"/>
        <v>0.21916666666666668</v>
      </c>
      <c r="BE17" s="68">
        <f t="shared" si="3"/>
        <v>0.23833333333333334</v>
      </c>
      <c r="BF17" s="68">
        <f>IF(OR(X17="",X17="Sem monitoramento"),"VAZIO",IFERROR(X17/($AJ17*24),"-"))</f>
        <v>0.16125</v>
      </c>
      <c r="BG17" s="68" t="e">
        <f>IF(OR(#REF!="",#REF!="Sem monitoramento"),"VAZIO",IFERROR(#REF!/($AJ17*24),"-"))</f>
        <v>#REF!</v>
      </c>
      <c r="BH17" s="68">
        <f t="shared" ref="BH17:BJ31" si="22">IF(OR(Z17="",Z17="Sem monitoramento"),"VAZIO",IFERROR(Z17/($AJ17*24),"-"))</f>
        <v>0.19770833333333335</v>
      </c>
      <c r="BI17" s="68">
        <f t="shared" si="22"/>
        <v>0.20095833333333335</v>
      </c>
      <c r="BJ17" s="68" t="e">
        <f>IF(OR(#REF!="",#REF!="Sem monitoramento"),"VAZIO",IFERROR(#REF!/($AJ17*24),"-"))</f>
        <v>#REF!</v>
      </c>
      <c r="BK17" s="68">
        <f t="shared" si="16"/>
        <v>0.15045833333333333</v>
      </c>
      <c r="BL17" s="68">
        <f t="shared" si="4"/>
        <v>0.15612499999999999</v>
      </c>
      <c r="BM17" s="68">
        <f t="shared" si="4"/>
        <v>0.19400000000000001</v>
      </c>
      <c r="BN17" s="68">
        <f t="shared" si="4"/>
        <v>0.11512500000000001</v>
      </c>
      <c r="BO17" s="68">
        <f t="shared" si="4"/>
        <v>0.14095833333333332</v>
      </c>
      <c r="BP17" s="70">
        <f t="shared" si="5"/>
        <v>0.18413611111111114</v>
      </c>
      <c r="BQ17" s="198">
        <f>$BQ$19</f>
        <v>0.168125</v>
      </c>
      <c r="BR17" s="90">
        <f t="shared" si="18"/>
        <v>16.8125</v>
      </c>
      <c r="BS17" s="73">
        <f t="shared" si="19"/>
        <v>1.5750000000000014E-2</v>
      </c>
      <c r="BT17" s="74">
        <f t="shared" si="8"/>
        <v>1.6011111111111143E-2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490.9</v>
      </c>
      <c r="E18" s="63">
        <v>560.70000000000005</v>
      </c>
      <c r="F18" s="308">
        <v>455.2</v>
      </c>
      <c r="G18" s="283">
        <v>432.7</v>
      </c>
      <c r="H18" s="63">
        <v>499</v>
      </c>
      <c r="I18" s="63">
        <v>528.29999999999995</v>
      </c>
      <c r="J18" s="63">
        <v>408.3</v>
      </c>
      <c r="K18" s="63">
        <v>531.70000000000005</v>
      </c>
      <c r="L18" s="63">
        <v>430</v>
      </c>
      <c r="M18" s="316">
        <v>553</v>
      </c>
      <c r="N18" s="283">
        <v>518.5</v>
      </c>
      <c r="O18" s="283">
        <v>215</v>
      </c>
      <c r="P18" s="63">
        <v>281</v>
      </c>
      <c r="Q18" s="519">
        <v>205.6</v>
      </c>
      <c r="R18" s="63">
        <v>276</v>
      </c>
      <c r="S18" s="283">
        <v>493</v>
      </c>
      <c r="T18" s="63">
        <v>564</v>
      </c>
      <c r="U18" s="283">
        <v>529</v>
      </c>
      <c r="V18" s="283">
        <v>543</v>
      </c>
      <c r="W18" s="283">
        <v>598</v>
      </c>
      <c r="X18" s="282">
        <v>398</v>
      </c>
      <c r="Y18" s="283">
        <v>447.3</v>
      </c>
      <c r="Z18" s="221">
        <v>480.2</v>
      </c>
      <c r="AA18" s="18">
        <v>501.2</v>
      </c>
      <c r="AB18" s="628">
        <v>550.20000000000005</v>
      </c>
      <c r="AC18" s="221">
        <v>375.8</v>
      </c>
      <c r="AD18" s="221">
        <v>400.6</v>
      </c>
      <c r="AE18" s="15">
        <v>488.2</v>
      </c>
      <c r="AF18" s="15">
        <v>290.10000000000002</v>
      </c>
      <c r="AG18" s="15">
        <v>361.3</v>
      </c>
      <c r="AH18" s="15">
        <v>444.6</v>
      </c>
      <c r="AI18" s="656">
        <f t="shared" si="20"/>
        <v>13850.400000000003</v>
      </c>
      <c r="AJ18" s="118">
        <v>100</v>
      </c>
      <c r="AK18" s="122">
        <f t="shared" si="17"/>
        <v>1.0537037037037037E-2</v>
      </c>
      <c r="AL18" s="67">
        <f t="shared" si="13"/>
        <v>0.20454166666666665</v>
      </c>
      <c r="AM18" s="68">
        <f t="shared" si="12"/>
        <v>0.23362500000000003</v>
      </c>
      <c r="AN18" s="68">
        <f t="shared" si="12"/>
        <v>0.18966666666666665</v>
      </c>
      <c r="AO18" s="68">
        <f t="shared" si="12"/>
        <v>0.18029166666666666</v>
      </c>
      <c r="AP18" s="68">
        <f t="shared" si="12"/>
        <v>0.20791666666666667</v>
      </c>
      <c r="AQ18" s="68">
        <f t="shared" si="12"/>
        <v>0.22012499999999999</v>
      </c>
      <c r="AR18" s="68">
        <f t="shared" si="12"/>
        <v>0.170125</v>
      </c>
      <c r="AS18" s="68">
        <f>IF(OR(K18="",K18="Sem monitoramento"),"VAZIO",IFERROR(K18/($AJ18*24),"-"))</f>
        <v>0.22154166666666669</v>
      </c>
      <c r="AT18" s="68">
        <f>IF(OR(L18="",L18="Sem monitoramento"),"VAZIO",IFERROR(L18/($AJ18*24),"-"))</f>
        <v>0.17916666666666667</v>
      </c>
      <c r="AU18" s="68">
        <f>IF(OR(M19="",M19="Sem monitoramento"),"VAZIO",IFERROR(M19/($AJ18*24),"-"))</f>
        <v>0.19474999999999998</v>
      </c>
      <c r="AV18" s="68" t="e">
        <f>IF(OR(#REF!="",#REF!="Sem monitoramento"),"VAZIO",IFERROR(#REF!/($AJ18*24),"-"))</f>
        <v>#REF!</v>
      </c>
      <c r="AW18" s="68">
        <f t="shared" si="21"/>
        <v>8.9583333333333334E-2</v>
      </c>
      <c r="AX18" s="68">
        <f t="shared" si="21"/>
        <v>0.11708333333333333</v>
      </c>
      <c r="AY18" s="68">
        <f>IF(OR(Q19="",Q19="Sem monitoramento"),"VAZIO",IFERROR(Q19/($AJ18*24),"-"))</f>
        <v>7.5416666666666674E-2</v>
      </c>
      <c r="AZ18" s="68" t="e">
        <f>IF(OR(#REF!="",#REF!="Sem monitoramento"),"VAZIO",IFERROR(#REF!/($AJ18*24),"-"))</f>
        <v>#REF!</v>
      </c>
      <c r="BA18" s="68">
        <f>IF(OR(S18="",S18="Sem monitoramento"),"VAZIO",IFERROR(S18/($AJ18*24),"-"))</f>
        <v>0.20541666666666666</v>
      </c>
      <c r="BB18" s="68">
        <f t="shared" si="3"/>
        <v>0.23499999999999999</v>
      </c>
      <c r="BC18" s="68">
        <f t="shared" si="3"/>
        <v>0.22041666666666668</v>
      </c>
      <c r="BD18" s="68">
        <f t="shared" si="3"/>
        <v>0.22625000000000001</v>
      </c>
      <c r="BE18" s="68">
        <f t="shared" si="3"/>
        <v>0.24916666666666668</v>
      </c>
      <c r="BF18" s="68">
        <f>IF(OR(X18="",X18="Sem monitoramento"),"VAZIO",IFERROR(X18/($AJ18*24),"-"))</f>
        <v>0.16583333333333333</v>
      </c>
      <c r="BG18" s="68">
        <f>IF(OR(Y18="",Y18="Sem monitoramento"),"VAZIO",IFERROR(Y18/($AJ18*24),"-"))</f>
        <v>0.18637500000000001</v>
      </c>
      <c r="BH18" s="68">
        <f t="shared" si="22"/>
        <v>0.20008333333333334</v>
      </c>
      <c r="BI18" s="68">
        <f t="shared" si="22"/>
        <v>0.20883333333333332</v>
      </c>
      <c r="BJ18" s="68">
        <f>IF(OR(AB17="",AB17="Sem monitoramento"),"VAZIO",IFERROR(AB17/($AJ18*24),"-"))</f>
        <v>0.21404166666666669</v>
      </c>
      <c r="BK18" s="68">
        <f t="shared" si="16"/>
        <v>0.15658333333333332</v>
      </c>
      <c r="BL18" s="68">
        <f t="shared" si="4"/>
        <v>0.16691666666666669</v>
      </c>
      <c r="BM18" s="68">
        <f t="shared" si="4"/>
        <v>0.20341666666666666</v>
      </c>
      <c r="BN18" s="68">
        <f t="shared" si="4"/>
        <v>0.12087500000000001</v>
      </c>
      <c r="BO18" s="68">
        <f t="shared" si="4"/>
        <v>0.15054166666666668</v>
      </c>
      <c r="BP18" s="70">
        <f t="shared" si="5"/>
        <v>0.19236666666666671</v>
      </c>
      <c r="BQ18" s="198">
        <f>$BQ$19</f>
        <v>0.168125</v>
      </c>
      <c r="BR18" s="90">
        <f t="shared" si="18"/>
        <v>16.8125</v>
      </c>
      <c r="BS18" s="73">
        <f t="shared" si="19"/>
        <v>2.1541666666666653E-2</v>
      </c>
      <c r="BT18" s="74">
        <f t="shared" si="8"/>
        <v>2.4241666666666717E-2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426.3</v>
      </c>
      <c r="E19" s="63">
        <v>456.5</v>
      </c>
      <c r="F19" s="63">
        <v>361.4</v>
      </c>
      <c r="G19" s="283">
        <v>348.6</v>
      </c>
      <c r="H19" s="283">
        <v>386.6</v>
      </c>
      <c r="I19" s="63">
        <v>420.6</v>
      </c>
      <c r="J19" s="283">
        <v>327.2</v>
      </c>
      <c r="K19" s="63">
        <v>435</v>
      </c>
      <c r="L19" s="63">
        <v>366</v>
      </c>
      <c r="M19" s="283">
        <v>467.4</v>
      </c>
      <c r="N19" s="283">
        <v>392.3</v>
      </c>
      <c r="O19" s="283">
        <v>186</v>
      </c>
      <c r="P19" s="283">
        <v>227</v>
      </c>
      <c r="Q19" s="283">
        <v>181</v>
      </c>
      <c r="R19" s="63">
        <v>223.9</v>
      </c>
      <c r="S19" s="63">
        <v>361</v>
      </c>
      <c r="T19" s="63">
        <v>448</v>
      </c>
      <c r="U19" s="63">
        <v>405</v>
      </c>
      <c r="V19" s="283">
        <v>451</v>
      </c>
      <c r="W19" s="283">
        <v>482</v>
      </c>
      <c r="X19" s="316">
        <v>403</v>
      </c>
      <c r="Y19" s="282">
        <v>349.2</v>
      </c>
      <c r="Z19" s="63">
        <v>408.2</v>
      </c>
      <c r="AA19" s="18">
        <v>414.1</v>
      </c>
      <c r="AB19" s="323">
        <v>438.1</v>
      </c>
      <c r="AC19" s="15">
        <v>307.2</v>
      </c>
      <c r="AD19" s="283">
        <v>316.2</v>
      </c>
      <c r="AE19" s="221">
        <v>385.8</v>
      </c>
      <c r="AF19" s="15">
        <v>222.7</v>
      </c>
      <c r="AG19" s="15">
        <v>277.2</v>
      </c>
      <c r="AH19" s="15">
        <v>385.5</v>
      </c>
      <c r="AI19" s="656">
        <f t="shared" si="20"/>
        <v>11260.000000000002</v>
      </c>
      <c r="AJ19" s="118">
        <v>80</v>
      </c>
      <c r="AK19" s="121">
        <f t="shared" si="17"/>
        <v>1.0457175925925925E-2</v>
      </c>
      <c r="AL19" s="67">
        <f t="shared" si="13"/>
        <v>0.22203125000000001</v>
      </c>
      <c r="AM19" s="68">
        <f t="shared" si="12"/>
        <v>0.23776041666666667</v>
      </c>
      <c r="AN19" s="68">
        <f t="shared" si="12"/>
        <v>0.18822916666666664</v>
      </c>
      <c r="AO19" s="68">
        <f t="shared" si="12"/>
        <v>0.18156250000000002</v>
      </c>
      <c r="AP19" s="68">
        <f t="shared" si="12"/>
        <v>0.20135416666666667</v>
      </c>
      <c r="AQ19" s="68">
        <f t="shared" si="12"/>
        <v>0.21906250000000002</v>
      </c>
      <c r="AR19" s="68">
        <f t="shared" si="12"/>
        <v>0.17041666666666666</v>
      </c>
      <c r="AS19" s="68">
        <f>IF(OR(K19="",K19="Sem monitoramento"),"VAZIO",IFERROR(K19/($AJ19*24),"-"))</f>
        <v>0.2265625</v>
      </c>
      <c r="AT19" s="68">
        <f>IF(OR(L21="",L21="Sem monitoramento"),"VAZIO",IFERROR(L21/($AJ19*24),"-"))</f>
        <v>0.18515624999999999</v>
      </c>
      <c r="AU19" s="68" t="e">
        <f>IF(OR(#REF!="",#REF!="Sem monitoramento"),"VAZIO",IFERROR(#REF!/($AJ19*24),"-"))</f>
        <v>#REF!</v>
      </c>
      <c r="AV19" s="68">
        <f>IF(OR(N19="",N19="Sem monitoramento"),"VAZIO",IFERROR(N19/($AJ19*24),"-"))</f>
        <v>0.20432291666666666</v>
      </c>
      <c r="AW19" s="68">
        <f t="shared" si="21"/>
        <v>9.6875000000000003E-2</v>
      </c>
      <c r="AX19" s="68">
        <f t="shared" si="21"/>
        <v>0.11822916666666666</v>
      </c>
      <c r="AY19" s="68" t="e">
        <f>IF(OR(#REF!="",#REF!="Sem monitoramento"),"VAZIO",IFERROR(#REF!/($AJ19*24),"-"))</f>
        <v>#REF!</v>
      </c>
      <c r="AZ19" s="68">
        <f>IF(OR(R19="",R19="Sem monitoramento"),"VAZIO",IFERROR(R19/($AJ19*24),"-"))</f>
        <v>0.11661458333333334</v>
      </c>
      <c r="BA19" s="68">
        <f>IF(OR(S19="",S19="Sem monitoramento"),"VAZIO",IFERROR(S19/($AJ19*24),"-"))</f>
        <v>0.18802083333333333</v>
      </c>
      <c r="BB19" s="68">
        <f t="shared" si="3"/>
        <v>0.23333333333333334</v>
      </c>
      <c r="BC19" s="68">
        <f t="shared" si="3"/>
        <v>0.2109375</v>
      </c>
      <c r="BD19" s="68" t="e">
        <f>IF(OR(#REF!="",#REF!="Sem monitoramento"),"VAZIO",IFERROR(#REF!/($AJ19*24),"-"))</f>
        <v>#REF!</v>
      </c>
      <c r="BE19" s="68">
        <f t="shared" si="3"/>
        <v>0.25104166666666666</v>
      </c>
      <c r="BF19" s="68">
        <f>IF(OR(X21="",X21="Sem monitoramento"),"VAZIO",IFERROR(X21/($AJ19*24),"-"))</f>
        <v>0.21562500000000001</v>
      </c>
      <c r="BG19" s="68" t="e">
        <f>IF(OR(#REF!="",#REF!="Sem monitoramento"),"VAZIO",IFERROR(#REF!/($AJ19*24),"-"))</f>
        <v>#REF!</v>
      </c>
      <c r="BH19" s="68">
        <f t="shared" si="22"/>
        <v>0.21260416666666665</v>
      </c>
      <c r="BI19" s="68">
        <f t="shared" si="22"/>
        <v>0.21567708333333335</v>
      </c>
      <c r="BJ19" s="68">
        <f>IF(OR(AB19="",AB19="Sem monitoramento"),"VAZIO",IFERROR(AB19/($AJ19*24),"-"))</f>
        <v>0.22817708333333334</v>
      </c>
      <c r="BK19" s="68">
        <f t="shared" si="16"/>
        <v>0.16</v>
      </c>
      <c r="BL19" s="68">
        <f t="shared" si="4"/>
        <v>0.16468749999999999</v>
      </c>
      <c r="BM19" s="68">
        <f t="shared" si="4"/>
        <v>0.20093750000000002</v>
      </c>
      <c r="BN19" s="68">
        <f t="shared" si="4"/>
        <v>0.11598958333333333</v>
      </c>
      <c r="BO19" s="68">
        <f t="shared" si="4"/>
        <v>0.144375</v>
      </c>
      <c r="BP19" s="70">
        <f t="shared" si="5"/>
        <v>0.19548611111111114</v>
      </c>
      <c r="BQ19" s="180">
        <f>'FCs estimados em PVsyst'!Y17</f>
        <v>0.168125</v>
      </c>
      <c r="BR19" s="72">
        <f t="shared" si="18"/>
        <v>13.45</v>
      </c>
      <c r="BS19" s="73">
        <f t="shared" si="19"/>
        <v>2.0104166666666645E-2</v>
      </c>
      <c r="BT19" s="74">
        <f t="shared" si="8"/>
        <v>2.7361111111111142E-2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223">
        <v>486</v>
      </c>
      <c r="E20" s="63">
        <v>543</v>
      </c>
      <c r="F20" s="63">
        <v>433.7</v>
      </c>
      <c r="G20" s="63">
        <v>419.6</v>
      </c>
      <c r="H20" s="283">
        <v>452.5</v>
      </c>
      <c r="I20" s="63">
        <v>507.1</v>
      </c>
      <c r="J20" s="283">
        <v>415</v>
      </c>
      <c r="K20" s="316">
        <v>509.9</v>
      </c>
      <c r="L20" s="63">
        <v>426.7</v>
      </c>
      <c r="M20" s="63">
        <v>566.5</v>
      </c>
      <c r="N20" s="519">
        <v>441.5</v>
      </c>
      <c r="O20" s="283">
        <v>239</v>
      </c>
      <c r="P20" s="283">
        <v>281</v>
      </c>
      <c r="Q20" s="283">
        <v>225.1</v>
      </c>
      <c r="R20" s="316">
        <v>274</v>
      </c>
      <c r="S20" s="63">
        <v>432</v>
      </c>
      <c r="T20" s="63">
        <v>509</v>
      </c>
      <c r="U20" s="63">
        <v>503</v>
      </c>
      <c r="V20" s="519">
        <v>539</v>
      </c>
      <c r="W20" s="283">
        <v>593</v>
      </c>
      <c r="X20" s="283">
        <v>509</v>
      </c>
      <c r="Y20" s="282">
        <v>438.9</v>
      </c>
      <c r="Z20" s="316">
        <v>510.7</v>
      </c>
      <c r="AA20" s="18">
        <v>508.3</v>
      </c>
      <c r="AB20" s="323">
        <v>491</v>
      </c>
      <c r="AC20" s="283">
        <v>400.8</v>
      </c>
      <c r="AD20" s="283">
        <v>378.7</v>
      </c>
      <c r="AE20" s="283">
        <v>452.1</v>
      </c>
      <c r="AF20" s="283">
        <v>278.60000000000002</v>
      </c>
      <c r="AG20" s="283">
        <v>335.2</v>
      </c>
      <c r="AH20" s="283">
        <v>454</v>
      </c>
      <c r="AI20" s="656">
        <f t="shared" si="20"/>
        <v>13553.900000000001</v>
      </c>
      <c r="AJ20" s="118">
        <v>100</v>
      </c>
      <c r="AK20" s="121">
        <f t="shared" si="17"/>
        <v>1.0039351851851851E-2</v>
      </c>
      <c r="AL20" s="67">
        <f t="shared" si="13"/>
        <v>0.20250000000000001</v>
      </c>
      <c r="AM20" s="68">
        <f t="shared" si="12"/>
        <v>0.22625000000000001</v>
      </c>
      <c r="AN20" s="68">
        <f t="shared" si="12"/>
        <v>0.18070833333333333</v>
      </c>
      <c r="AO20" s="68">
        <f t="shared" si="12"/>
        <v>0.17483333333333334</v>
      </c>
      <c r="AP20" s="68">
        <f t="shared" si="12"/>
        <v>0.18854166666666666</v>
      </c>
      <c r="AQ20" s="68">
        <f t="shared" si="12"/>
        <v>0.21129166666666668</v>
      </c>
      <c r="AR20" s="68">
        <f t="shared" si="12"/>
        <v>0.17291666666666666</v>
      </c>
      <c r="AS20" s="68">
        <f>IF(OR(K17="",K17="Sem monitoramento"),"VAZIO",IFERROR(K17/($AJ20*24),"-"))</f>
        <v>0.20974999999999999</v>
      </c>
      <c r="AT20" s="68">
        <f>IF(OR(L20="",L20="Sem monitoramento"),"VAZIO",IFERROR(L20/($AJ20*24),"-"))</f>
        <v>0.17779166666666665</v>
      </c>
      <c r="AU20" s="68">
        <f>IF(OR(M20="",M20="Sem monitoramento"),"VAZIO",IFERROR(M20/($AJ20*24),"-"))</f>
        <v>0.23604166666666668</v>
      </c>
      <c r="AV20" s="68">
        <f>IF(OR(N21="",N21="Sem monitoramento"),"VAZIO",IFERROR(N21/($AJ20*24),"-"))</f>
        <v>0.15254166666666669</v>
      </c>
      <c r="AW20" s="68">
        <f t="shared" si="21"/>
        <v>9.9583333333333329E-2</v>
      </c>
      <c r="AX20" s="68">
        <f t="shared" si="21"/>
        <v>0.11708333333333333</v>
      </c>
      <c r="AY20" s="68">
        <f>IF(OR(Q20="",Q20="Sem monitoramento"),"VAZIO",IFERROR(Q20/($AJ20*24),"-"))</f>
        <v>9.3791666666666662E-2</v>
      </c>
      <c r="AZ20" s="68">
        <f>IF(OR(R18="",R18="Sem monitoramento"),"VAZIO",IFERROR(R18/($AJ20*24),"-"))</f>
        <v>0.115</v>
      </c>
      <c r="BA20" s="68">
        <f>IF(OR(S21="",S21="Sem monitoramento"),"VAZIO",IFERROR(S21/($AJ20*24),"-"))</f>
        <v>0.14291666666666666</v>
      </c>
      <c r="BB20" s="68">
        <f t="shared" si="3"/>
        <v>0.21208333333333335</v>
      </c>
      <c r="BC20" s="68">
        <f t="shared" si="3"/>
        <v>0.20958333333333334</v>
      </c>
      <c r="BD20" s="68">
        <f>IF(OR(V19="",V19="Sem monitoramento"),"VAZIO",IFERROR(V19/($AJ20*24),"-"))</f>
        <v>0.18791666666666668</v>
      </c>
      <c r="BE20" s="68">
        <f t="shared" si="3"/>
        <v>0.24708333333333332</v>
      </c>
      <c r="BF20" s="68">
        <f>IF(OR(X22="",X22="Sem monitoramento"),"VAZIO",IFERROR(X22/($AJ20*24),"-"))</f>
        <v>0.23125000000000001</v>
      </c>
      <c r="BG20" s="68">
        <f>IF(OR(Y18="",Y18="Sem monitoramento"),"VAZIO",IFERROR(Y18/($AJ20*24),"-"))</f>
        <v>0.18637500000000001</v>
      </c>
      <c r="BH20" s="68">
        <f t="shared" si="22"/>
        <v>0.21279166666666666</v>
      </c>
      <c r="BI20" s="68">
        <f t="shared" si="22"/>
        <v>0.21179166666666668</v>
      </c>
      <c r="BJ20" s="68">
        <f>IF(OR(AB20="",AB20="Sem monitoramento"),"VAZIO",IFERROR(AB20/($AJ20*24),"-"))</f>
        <v>0.20458333333333334</v>
      </c>
      <c r="BK20" s="68">
        <f t="shared" si="16"/>
        <v>0.16700000000000001</v>
      </c>
      <c r="BL20" s="68">
        <f>IF(OR(AD21="",AD21="Sem monitoramento"),"VAZIO",IFERROR(AD21/($AJ20*24),"-"))</f>
        <v>0.12429166666666668</v>
      </c>
      <c r="BM20" s="68">
        <f t="shared" si="4"/>
        <v>0.18837500000000001</v>
      </c>
      <c r="BN20" s="68">
        <f t="shared" si="4"/>
        <v>0.11608333333333334</v>
      </c>
      <c r="BO20" s="68">
        <f t="shared" si="4"/>
        <v>0.13966666666666666</v>
      </c>
      <c r="BP20" s="70">
        <f t="shared" si="5"/>
        <v>0.18824861111111113</v>
      </c>
      <c r="BQ20" s="198">
        <f t="shared" ref="BQ20:BQ30" si="23">$BQ$19</f>
        <v>0.168125</v>
      </c>
      <c r="BR20" s="72">
        <f t="shared" si="18"/>
        <v>16.8125</v>
      </c>
      <c r="BS20" s="73">
        <f t="shared" si="19"/>
        <v>1.2583333333333335E-2</v>
      </c>
      <c r="BT20" s="74">
        <f t="shared" si="8"/>
        <v>2.0123611111111134E-2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223">
        <v>423.3</v>
      </c>
      <c r="E21" s="283">
        <v>465</v>
      </c>
      <c r="F21" s="283">
        <v>358.9</v>
      </c>
      <c r="G21" s="283">
        <v>356.4</v>
      </c>
      <c r="H21" s="283">
        <v>389.7</v>
      </c>
      <c r="I21" s="63">
        <v>423.8</v>
      </c>
      <c r="J21" s="283">
        <v>340.7</v>
      </c>
      <c r="K21" s="63">
        <v>427.5</v>
      </c>
      <c r="L21" s="283">
        <v>355.5</v>
      </c>
      <c r="M21" s="316">
        <v>474.5</v>
      </c>
      <c r="N21" s="283">
        <v>366.1</v>
      </c>
      <c r="O21" s="283">
        <v>188</v>
      </c>
      <c r="P21" s="63">
        <v>219</v>
      </c>
      <c r="Q21" s="283">
        <v>175</v>
      </c>
      <c r="R21" s="63">
        <v>213.2</v>
      </c>
      <c r="S21" s="63">
        <v>343</v>
      </c>
      <c r="T21" s="283">
        <v>427</v>
      </c>
      <c r="U21" s="283">
        <v>401</v>
      </c>
      <c r="V21" s="283">
        <v>446</v>
      </c>
      <c r="W21" s="283">
        <v>480</v>
      </c>
      <c r="X21" s="283">
        <v>414</v>
      </c>
      <c r="Y21" s="282">
        <v>354</v>
      </c>
      <c r="Z21" s="63">
        <v>414</v>
      </c>
      <c r="AA21" s="320">
        <v>413.9</v>
      </c>
      <c r="AB21" s="323">
        <v>410.1</v>
      </c>
      <c r="AC21" s="221">
        <v>318.10000000000002</v>
      </c>
      <c r="AD21" s="283">
        <v>298.3</v>
      </c>
      <c r="AE21" s="221">
        <v>358.1</v>
      </c>
      <c r="AF21" s="221">
        <v>214.6</v>
      </c>
      <c r="AG21" s="221">
        <v>258.10000000000002</v>
      </c>
      <c r="AH21" s="221">
        <v>371.9</v>
      </c>
      <c r="AI21" s="656">
        <f t="shared" si="20"/>
        <v>11098.699999999999</v>
      </c>
      <c r="AJ21" s="118">
        <v>100</v>
      </c>
      <c r="AK21" s="121">
        <f t="shared" si="17"/>
        <v>8.30787037037037E-3</v>
      </c>
      <c r="AL21" s="67">
        <f t="shared" si="13"/>
        <v>0.176375</v>
      </c>
      <c r="AM21" s="68">
        <f t="shared" si="12"/>
        <v>0.19375000000000001</v>
      </c>
      <c r="AN21" s="68">
        <f t="shared" si="12"/>
        <v>0.14954166666666666</v>
      </c>
      <c r="AO21" s="68">
        <f t="shared" si="12"/>
        <v>0.14849999999999999</v>
      </c>
      <c r="AP21" s="68">
        <f t="shared" si="12"/>
        <v>0.16237499999999999</v>
      </c>
      <c r="AQ21" s="68">
        <f t="shared" si="12"/>
        <v>0.17658333333333334</v>
      </c>
      <c r="AR21" s="68">
        <f t="shared" si="12"/>
        <v>0.14195833333333333</v>
      </c>
      <c r="AS21" s="68">
        <f t="shared" si="12"/>
        <v>0.17812500000000001</v>
      </c>
      <c r="AT21" s="68">
        <f t="shared" si="12"/>
        <v>0.14812500000000001</v>
      </c>
      <c r="AU21" s="68">
        <f>IF(OR(M19="",M19="Sem monitoramento"),"VAZIO",IFERROR(M19/($AJ21*24),"-"))</f>
        <v>0.19474999999999998</v>
      </c>
      <c r="AV21" s="68">
        <f>IF(OR(N22="",N22="Sem monitoramento"),"VAZIO",IFERROR(N22/($AJ21*24),"-"))</f>
        <v>0.23304166666666665</v>
      </c>
      <c r="AW21" s="68">
        <f t="shared" ref="AW21:BA31" si="24">IF(OR(O21="",O21="Sem monitoramento"),"VAZIO",IFERROR(O21/($AJ21*24),"-"))</f>
        <v>7.8333333333333338E-2</v>
      </c>
      <c r="AX21" s="68">
        <f t="shared" si="24"/>
        <v>9.1249999999999998E-2</v>
      </c>
      <c r="AY21" s="68">
        <f t="shared" si="24"/>
        <v>7.2916666666666671E-2</v>
      </c>
      <c r="AZ21" s="68">
        <f t="shared" si="24"/>
        <v>8.8833333333333334E-2</v>
      </c>
      <c r="BA21" s="68">
        <f>IF(OR(S22="",S22="Sem monitoramento"),"VAZIO",IFERROR(S22/($AJ21*24),"-"))</f>
        <v>0.19416666666666665</v>
      </c>
      <c r="BB21" s="68">
        <f t="shared" ref="BB21:BC31" si="25">IF(OR(T21="",T21="Sem monitoramento"),"VAZIO",IFERROR(T21/($AJ21*24),"-"))</f>
        <v>0.17791666666666667</v>
      </c>
      <c r="BC21" s="68">
        <f t="shared" si="25"/>
        <v>0.16708333333333333</v>
      </c>
      <c r="BD21" s="68">
        <f>IF(OR(V21="",V21="Sem monitoramento"),"VAZIO",IFERROR(V21/($AJ21*24),"-"))</f>
        <v>0.18583333333333332</v>
      </c>
      <c r="BE21" s="68">
        <f>IF(OR(W21="",W21="Sem monitoramento"),"VAZIO",IFERROR(W21/($AJ21*24),"-"))</f>
        <v>0.2</v>
      </c>
      <c r="BF21" s="68">
        <f>IF(OR(X23="",X23="Sem monitoramento"),"VAZIO",IFERROR(X23/($AJ21*24),"-"))</f>
        <v>0.21166666666666667</v>
      </c>
      <c r="BG21" s="68">
        <f t="shared" ref="BG21:BG31" si="26">IF(OR(Y21="",Y21="Sem monitoramento"),"VAZIO",IFERROR(Y21/($AJ21*24),"-"))</f>
        <v>0.14749999999999999</v>
      </c>
      <c r="BH21" s="68">
        <f t="shared" si="22"/>
        <v>0.17249999999999999</v>
      </c>
      <c r="BI21" s="68">
        <f t="shared" si="22"/>
        <v>0.17245833333333332</v>
      </c>
      <c r="BJ21" s="68">
        <f>IF(OR(AB20="",AB20="Sem monitoramento"),"VAZIO",IFERROR(AB20/($AJ21*24),"-"))</f>
        <v>0.20458333333333334</v>
      </c>
      <c r="BK21" s="68">
        <f t="shared" si="16"/>
        <v>0.13254166666666667</v>
      </c>
      <c r="BL21" s="68" t="e">
        <f>IF(OR(#REF!="",#REF!="Sem monitoramento"),"VAZIO",IFERROR(#REF!/($AJ21*24),"-"))</f>
        <v>#REF!</v>
      </c>
      <c r="BM21" s="68">
        <f t="shared" ref="BM21:BO31" si="27">IF(OR(AE21="",AE21="Sem monitoramento"),"VAZIO",IFERROR(AE21/($AJ21*24),"-"))</f>
        <v>0.14920833333333333</v>
      </c>
      <c r="BN21" s="68">
        <f t="shared" si="27"/>
        <v>8.9416666666666658E-2</v>
      </c>
      <c r="BO21" s="68">
        <f t="shared" si="27"/>
        <v>0.10754166666666667</v>
      </c>
      <c r="BP21" s="70">
        <f t="shared" si="5"/>
        <v>0.15414861111111108</v>
      </c>
      <c r="BQ21" s="198">
        <f t="shared" si="23"/>
        <v>0.168125</v>
      </c>
      <c r="BR21" s="72">
        <f t="shared" si="18"/>
        <v>16.8125</v>
      </c>
      <c r="BS21" s="73">
        <f t="shared" si="19"/>
        <v>-1.8583333333333341E-2</v>
      </c>
      <c r="BT21" s="74">
        <f t="shared" si="8"/>
        <v>-1.3976388888888913E-2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223">
        <v>477.6</v>
      </c>
      <c r="E22" s="283">
        <v>559</v>
      </c>
      <c r="F22" s="283">
        <v>415.2</v>
      </c>
      <c r="G22" s="283">
        <v>380.5</v>
      </c>
      <c r="H22" s="283">
        <v>572.1</v>
      </c>
      <c r="I22" s="283">
        <v>503</v>
      </c>
      <c r="J22" s="283">
        <v>372.7</v>
      </c>
      <c r="K22" s="63">
        <v>429</v>
      </c>
      <c r="L22" s="63">
        <v>423.3</v>
      </c>
      <c r="M22" s="63">
        <v>523.70000000000005</v>
      </c>
      <c r="N22" s="63">
        <v>559.29999999999995</v>
      </c>
      <c r="O22" s="283">
        <v>224</v>
      </c>
      <c r="P22" s="282">
        <v>69</v>
      </c>
      <c r="Q22" s="283">
        <v>359.7</v>
      </c>
      <c r="R22" s="283">
        <v>350.6</v>
      </c>
      <c r="S22" s="283">
        <v>466</v>
      </c>
      <c r="T22" s="63">
        <v>537</v>
      </c>
      <c r="U22" s="63">
        <v>543</v>
      </c>
      <c r="V22" s="63">
        <v>574</v>
      </c>
      <c r="W22" s="283">
        <v>441</v>
      </c>
      <c r="X22" s="63">
        <v>555</v>
      </c>
      <c r="Y22" s="519">
        <v>529</v>
      </c>
      <c r="Z22" s="15">
        <v>518.6</v>
      </c>
      <c r="AA22" s="18">
        <v>494.1</v>
      </c>
      <c r="AB22" s="20">
        <v>483.3</v>
      </c>
      <c r="AC22" s="15">
        <v>397</v>
      </c>
      <c r="AD22" s="221">
        <v>390.7</v>
      </c>
      <c r="AE22" s="15">
        <v>477.5</v>
      </c>
      <c r="AF22" s="15">
        <v>332.6</v>
      </c>
      <c r="AG22" s="15">
        <v>293.2</v>
      </c>
      <c r="AH22" s="15">
        <v>374.8</v>
      </c>
      <c r="AI22" s="656">
        <f t="shared" si="20"/>
        <v>13625.500000000002</v>
      </c>
      <c r="AJ22" s="118">
        <v>100</v>
      </c>
      <c r="AK22" s="121">
        <f t="shared" si="17"/>
        <v>9.6111111111111102E-3</v>
      </c>
      <c r="AL22" s="67">
        <f t="shared" si="13"/>
        <v>0.19900000000000001</v>
      </c>
      <c r="AM22" s="68">
        <f t="shared" si="12"/>
        <v>0.23291666666666666</v>
      </c>
      <c r="AN22" s="68">
        <f t="shared" si="12"/>
        <v>0.17299999999999999</v>
      </c>
      <c r="AO22" s="68">
        <f t="shared" si="12"/>
        <v>0.15854166666666666</v>
      </c>
      <c r="AP22" s="68">
        <f t="shared" si="12"/>
        <v>0.238375</v>
      </c>
      <c r="AQ22" s="68">
        <f t="shared" si="12"/>
        <v>0.20958333333333334</v>
      </c>
      <c r="AR22" s="68">
        <f t="shared" si="12"/>
        <v>0.15529166666666666</v>
      </c>
      <c r="AS22" s="68">
        <f t="shared" si="12"/>
        <v>0.17874999999999999</v>
      </c>
      <c r="AT22" s="68">
        <f t="shared" si="12"/>
        <v>0.176375</v>
      </c>
      <c r="AU22" s="68" t="e">
        <f>IF(OR(#REF!="",#REF!="Sem monitoramento"),"VAZIO",IFERROR(#REF!/($AJ22*24),"-"))</f>
        <v>#REF!</v>
      </c>
      <c r="AV22" s="68">
        <f>IF(OR(N22="",N22="Sem monitoramento"),"VAZIO",IFERROR(N22/($AJ22*24),"-"))</f>
        <v>0.23304166666666665</v>
      </c>
      <c r="AW22" s="68">
        <f t="shared" si="24"/>
        <v>9.3333333333333338E-2</v>
      </c>
      <c r="AX22" s="68">
        <f t="shared" si="24"/>
        <v>2.8750000000000001E-2</v>
      </c>
      <c r="AY22" s="68">
        <f t="shared" si="24"/>
        <v>0.14987500000000001</v>
      </c>
      <c r="AZ22" s="68">
        <f t="shared" si="24"/>
        <v>0.14608333333333334</v>
      </c>
      <c r="BA22" s="68">
        <f t="shared" si="24"/>
        <v>0.19416666666666665</v>
      </c>
      <c r="BB22" s="68">
        <f t="shared" si="25"/>
        <v>0.22375</v>
      </c>
      <c r="BC22" s="68">
        <f t="shared" si="25"/>
        <v>0.22625000000000001</v>
      </c>
      <c r="BD22" s="68">
        <f>IF(OR(V22="",V22="Sem monitoramento"),"VAZIO",IFERROR(V22/($AJ22*24),"-"))</f>
        <v>0.23916666666666667</v>
      </c>
      <c r="BE22" s="68">
        <f>IF(OR(W22="",W22="Sem monitoramento"),"VAZIO",IFERROR(W22/($AJ22*24),"-"))</f>
        <v>0.18375</v>
      </c>
      <c r="BF22" s="68">
        <f>IF(OR(X22="",X22="Sem monitoramento"),"VAZIO",IFERROR(X22/($AJ22*24),"-"))</f>
        <v>0.23125000000000001</v>
      </c>
      <c r="BG22" s="68">
        <f>IF(OR(Y19="",Y19="Sem monitoramento"),"VAZIO",IFERROR(Y19/($AJ22*24),"-"))</f>
        <v>0.14549999999999999</v>
      </c>
      <c r="BH22" s="68">
        <f t="shared" si="22"/>
        <v>0.21608333333333335</v>
      </c>
      <c r="BI22" s="68">
        <f t="shared" si="22"/>
        <v>0.205875</v>
      </c>
      <c r="BJ22" s="68">
        <f>IF(OR(AB21="",AB21="Sem monitoramento"),"VAZIO",IFERROR(AB21/($AJ22*24),"-"))</f>
        <v>0.170875</v>
      </c>
      <c r="BK22" s="68">
        <f t="shared" si="16"/>
        <v>0.16541666666666666</v>
      </c>
      <c r="BL22" s="68">
        <f t="shared" si="16"/>
        <v>0.16279166666666667</v>
      </c>
      <c r="BM22" s="68">
        <f t="shared" si="27"/>
        <v>0.19895833333333332</v>
      </c>
      <c r="BN22" s="68">
        <f t="shared" si="27"/>
        <v>0.13858333333333334</v>
      </c>
      <c r="BO22" s="68">
        <f>IF(OR(AG23="",AG23="Sem monitoramento"),"VAZIO",IFERROR(AG23/($AJ22*24),"-"))</f>
        <v>0.10733333333333334</v>
      </c>
      <c r="BP22" s="70">
        <f t="shared" si="5"/>
        <v>0.18924305555555557</v>
      </c>
      <c r="BQ22" s="198">
        <f t="shared" si="23"/>
        <v>0.168125</v>
      </c>
      <c r="BR22" s="72">
        <f t="shared" si="18"/>
        <v>16.8125</v>
      </c>
      <c r="BS22" s="73">
        <f t="shared" si="19"/>
        <v>4.8749999999999905E-3</v>
      </c>
      <c r="BT22" s="74">
        <f t="shared" si="8"/>
        <v>2.111805555555557E-2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449.2</v>
      </c>
      <c r="E23" s="63">
        <v>515.29999999999995</v>
      </c>
      <c r="F23" s="283">
        <v>385.2</v>
      </c>
      <c r="G23" s="63">
        <v>347.8</v>
      </c>
      <c r="H23" s="283">
        <v>522</v>
      </c>
      <c r="I23" s="63">
        <v>460.1</v>
      </c>
      <c r="J23" s="63">
        <v>338.6</v>
      </c>
      <c r="K23" s="63">
        <v>388</v>
      </c>
      <c r="L23" s="63">
        <v>382.2</v>
      </c>
      <c r="M23" s="316">
        <v>458.9</v>
      </c>
      <c r="N23" s="519">
        <v>512.5</v>
      </c>
      <c r="O23" s="519">
        <v>197</v>
      </c>
      <c r="P23" s="282">
        <v>60</v>
      </c>
      <c r="Q23" s="283">
        <v>315.39999999999998</v>
      </c>
      <c r="R23" s="63">
        <v>305.89999999999998</v>
      </c>
      <c r="S23" s="63">
        <v>405</v>
      </c>
      <c r="T23" s="63">
        <v>483</v>
      </c>
      <c r="U23" s="63">
        <v>488</v>
      </c>
      <c r="V23" s="63">
        <v>520</v>
      </c>
      <c r="W23" s="283">
        <v>409</v>
      </c>
      <c r="X23" s="63">
        <v>508</v>
      </c>
      <c r="Y23" s="63">
        <v>482</v>
      </c>
      <c r="Z23" s="15">
        <v>472.8</v>
      </c>
      <c r="AA23" s="18">
        <v>433.1</v>
      </c>
      <c r="AB23" s="20">
        <v>431.7</v>
      </c>
      <c r="AC23" s="15">
        <v>363.3</v>
      </c>
      <c r="AD23" s="15">
        <v>342.1</v>
      </c>
      <c r="AE23" s="15">
        <v>436.5</v>
      </c>
      <c r="AF23" s="15">
        <v>291.39999999999998</v>
      </c>
      <c r="AG23" s="15">
        <v>257.60000000000002</v>
      </c>
      <c r="AH23" s="15">
        <v>344.3</v>
      </c>
      <c r="AI23" s="656">
        <f t="shared" si="20"/>
        <v>12305.899999999998</v>
      </c>
      <c r="AJ23" s="118">
        <v>100</v>
      </c>
      <c r="AK23" s="121">
        <f t="shared" si="17"/>
        <v>8.9166666666666665E-3</v>
      </c>
      <c r="AL23" s="67">
        <f t="shared" si="13"/>
        <v>0.18716666666666668</v>
      </c>
      <c r="AM23" s="68">
        <f t="shared" si="12"/>
        <v>0.21470833333333331</v>
      </c>
      <c r="AN23" s="68">
        <f t="shared" si="12"/>
        <v>0.1605</v>
      </c>
      <c r="AO23" s="68">
        <f t="shared" si="12"/>
        <v>0.14491666666666667</v>
      </c>
      <c r="AP23" s="68">
        <f t="shared" si="12"/>
        <v>0.2175</v>
      </c>
      <c r="AQ23" s="68">
        <f t="shared" si="12"/>
        <v>0.19170833333333334</v>
      </c>
      <c r="AR23" s="68">
        <f t="shared" si="12"/>
        <v>0.14108333333333334</v>
      </c>
      <c r="AS23" s="68">
        <f t="shared" si="12"/>
        <v>0.16166666666666665</v>
      </c>
      <c r="AT23" s="68">
        <f t="shared" si="12"/>
        <v>0.15925</v>
      </c>
      <c r="AU23" s="68">
        <f>IF(OR(M22="",M22="Sem monitoramento"),"VAZIO",IFERROR(M22/($AJ23*24),"-"))</f>
        <v>0.21820833333333337</v>
      </c>
      <c r="AV23" s="68">
        <f>IF(OR(N24="",N24="Sem monitoramento"),"VAZIO",IFERROR(N24/($AJ23*24),"-"))</f>
        <v>0.80941666666666667</v>
      </c>
      <c r="AW23" s="68">
        <f>IF(OR(O20="",O20="Sem monitoramento"),"VAZIO",IFERROR(O20/($AJ23*24),"-"))</f>
        <v>9.9583333333333329E-2</v>
      </c>
      <c r="AX23" s="68">
        <f t="shared" si="24"/>
        <v>2.5000000000000001E-2</v>
      </c>
      <c r="AY23" s="68">
        <f t="shared" si="24"/>
        <v>0.13141666666666665</v>
      </c>
      <c r="AZ23" s="68">
        <f t="shared" si="24"/>
        <v>0.12745833333333331</v>
      </c>
      <c r="BA23" s="68">
        <f t="shared" si="24"/>
        <v>0.16875000000000001</v>
      </c>
      <c r="BB23" s="68">
        <f t="shared" si="25"/>
        <v>0.20125000000000001</v>
      </c>
      <c r="BC23" s="68">
        <f t="shared" si="25"/>
        <v>0.20333333333333334</v>
      </c>
      <c r="BD23" s="68">
        <f>IF(OR(V23="",V23="Sem monitoramento"),"VAZIO",IFERROR(V23/($AJ23*24),"-"))</f>
        <v>0.21666666666666667</v>
      </c>
      <c r="BE23" s="68" t="e">
        <f>IF(OR(#REF!="",#REF!="Sem monitoramento"),"VAZIO",IFERROR(#REF!/($AJ23*24),"-"))</f>
        <v>#REF!</v>
      </c>
      <c r="BF23" s="68">
        <f>IF(OR(X23="",X23="Sem monitoramento"),"VAZIO",IFERROR(X23/($AJ23*24),"-"))</f>
        <v>0.21166666666666667</v>
      </c>
      <c r="BG23" s="68">
        <f t="shared" si="26"/>
        <v>0.20083333333333334</v>
      </c>
      <c r="BH23" s="68">
        <f t="shared" si="22"/>
        <v>0.19700000000000001</v>
      </c>
      <c r="BI23" s="68">
        <f t="shared" si="22"/>
        <v>0.18045833333333333</v>
      </c>
      <c r="BJ23" s="68">
        <f t="shared" si="22"/>
        <v>0.17987500000000001</v>
      </c>
      <c r="BK23" s="68">
        <f t="shared" si="16"/>
        <v>0.15137500000000001</v>
      </c>
      <c r="BL23" s="68">
        <f t="shared" si="16"/>
        <v>0.14254166666666668</v>
      </c>
      <c r="BM23" s="68">
        <f t="shared" si="27"/>
        <v>0.18187500000000001</v>
      </c>
      <c r="BN23" s="68">
        <f t="shared" si="27"/>
        <v>0.12141666666666666</v>
      </c>
      <c r="BO23" s="68" t="e">
        <f>IF(OR(#REF!="",#REF!="Sem monitoramento"),"VAZIO",IFERROR(#REF!/($AJ23*24),"-"))</f>
        <v>#REF!</v>
      </c>
      <c r="BP23" s="70">
        <f t="shared" si="5"/>
        <v>0.17091527777777774</v>
      </c>
      <c r="BQ23" s="198">
        <f t="shared" si="23"/>
        <v>0.168125</v>
      </c>
      <c r="BR23" s="72">
        <f t="shared" si="18"/>
        <v>16.8125</v>
      </c>
      <c r="BS23" s="73">
        <f t="shared" si="19"/>
        <v>-7.6249999999999929E-3</v>
      </c>
      <c r="BT23" s="74">
        <f t="shared" si="8"/>
        <v>2.7902777777777388E-3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f>587.7+458.1+629</f>
        <v>1674.8000000000002</v>
      </c>
      <c r="E24" s="63">
        <v>1973</v>
      </c>
      <c r="F24" s="63">
        <v>1490.4</v>
      </c>
      <c r="G24" s="63">
        <v>1326.4</v>
      </c>
      <c r="H24" s="283">
        <v>1972.2</v>
      </c>
      <c r="I24" s="63">
        <v>1753</v>
      </c>
      <c r="J24" s="316">
        <v>1319.6</v>
      </c>
      <c r="K24" s="63">
        <v>1496.4</v>
      </c>
      <c r="L24" s="63">
        <v>1485.4</v>
      </c>
      <c r="M24" s="63">
        <f>673.8+485.1+659.4</f>
        <v>1818.3000000000002</v>
      </c>
      <c r="N24" s="63">
        <v>1942.6</v>
      </c>
      <c r="O24" s="283">
        <v>776</v>
      </c>
      <c r="P24" s="282">
        <v>237</v>
      </c>
      <c r="Q24" s="283">
        <f>460.3+332.5+451</f>
        <v>1243.8</v>
      </c>
      <c r="R24" s="63">
        <v>1209.0999999999999</v>
      </c>
      <c r="S24" s="63">
        <v>1606</v>
      </c>
      <c r="T24" s="63">
        <v>1839</v>
      </c>
      <c r="U24" s="63">
        <v>1853</v>
      </c>
      <c r="V24" s="31">
        <v>1941</v>
      </c>
      <c r="W24" s="316">
        <v>1527</v>
      </c>
      <c r="X24" s="316">
        <v>1888</v>
      </c>
      <c r="Y24" s="63">
        <v>1818.1</v>
      </c>
      <c r="Z24" s="15">
        <v>1778.6</v>
      </c>
      <c r="AA24" s="18">
        <v>1706</v>
      </c>
      <c r="AB24" s="323">
        <v>1673</v>
      </c>
      <c r="AC24" s="221">
        <v>1378.1</v>
      </c>
      <c r="AD24" s="15">
        <v>1349.9</v>
      </c>
      <c r="AE24" s="15">
        <v>1660</v>
      </c>
      <c r="AF24" s="15">
        <v>1140</v>
      </c>
      <c r="AG24" s="15">
        <v>1017.2</v>
      </c>
      <c r="AH24" s="15">
        <v>1341.4</v>
      </c>
      <c r="AI24" s="656">
        <f t="shared" si="20"/>
        <v>47234.299999999996</v>
      </c>
      <c r="AJ24" s="118">
        <v>383</v>
      </c>
      <c r="AK24" s="121">
        <f t="shared" si="17"/>
        <v>9.007832898172325E-3</v>
      </c>
      <c r="AL24" s="67">
        <f t="shared" si="13"/>
        <v>0.18220191470844213</v>
      </c>
      <c r="AM24" s="68">
        <f t="shared" si="12"/>
        <v>0.21464316797214969</v>
      </c>
      <c r="AN24" s="68">
        <f t="shared" si="12"/>
        <v>0.16214099216710184</v>
      </c>
      <c r="AO24" s="68">
        <f t="shared" si="12"/>
        <v>0.14429939077458662</v>
      </c>
      <c r="AP24" s="68">
        <f t="shared" si="12"/>
        <v>0.214556135770235</v>
      </c>
      <c r="AQ24" s="68">
        <f t="shared" si="12"/>
        <v>0.19070931244560488</v>
      </c>
      <c r="AR24" s="68">
        <f>IF(OR(J29="",J29="Sem monitoramento"),"VAZIO",IFERROR(J29/($AJ24*24),"-"))</f>
        <v>3.5182767624020887E-2</v>
      </c>
      <c r="AS24" s="68">
        <f t="shared" si="12"/>
        <v>0.16279373368146216</v>
      </c>
      <c r="AT24" s="68">
        <f t="shared" si="12"/>
        <v>0.16159704090513491</v>
      </c>
      <c r="AU24" s="68">
        <f t="shared" si="12"/>
        <v>0.19781331592689297</v>
      </c>
      <c r="AV24" s="68" t="e">
        <f>IF(OR(#REF!="",#REF!="Sem monitoramento"),"VAZIO",IFERROR(#REF!/($AJ24*24),"-"))</f>
        <v>#REF!</v>
      </c>
      <c r="AW24" s="68">
        <f t="shared" ref="AW24:AW31" si="28">IF(OR(O24="",O24="Sem monitoramento"),"VAZIO",IFERROR(O24/($AJ24*24),"-"))</f>
        <v>8.4421235857267185E-2</v>
      </c>
      <c r="AX24" s="68">
        <f t="shared" si="24"/>
        <v>2.5783289817232376E-2</v>
      </c>
      <c r="AY24" s="68">
        <f t="shared" si="24"/>
        <v>0.13531331592689294</v>
      </c>
      <c r="AZ24" s="68">
        <f t="shared" si="24"/>
        <v>0.13153829416884247</v>
      </c>
      <c r="BA24" s="68">
        <f t="shared" si="24"/>
        <v>0.17471714534377719</v>
      </c>
      <c r="BB24" s="68">
        <f t="shared" si="25"/>
        <v>0.20006527415143602</v>
      </c>
      <c r="BC24" s="68">
        <f t="shared" si="25"/>
        <v>0.20158833768494344</v>
      </c>
      <c r="BD24" s="68" t="e">
        <f>IF(OR(#REF!="",#REF!="Sem monitoramento"),"VAZIO",IFERROR(#REF!/($AJ24*24),"-"))</f>
        <v>#REF!</v>
      </c>
      <c r="BE24" s="68" t="e">
        <f>IF(OR(#REF!="",#REF!="Sem monitoramento"),"VAZIO",IFERROR(#REF!/($AJ24*24),"-"))</f>
        <v>#REF!</v>
      </c>
      <c r="BF24" s="68" t="e">
        <f>IF(OR(#REF!="",#REF!="Sem monitoramento"),"VAZIO",IFERROR(#REF!/($AJ24*24),"-"))</f>
        <v>#REF!</v>
      </c>
      <c r="BG24" s="68">
        <f t="shared" si="26"/>
        <v>0.19779155787641425</v>
      </c>
      <c r="BH24" s="68">
        <f t="shared" si="22"/>
        <v>0.19349434290687553</v>
      </c>
      <c r="BI24" s="68">
        <f t="shared" si="22"/>
        <v>0.18559617058311575</v>
      </c>
      <c r="BJ24" s="68">
        <f t="shared" si="22"/>
        <v>0.18200609225413403</v>
      </c>
      <c r="BK24" s="68">
        <f t="shared" si="16"/>
        <v>0.14992384682332463</v>
      </c>
      <c r="BL24" s="68">
        <f t="shared" si="16"/>
        <v>0.14685596170583118</v>
      </c>
      <c r="BM24" s="68">
        <f t="shared" si="27"/>
        <v>0.18059181897302001</v>
      </c>
      <c r="BN24" s="68">
        <f t="shared" si="27"/>
        <v>0.12402088772845953</v>
      </c>
      <c r="BO24" s="68">
        <f>IF(OR(AG24="",AG24="Sem monitoramento"),"VAZIO",IFERROR(AG24/($AJ24*24),"-"))</f>
        <v>0.11066144473455179</v>
      </c>
      <c r="BP24" s="70">
        <f t="shared" si="5"/>
        <v>0.17128771395416303</v>
      </c>
      <c r="BQ24" s="198">
        <f t="shared" si="23"/>
        <v>0.168125</v>
      </c>
      <c r="BR24" s="72">
        <f>AJ24*BQ24</f>
        <v>64.391874999999999</v>
      </c>
      <c r="BS24" s="73">
        <f t="shared" si="19"/>
        <v>-5.9840078328981527E-3</v>
      </c>
      <c r="BT24" s="74">
        <f t="shared" si="8"/>
        <v>3.1627139541630378E-3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490.5</v>
      </c>
      <c r="E25" s="63">
        <v>517.79999999999995</v>
      </c>
      <c r="F25" s="63">
        <v>356.5</v>
      </c>
      <c r="G25" s="63">
        <v>332.8</v>
      </c>
      <c r="H25" s="63">
        <v>550.1</v>
      </c>
      <c r="I25" s="63">
        <v>553.29999999999995</v>
      </c>
      <c r="J25" s="63">
        <v>368.6</v>
      </c>
      <c r="K25" s="63">
        <v>336</v>
      </c>
      <c r="L25" s="63">
        <v>292.39999999999998</v>
      </c>
      <c r="M25" s="63">
        <v>523.20000000000005</v>
      </c>
      <c r="N25" s="63">
        <v>401.6</v>
      </c>
      <c r="O25" s="63">
        <v>228</v>
      </c>
      <c r="P25" s="63">
        <v>273</v>
      </c>
      <c r="Q25" s="283">
        <v>251.9</v>
      </c>
      <c r="R25" s="63">
        <v>302</v>
      </c>
      <c r="S25" s="63">
        <v>463</v>
      </c>
      <c r="T25" s="316">
        <v>580</v>
      </c>
      <c r="U25" s="316">
        <v>618</v>
      </c>
      <c r="V25" s="283">
        <v>594</v>
      </c>
      <c r="W25" s="283">
        <v>447</v>
      </c>
      <c r="X25" s="63">
        <v>560</v>
      </c>
      <c r="Y25" s="63">
        <v>479</v>
      </c>
      <c r="Z25" s="148">
        <v>421.2</v>
      </c>
      <c r="AA25" s="18">
        <v>468.8</v>
      </c>
      <c r="AB25" s="20">
        <v>440.3</v>
      </c>
      <c r="AC25" s="15">
        <v>421.5</v>
      </c>
      <c r="AD25" s="15">
        <v>358.5</v>
      </c>
      <c r="AE25" s="15">
        <v>418.9</v>
      </c>
      <c r="AF25" s="15">
        <v>367.9</v>
      </c>
      <c r="AG25" s="15">
        <v>358.4</v>
      </c>
      <c r="AH25" s="15">
        <v>355.9</v>
      </c>
      <c r="AI25" s="656">
        <f t="shared" si="20"/>
        <v>13130.099999999999</v>
      </c>
      <c r="AJ25" s="118">
        <v>100</v>
      </c>
      <c r="AK25" s="121">
        <f t="shared" si="17"/>
        <v>8.2523148148148148E-3</v>
      </c>
      <c r="AL25" s="67">
        <f t="shared" si="13"/>
        <v>0.204375</v>
      </c>
      <c r="AM25" s="68">
        <f t="shared" si="12"/>
        <v>0.21574999999999997</v>
      </c>
      <c r="AN25" s="68">
        <f t="shared" si="12"/>
        <v>0.14854166666666666</v>
      </c>
      <c r="AO25" s="68">
        <f t="shared" si="12"/>
        <v>0.13866666666666666</v>
      </c>
      <c r="AP25" s="68">
        <f t="shared" si="12"/>
        <v>0.22920833333333335</v>
      </c>
      <c r="AQ25" s="68">
        <f t="shared" si="12"/>
        <v>0.23054166666666664</v>
      </c>
      <c r="AR25" s="68">
        <f>IF(OR(J25="",J25="Sem monitoramento"),"VAZIO",IFERROR(J25/($AJ25*24),"-"))</f>
        <v>0.15358333333333335</v>
      </c>
      <c r="AS25" s="68">
        <f t="shared" si="12"/>
        <v>0.14000000000000001</v>
      </c>
      <c r="AT25" s="68">
        <f t="shared" si="12"/>
        <v>0.12183333333333332</v>
      </c>
      <c r="AU25" s="68">
        <f t="shared" si="12"/>
        <v>0.21800000000000003</v>
      </c>
      <c r="AV25" s="68" t="e">
        <f>IF(OR(#REF!="",#REF!="Sem monitoramento"),"VAZIO",IFERROR(#REF!/($AJ25*24),"-"))</f>
        <v>#REF!</v>
      </c>
      <c r="AW25" s="68">
        <f t="shared" si="28"/>
        <v>9.5000000000000001E-2</v>
      </c>
      <c r="AX25" s="68">
        <f t="shared" si="24"/>
        <v>0.11375</v>
      </c>
      <c r="AY25" s="68">
        <f t="shared" si="24"/>
        <v>0.10495833333333333</v>
      </c>
      <c r="AZ25" s="68">
        <f t="shared" si="24"/>
        <v>0.12583333333333332</v>
      </c>
      <c r="BA25" s="68">
        <f t="shared" si="24"/>
        <v>0.19291666666666665</v>
      </c>
      <c r="BB25" s="68">
        <f>IF(OR(T26="",T26="Sem monitoramento"),"VAZIO",IFERROR(T26/($AJ25*24),"-"))</f>
        <v>0.245</v>
      </c>
      <c r="BC25" s="68">
        <f>IF(OR(U26="",U26="Sem monitoramento"),"VAZIO",IFERROR(U26/($AJ25*24),"-"))</f>
        <v>0.23458333333333334</v>
      </c>
      <c r="BD25" s="68">
        <f t="shared" ref="BD25:BD31" si="29">IF(OR(V25="",V25="Sem monitoramento"),"VAZIO",IFERROR(V25/($AJ25*24),"-"))</f>
        <v>0.2475</v>
      </c>
      <c r="BE25" s="68" t="e">
        <f>IF(OR(#REF!="",#REF!="Sem monitoramento"),"VAZIO",IFERROR(#REF!/($AJ25*24),"-"))</f>
        <v>#REF!</v>
      </c>
      <c r="BF25" s="68">
        <f t="shared" ref="BF25:BF31" si="30">IF(OR(X25="",X25="Sem monitoramento"),"VAZIO",IFERROR(X25/($AJ25*24),"-"))</f>
        <v>0.23333333333333334</v>
      </c>
      <c r="BG25" s="68">
        <f t="shared" si="26"/>
        <v>0.19958333333333333</v>
      </c>
      <c r="BH25" s="68">
        <f>IF(OR(Z26="",Z26="Sem monitoramento"),"VAZIO",IFERROR(Z26/($AJ25*24),"-"))</f>
        <v>0.18312500000000001</v>
      </c>
      <c r="BI25" s="68">
        <f>IF(OR(AA25="",AA25="Sem monitoramento"),"VAZIO",IFERROR(AA25/($AJ25*24),"-"))</f>
        <v>0.19533333333333333</v>
      </c>
      <c r="BJ25" s="68">
        <f t="shared" si="22"/>
        <v>0.18345833333333333</v>
      </c>
      <c r="BK25" s="68">
        <f t="shared" si="16"/>
        <v>0.175625</v>
      </c>
      <c r="BL25" s="68">
        <f t="shared" si="16"/>
        <v>0.14937500000000001</v>
      </c>
      <c r="BM25" s="68">
        <f t="shared" si="27"/>
        <v>0.17454166666666665</v>
      </c>
      <c r="BN25" s="68">
        <f t="shared" si="27"/>
        <v>0.15329166666666666</v>
      </c>
      <c r="BO25" s="68">
        <f>IF(OR(AG25="",AG25="Sem monitoramento"),"VAZIO",IFERROR(AG25/($AJ25*24),"-"))</f>
        <v>0.14933333333333332</v>
      </c>
      <c r="BP25" s="70">
        <f t="shared" si="5"/>
        <v>0.18236249999999998</v>
      </c>
      <c r="BQ25" s="198">
        <f t="shared" si="23"/>
        <v>0.168125</v>
      </c>
      <c r="BR25" s="72">
        <f t="shared" si="18"/>
        <v>16.8125</v>
      </c>
      <c r="BS25" s="73">
        <f t="shared" si="19"/>
        <v>-1.9583333333333341E-2</v>
      </c>
      <c r="BT25" s="74">
        <f t="shared" si="8"/>
        <v>1.4237499999999986E-2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446.9</v>
      </c>
      <c r="E26" s="283">
        <v>468.7</v>
      </c>
      <c r="F26" s="63">
        <v>361.9</v>
      </c>
      <c r="G26" s="63">
        <v>341.9</v>
      </c>
      <c r="H26" s="63">
        <v>513.6</v>
      </c>
      <c r="I26" s="283">
        <v>478.4</v>
      </c>
      <c r="J26" s="63">
        <v>311.89999999999998</v>
      </c>
      <c r="K26" s="63">
        <v>403.6</v>
      </c>
      <c r="L26" s="63">
        <v>374</v>
      </c>
      <c r="M26" s="283">
        <v>403.9</v>
      </c>
      <c r="N26" s="519">
        <v>510.2</v>
      </c>
      <c r="O26" s="63">
        <v>163</v>
      </c>
      <c r="P26" s="63">
        <v>283</v>
      </c>
      <c r="Q26" s="283">
        <v>284.3</v>
      </c>
      <c r="R26" s="283">
        <v>228.9</v>
      </c>
      <c r="S26" s="63">
        <v>403</v>
      </c>
      <c r="T26" s="63">
        <v>588</v>
      </c>
      <c r="U26" s="63">
        <v>563</v>
      </c>
      <c r="V26" s="283">
        <v>437</v>
      </c>
      <c r="W26" s="283">
        <v>335</v>
      </c>
      <c r="X26" s="63">
        <v>456</v>
      </c>
      <c r="Y26" s="63">
        <v>513.70000000000005</v>
      </c>
      <c r="Z26" s="221">
        <v>439.5</v>
      </c>
      <c r="AA26" s="320">
        <v>460</v>
      </c>
      <c r="AB26" s="323">
        <v>402.3</v>
      </c>
      <c r="AC26" s="15">
        <v>352.4</v>
      </c>
      <c r="AD26" s="221">
        <v>165.7</v>
      </c>
      <c r="AE26" s="15">
        <v>294.89999999999998</v>
      </c>
      <c r="AF26" s="283">
        <v>7.5</v>
      </c>
      <c r="AG26" s="283">
        <v>284.89999999999998</v>
      </c>
      <c r="AH26" s="283">
        <v>275.89999999999998</v>
      </c>
      <c r="AI26" s="656">
        <f>SUM(D26:AH26)</f>
        <v>11553</v>
      </c>
      <c r="AJ26" s="118">
        <v>100</v>
      </c>
      <c r="AK26" s="121">
        <f t="shared" si="17"/>
        <v>8.3773148148148149E-3</v>
      </c>
      <c r="AL26" s="67">
        <f t="shared" si="13"/>
        <v>0.18620833333333334</v>
      </c>
      <c r="AM26" s="68">
        <f t="shared" ref="AM26:AO27" si="31">IF(OR(E26="",E26="Sem monitoramento"),"VAZIO",IFERROR(E26/($AJ26*24),"-"))</f>
        <v>0.19529166666666667</v>
      </c>
      <c r="AN26" s="68">
        <f t="shared" si="31"/>
        <v>0.15079166666666666</v>
      </c>
      <c r="AO26" s="68">
        <f t="shared" si="31"/>
        <v>0.14245833333333333</v>
      </c>
      <c r="AP26" s="68" t="e">
        <f>IF(OR(#REF!="",#REF!="Sem monitoramento"),"VAZIO",IFERROR(#REF!/($AJ26*24),"-"))</f>
        <v>#REF!</v>
      </c>
      <c r="AQ26" s="68">
        <f t="shared" ref="AQ26:AQ31" si="32">IF(OR(I26="",I26="Sem monitoramento"),"VAZIO",IFERROR(I26/($AJ26*24),"-"))</f>
        <v>0.19933333333333333</v>
      </c>
      <c r="AR26" s="68">
        <f>IF(OR(J26="",J26="Sem monitoramento"),"VAZIO",IFERROR(J26/($AJ26*24),"-"))</f>
        <v>0.12995833333333331</v>
      </c>
      <c r="AS26" s="68">
        <f t="shared" ref="AS26:AU31" si="33">IF(OR(K26="",K26="Sem monitoramento"),"VAZIO",IFERROR(K26/($AJ26*24),"-"))</f>
        <v>0.16816666666666669</v>
      </c>
      <c r="AT26" s="68">
        <f t="shared" si="33"/>
        <v>0.15583333333333332</v>
      </c>
      <c r="AU26" s="68">
        <f t="shared" si="33"/>
        <v>0.16829166666666664</v>
      </c>
      <c r="AV26" s="68">
        <f>IF(OR(N25="",N25="Sem monitoramento"),"VAZIO",IFERROR(N25/($AJ26*24),"-"))</f>
        <v>0.16733333333333333</v>
      </c>
      <c r="AW26" s="68">
        <f t="shared" si="28"/>
        <v>6.7916666666666667E-2</v>
      </c>
      <c r="AX26" s="68">
        <f t="shared" si="24"/>
        <v>0.11791666666666667</v>
      </c>
      <c r="AY26" s="68">
        <f t="shared" si="24"/>
        <v>0.11845833333333333</v>
      </c>
      <c r="AZ26" s="68">
        <f t="shared" si="24"/>
        <v>9.5375000000000001E-2</v>
      </c>
      <c r="BA26" s="68">
        <f t="shared" si="24"/>
        <v>0.16791666666666666</v>
      </c>
      <c r="BB26" s="68" t="e">
        <f>IF(OR(#REF!="",#REF!="Sem monitoramento"),"VAZIO",IFERROR(#REF!/($AJ26*24),"-"))</f>
        <v>#REF!</v>
      </c>
      <c r="BC26" s="68" t="e">
        <f>IF(OR(#REF!="",#REF!="Sem monitoramento"),"VAZIO",IFERROR(#REF!/($AJ26*24),"-"))</f>
        <v>#REF!</v>
      </c>
      <c r="BD26" s="68">
        <f t="shared" si="29"/>
        <v>0.18208333333333335</v>
      </c>
      <c r="BE26" s="68">
        <f>IF(OR(W25="",W25="Sem monitoramento"),"VAZIO",IFERROR(W25/($AJ26*24),"-"))</f>
        <v>0.18625</v>
      </c>
      <c r="BF26" s="68">
        <f t="shared" si="30"/>
        <v>0.19</v>
      </c>
      <c r="BG26" s="68">
        <f t="shared" si="26"/>
        <v>0.21404166666666669</v>
      </c>
      <c r="BH26" s="68" t="e">
        <f>IF(OR(#REF!="",#REF!="Sem monitoramento"),"VAZIO",IFERROR(#REF!/($AJ26*24),"-"))</f>
        <v>#REF!</v>
      </c>
      <c r="BI26" s="68">
        <f>IF(OR(AA26="",AA26="Sem monitoramento"),"VAZIO",IFERROR(AA26/($AJ26*24),"-"))</f>
        <v>0.19166666666666668</v>
      </c>
      <c r="BJ26" s="68">
        <f t="shared" si="22"/>
        <v>0.167625</v>
      </c>
      <c r="BK26" s="68">
        <f t="shared" si="16"/>
        <v>0.14683333333333332</v>
      </c>
      <c r="BL26" s="68">
        <f t="shared" si="16"/>
        <v>6.9041666666666668E-2</v>
      </c>
      <c r="BM26" s="68">
        <f t="shared" si="27"/>
        <v>0.12287499999999998</v>
      </c>
      <c r="BN26" s="68">
        <f t="shared" si="27"/>
        <v>3.1250000000000002E-3</v>
      </c>
      <c r="BO26" s="68">
        <f>IF(OR(AG26="",AG26="Sem monitoramento"),"VAZIO",IFERROR(AG26/($AJ26*24),"-"))</f>
        <v>0.11870833333333332</v>
      </c>
      <c r="BP26" s="70">
        <f t="shared" si="5"/>
        <v>0.16045833333333334</v>
      </c>
      <c r="BQ26" s="198">
        <f t="shared" si="23"/>
        <v>0.168125</v>
      </c>
      <c r="BR26" s="72">
        <f t="shared" si="18"/>
        <v>16.8125</v>
      </c>
      <c r="BS26" s="73">
        <f t="shared" si="19"/>
        <v>-1.7333333333333339E-2</v>
      </c>
      <c r="BT26" s="74">
        <f t="shared" si="8"/>
        <v>-7.666666666666655E-3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472.8</v>
      </c>
      <c r="E27" s="63">
        <v>443.4</v>
      </c>
      <c r="F27" s="63">
        <v>392.7</v>
      </c>
      <c r="G27" s="308">
        <v>339.7</v>
      </c>
      <c r="H27" s="316">
        <v>534.1</v>
      </c>
      <c r="I27" s="283">
        <v>522.4</v>
      </c>
      <c r="J27" s="283">
        <v>364.1</v>
      </c>
      <c r="K27" s="283">
        <v>369.5</v>
      </c>
      <c r="L27" s="283">
        <v>280.7</v>
      </c>
      <c r="M27" s="283">
        <v>421</v>
      </c>
      <c r="N27" s="283">
        <v>548.79999999999995</v>
      </c>
      <c r="O27" s="283">
        <v>219</v>
      </c>
      <c r="P27" s="63">
        <v>236</v>
      </c>
      <c r="Q27" s="283">
        <v>202.8</v>
      </c>
      <c r="R27" s="283">
        <v>253.5</v>
      </c>
      <c r="S27" s="63">
        <v>387</v>
      </c>
      <c r="T27" s="283">
        <v>543</v>
      </c>
      <c r="U27" s="283">
        <v>489</v>
      </c>
      <c r="V27" s="283">
        <v>420</v>
      </c>
      <c r="W27" s="283">
        <v>511</v>
      </c>
      <c r="X27" s="283">
        <v>549</v>
      </c>
      <c r="Y27" s="283">
        <v>501.6</v>
      </c>
      <c r="Z27" s="221">
        <v>432.9</v>
      </c>
      <c r="AA27" s="283">
        <v>472.2</v>
      </c>
      <c r="AB27" s="323">
        <v>389.2</v>
      </c>
      <c r="AC27" s="283">
        <v>401.1</v>
      </c>
      <c r="AD27" s="283">
        <v>325.5</v>
      </c>
      <c r="AE27" s="283">
        <v>425.6</v>
      </c>
      <c r="AF27" s="283">
        <v>311.60000000000002</v>
      </c>
      <c r="AG27" s="283">
        <v>377.7</v>
      </c>
      <c r="AH27" s="283">
        <v>300</v>
      </c>
      <c r="AI27" s="656">
        <f t="shared" si="20"/>
        <v>12436.900000000003</v>
      </c>
      <c r="AJ27" s="118">
        <v>100</v>
      </c>
      <c r="AK27" s="121">
        <f t="shared" si="17"/>
        <v>9.090277777777777E-3</v>
      </c>
      <c r="AL27" s="67">
        <f t="shared" si="13"/>
        <v>0.19700000000000001</v>
      </c>
      <c r="AM27" s="68">
        <f t="shared" si="31"/>
        <v>0.18475</v>
      </c>
      <c r="AN27" s="68">
        <f t="shared" si="31"/>
        <v>0.16362499999999999</v>
      </c>
      <c r="AO27" s="68">
        <f t="shared" si="31"/>
        <v>0.14154166666666665</v>
      </c>
      <c r="AP27" s="68">
        <f>IF(OR(H26="",H26="Sem monitoramento"),"VAZIO",IFERROR(H26/($AJ27*24),"-"))</f>
        <v>0.214</v>
      </c>
      <c r="AQ27" s="68">
        <f t="shared" si="32"/>
        <v>0.21766666666666665</v>
      </c>
      <c r="AR27" s="68">
        <f>IF(OR(J27="",J27="Sem monitoramento"),"VAZIO",IFERROR(J27/($AJ27*24),"-"))</f>
        <v>0.15170833333333333</v>
      </c>
      <c r="AS27" s="68">
        <f t="shared" si="33"/>
        <v>0.15395833333333334</v>
      </c>
      <c r="AT27" s="68">
        <f t="shared" si="33"/>
        <v>0.11695833333333333</v>
      </c>
      <c r="AU27" s="68">
        <f t="shared" si="33"/>
        <v>0.17541666666666667</v>
      </c>
      <c r="AV27" s="68">
        <f>IF(OR(N27="",N27="Sem monitoramento"),"VAZIO",IFERROR(N27/($AJ27*24),"-"))</f>
        <v>0.22866666666666666</v>
      </c>
      <c r="AW27" s="68">
        <f t="shared" si="28"/>
        <v>9.1249999999999998E-2</v>
      </c>
      <c r="AX27" s="68">
        <f t="shared" si="24"/>
        <v>9.8333333333333328E-2</v>
      </c>
      <c r="AY27" s="68">
        <f t="shared" si="24"/>
        <v>8.4500000000000006E-2</v>
      </c>
      <c r="AZ27" s="68">
        <f t="shared" si="24"/>
        <v>0.105625</v>
      </c>
      <c r="BA27" s="68">
        <f t="shared" si="24"/>
        <v>0.16125</v>
      </c>
      <c r="BB27" s="68">
        <f>IF(OR(T27="",T27="Sem monitoramento"),"VAZIO",IFERROR(T27/($AJ27*24),"-"))</f>
        <v>0.22625000000000001</v>
      </c>
      <c r="BC27" s="68">
        <f t="shared" si="25"/>
        <v>0.20374999999999999</v>
      </c>
      <c r="BD27" s="68">
        <f t="shared" si="29"/>
        <v>0.17499999999999999</v>
      </c>
      <c r="BE27" s="68">
        <f>IF(OR(W27="",W27="Sem monitoramento"),"VAZIO",IFERROR(W27/($AJ27*24),"-"))</f>
        <v>0.21291666666666667</v>
      </c>
      <c r="BF27" s="68">
        <f t="shared" si="30"/>
        <v>0.22875000000000001</v>
      </c>
      <c r="BG27" s="68">
        <f t="shared" si="26"/>
        <v>0.20900000000000002</v>
      </c>
      <c r="BH27" s="68">
        <f>IF(OR(Z27="",Z27="Sem monitoramento"),"VAZIO",IFERROR(Z27/($AJ27*24),"-"))</f>
        <v>0.18037499999999998</v>
      </c>
      <c r="BI27" s="68" t="e">
        <f>IF(OR(#REF!="",#REF!="Sem monitoramento"),"VAZIO",IFERROR(#REF!/($AJ27*24),"-"))</f>
        <v>#REF!</v>
      </c>
      <c r="BJ27" s="68">
        <f t="shared" si="22"/>
        <v>0.16216666666666665</v>
      </c>
      <c r="BK27" s="68">
        <f t="shared" si="16"/>
        <v>0.167125</v>
      </c>
      <c r="BL27" s="68">
        <f t="shared" si="16"/>
        <v>0.135625</v>
      </c>
      <c r="BM27" s="68">
        <f t="shared" si="27"/>
        <v>0.17733333333333334</v>
      </c>
      <c r="BN27" s="68">
        <f t="shared" si="27"/>
        <v>0.12983333333333336</v>
      </c>
      <c r="BO27" s="68">
        <f>IF(OR(AG27="",AG27="Sem monitoramento"),"VAZIO",IFERROR(AG27/($AJ27*24),"-"))</f>
        <v>0.15737499999999999</v>
      </c>
      <c r="BP27" s="70">
        <f t="shared" si="5"/>
        <v>0.17273472222222228</v>
      </c>
      <c r="BQ27" s="198">
        <f t="shared" si="23"/>
        <v>0.168125</v>
      </c>
      <c r="BR27" s="72">
        <f t="shared" si="18"/>
        <v>16.8125</v>
      </c>
      <c r="BS27" s="73">
        <f t="shared" si="19"/>
        <v>-4.500000000000004E-3</v>
      </c>
      <c r="BT27" s="74">
        <f t="shared" si="8"/>
        <v>4.6097222222222789E-3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467.8</v>
      </c>
      <c r="E28" s="223">
        <v>472.5</v>
      </c>
      <c r="F28" s="63">
        <v>195.9</v>
      </c>
      <c r="G28" s="308">
        <v>347.2</v>
      </c>
      <c r="H28" s="283">
        <v>473.5</v>
      </c>
      <c r="I28" s="283">
        <v>455.4</v>
      </c>
      <c r="J28" s="283">
        <v>351.1</v>
      </c>
      <c r="K28" s="283">
        <v>336.7</v>
      </c>
      <c r="L28" s="283">
        <v>260.10000000000002</v>
      </c>
      <c r="M28" s="63">
        <v>357.1</v>
      </c>
      <c r="N28" s="63">
        <v>499.5</v>
      </c>
      <c r="O28" s="283">
        <v>212</v>
      </c>
      <c r="P28" s="283">
        <v>230</v>
      </c>
      <c r="Q28" s="283">
        <v>199.4</v>
      </c>
      <c r="R28" s="283">
        <v>223.3</v>
      </c>
      <c r="S28" s="283">
        <v>331</v>
      </c>
      <c r="T28" s="283">
        <v>485</v>
      </c>
      <c r="U28" s="283">
        <v>442</v>
      </c>
      <c r="V28" s="283">
        <v>453</v>
      </c>
      <c r="W28" s="283">
        <v>468</v>
      </c>
      <c r="X28" s="283">
        <v>509</v>
      </c>
      <c r="Y28" s="283">
        <v>481.9</v>
      </c>
      <c r="Z28" s="283">
        <v>434.8</v>
      </c>
      <c r="AA28" s="519">
        <v>429.5</v>
      </c>
      <c r="AB28" s="323">
        <v>372.7</v>
      </c>
      <c r="AC28" s="283">
        <v>391.9</v>
      </c>
      <c r="AD28" s="283">
        <v>307.3</v>
      </c>
      <c r="AE28" s="221">
        <v>384.3</v>
      </c>
      <c r="AF28" s="221">
        <v>313.60000000000002</v>
      </c>
      <c r="AG28" s="221">
        <v>357</v>
      </c>
      <c r="AH28" s="221">
        <v>300</v>
      </c>
      <c r="AI28" s="656">
        <f>SUM(D28:AH28)</f>
        <v>11542.499999999998</v>
      </c>
      <c r="AJ28" s="301">
        <v>100</v>
      </c>
      <c r="AK28" s="121">
        <f t="shared" si="17"/>
        <v>4.5347222222222221E-3</v>
      </c>
      <c r="AL28" s="302" t="e">
        <f>IF(OR(#REF!="",#REF!="Sem monitoramento"),"VAZIO",IFERROR(#REF!/($AJ28*24),"-"))</f>
        <v>#REF!</v>
      </c>
      <c r="AM28" s="303" t="e">
        <f>IF(OR(#REF!="",#REF!="Sem monitoramento"),"VAZIO",IFERROR(#REF!/($AJ28*24),"-"))</f>
        <v>#REF!</v>
      </c>
      <c r="AN28" s="303">
        <f t="shared" ref="AN28:AP31" si="34">IF(OR(F28="",F28="Sem monitoramento"),"VAZIO",IFERROR(F28/($AJ28*24),"-"))</f>
        <v>8.1625000000000003E-2</v>
      </c>
      <c r="AO28" s="303">
        <f t="shared" si="34"/>
        <v>0.14466666666666667</v>
      </c>
      <c r="AP28" s="303">
        <f t="shared" si="34"/>
        <v>0.19729166666666667</v>
      </c>
      <c r="AQ28" s="303">
        <f t="shared" si="32"/>
        <v>0.18975</v>
      </c>
      <c r="AR28" s="303">
        <f>IF(OR(J28="",J28="Sem monitoramento"),"VAZIO",IFERROR(J28/($AJ28*24),"-"))</f>
        <v>0.14629166666666668</v>
      </c>
      <c r="AS28" s="303">
        <f t="shared" si="33"/>
        <v>0.14029166666666668</v>
      </c>
      <c r="AT28" s="303">
        <f t="shared" si="33"/>
        <v>0.10837500000000001</v>
      </c>
      <c r="AU28" s="303">
        <f t="shared" si="33"/>
        <v>0.14879166666666668</v>
      </c>
      <c r="AV28" s="303">
        <f>IF(OR(N28="",N28="Sem monitoramento"),"VAZIO",IFERROR(N28/($AJ28*24),"-"))</f>
        <v>0.208125</v>
      </c>
      <c r="AW28" s="303">
        <f t="shared" si="28"/>
        <v>8.8333333333333333E-2</v>
      </c>
      <c r="AX28" s="303">
        <f t="shared" si="24"/>
        <v>9.583333333333334E-2</v>
      </c>
      <c r="AY28" s="303">
        <f t="shared" si="24"/>
        <v>8.3083333333333342E-2</v>
      </c>
      <c r="AZ28" s="303">
        <f t="shared" si="24"/>
        <v>9.3041666666666675E-2</v>
      </c>
      <c r="BA28" s="303">
        <f t="shared" si="24"/>
        <v>0.13791666666666666</v>
      </c>
      <c r="BB28" s="303">
        <f>IF(OR(T28="",T28="Sem monitoramento"),"VAZIO",IFERROR(T28/($AJ28*24),"-"))</f>
        <v>0.20208333333333334</v>
      </c>
      <c r="BC28" s="303">
        <f t="shared" si="25"/>
        <v>0.18416666666666667</v>
      </c>
      <c r="BD28" s="303">
        <f t="shared" si="29"/>
        <v>0.18875</v>
      </c>
      <c r="BE28" s="303">
        <f>IF(OR(X28="",X28="Sem monitoramento"),"VAZIO",IFERROR(X28/($AJ28*24),"-"))</f>
        <v>0.21208333333333335</v>
      </c>
      <c r="BF28" s="303" t="e">
        <f>IF(OR(#REF!="",#REF!="Sem monitoramento"),"VAZIO",IFERROR(#REF!/($AJ28*24),"-"))</f>
        <v>#REF!</v>
      </c>
      <c r="BG28" s="303">
        <f t="shared" si="26"/>
        <v>0.20079166666666665</v>
      </c>
      <c r="BH28" s="303">
        <f>IF(OR(Z28="",Z28="Sem monitoramento"),"VAZIO",IFERROR(Z28/($AJ28*24),"-"))</f>
        <v>0.18116666666666667</v>
      </c>
      <c r="BI28" s="303">
        <f>IF(OR(AA27="",AA27="Sem monitoramento"),"VAZIO",IFERROR(AA27/($AJ28*24),"-"))</f>
        <v>0.19675000000000001</v>
      </c>
      <c r="BJ28" s="303">
        <f t="shared" si="22"/>
        <v>0.15529166666666666</v>
      </c>
      <c r="BK28" s="303">
        <f t="shared" si="16"/>
        <v>0.16329166666666667</v>
      </c>
      <c r="BL28" s="303">
        <f t="shared" si="16"/>
        <v>0.12804166666666666</v>
      </c>
      <c r="BM28" s="303">
        <f t="shared" si="27"/>
        <v>0.16012500000000002</v>
      </c>
      <c r="BN28" s="303">
        <f t="shared" si="27"/>
        <v>0.13066666666666668</v>
      </c>
      <c r="BO28" s="303" t="e">
        <f>IF(OR(#REF!="",#REF!="Sem monitoramento"),"VAZIO",IFERROR(#REF!/($AJ28*24),"-"))</f>
        <v>#REF!</v>
      </c>
      <c r="BP28" s="304">
        <f>AI28/(AJ28*(COUNTA(D28:AG28)*24))</f>
        <v>0.16031249999999997</v>
      </c>
      <c r="BQ28" s="198">
        <f t="shared" si="23"/>
        <v>0.168125</v>
      </c>
      <c r="BR28" s="72">
        <f t="shared" si="18"/>
        <v>16.8125</v>
      </c>
      <c r="BS28" s="73">
        <f t="shared" si="19"/>
        <v>-8.6499999999999994E-2</v>
      </c>
      <c r="BT28" s="74">
        <f>BP28-BQ28</f>
        <v>-7.8125000000000278E-3</v>
      </c>
      <c r="BU28" s="15" t="s">
        <v>440</v>
      </c>
      <c r="BV28" s="3"/>
      <c r="BW28" s="2"/>
      <c r="BX28" s="2"/>
    </row>
    <row r="29" spans="2:76" ht="15" thickBot="1" x14ac:dyDescent="0.35">
      <c r="B29" s="775"/>
      <c r="C29" s="326" t="s">
        <v>289</v>
      </c>
      <c r="D29" s="223">
        <v>430.1</v>
      </c>
      <c r="E29" s="283">
        <v>424.4</v>
      </c>
      <c r="F29" s="283">
        <v>365.2</v>
      </c>
      <c r="G29" s="308">
        <v>319.3</v>
      </c>
      <c r="H29" s="283">
        <v>463.1</v>
      </c>
      <c r="I29" s="308">
        <v>477.3</v>
      </c>
      <c r="J29" s="63">
        <v>323.39999999999998</v>
      </c>
      <c r="K29" s="283">
        <v>330.3</v>
      </c>
      <c r="L29" s="283">
        <v>235.9</v>
      </c>
      <c r="M29" s="283">
        <v>384.5</v>
      </c>
      <c r="N29" s="316">
        <v>477.7</v>
      </c>
      <c r="O29" s="283">
        <v>188</v>
      </c>
      <c r="P29" s="283">
        <v>203</v>
      </c>
      <c r="Q29" s="283">
        <v>171</v>
      </c>
      <c r="R29" s="283">
        <v>214.1</v>
      </c>
      <c r="S29" s="283">
        <v>317</v>
      </c>
      <c r="T29" s="283">
        <v>478</v>
      </c>
      <c r="U29" s="283">
        <v>417</v>
      </c>
      <c r="V29" s="283">
        <v>388</v>
      </c>
      <c r="W29" s="283">
        <v>437</v>
      </c>
      <c r="X29" s="283">
        <v>467</v>
      </c>
      <c r="Y29" s="283">
        <v>431.5</v>
      </c>
      <c r="Z29" s="221">
        <v>402.8</v>
      </c>
      <c r="AA29" s="320">
        <v>381.1</v>
      </c>
      <c r="AB29" s="323">
        <v>336.5</v>
      </c>
      <c r="AC29" s="283">
        <v>342.9</v>
      </c>
      <c r="AD29" s="283">
        <v>271.3</v>
      </c>
      <c r="AE29" s="221">
        <v>348.7</v>
      </c>
      <c r="AF29" s="221">
        <v>279.3</v>
      </c>
      <c r="AG29" s="221">
        <v>322.5</v>
      </c>
      <c r="AH29" s="221">
        <v>269.5</v>
      </c>
      <c r="AI29" s="656">
        <f t="shared" si="20"/>
        <v>10897.4</v>
      </c>
      <c r="AJ29" s="119">
        <v>100</v>
      </c>
      <c r="AK29" s="121">
        <f t="shared" si="17"/>
        <v>8.4537037037037029E-3</v>
      </c>
      <c r="AL29" s="98">
        <f>IF(OR(D28="",D28="Sem monitoramento"),"VAZIO",IFERROR(D28/($AJ29*24),"-"))</f>
        <v>0.19491666666666668</v>
      </c>
      <c r="AM29" s="99">
        <f>IF(OR(E29="",E29="Sem monitoramento"),"VAZIO",IFERROR(E29/($AJ29*24),"-"))</f>
        <v>0.17683333333333331</v>
      </c>
      <c r="AN29" s="99">
        <f t="shared" si="34"/>
        <v>0.15216666666666667</v>
      </c>
      <c r="AO29" s="99">
        <f t="shared" si="34"/>
        <v>0.13304166666666667</v>
      </c>
      <c r="AP29" s="99">
        <f t="shared" si="34"/>
        <v>0.19295833333333334</v>
      </c>
      <c r="AQ29" s="99">
        <f t="shared" si="32"/>
        <v>0.198875</v>
      </c>
      <c r="AR29" s="99">
        <f>IF(OR(J30="",J30="Sem monitoramento"),"VAZIO",IFERROR(J30/($AJ29*24),"-"))</f>
        <v>0.123625</v>
      </c>
      <c r="AS29" s="99">
        <f t="shared" si="33"/>
        <v>0.137625</v>
      </c>
      <c r="AT29" s="99">
        <f t="shared" si="33"/>
        <v>9.8291666666666666E-2</v>
      </c>
      <c r="AU29" s="99">
        <f t="shared" si="33"/>
        <v>0.16020833333333334</v>
      </c>
      <c r="AV29" s="99">
        <f>IF(OR(N30="",N30="Sem monitoramento"),"VAZIO",IFERROR(N30/($AJ29*24),"-"))</f>
        <v>0.22370833333333331</v>
      </c>
      <c r="AW29" s="99">
        <f t="shared" si="28"/>
        <v>7.8333333333333338E-2</v>
      </c>
      <c r="AX29" s="99">
        <f t="shared" si="24"/>
        <v>8.458333333333333E-2</v>
      </c>
      <c r="AY29" s="99">
        <f t="shared" si="24"/>
        <v>7.1249999999999994E-2</v>
      </c>
      <c r="AZ29" s="99">
        <f t="shared" si="24"/>
        <v>8.9208333333333334E-2</v>
      </c>
      <c r="BA29" s="99">
        <f t="shared" si="24"/>
        <v>0.13208333333333333</v>
      </c>
      <c r="BB29" s="99">
        <f>IF(OR(T29="",T29="Sem monitoramento"),"VAZIO",IFERROR(T29/($AJ29*24),"-"))</f>
        <v>0.19916666666666666</v>
      </c>
      <c r="BC29" s="99">
        <f t="shared" si="25"/>
        <v>0.17374999999999999</v>
      </c>
      <c r="BD29" s="99">
        <f t="shared" si="29"/>
        <v>0.16166666666666665</v>
      </c>
      <c r="BE29" s="99">
        <f>IF(OR(X29="",X29="Sem monitoramento"),"VAZIO",IFERROR(X29/($AJ29*24),"-"))</f>
        <v>0.19458333333333333</v>
      </c>
      <c r="BF29" s="99" t="e">
        <f>IF(OR(#REF!="",#REF!="Sem monitoramento"),"VAZIO",IFERROR(#REF!/($AJ29*24),"-"))</f>
        <v>#REF!</v>
      </c>
      <c r="BG29" s="99">
        <f t="shared" si="26"/>
        <v>0.17979166666666666</v>
      </c>
      <c r="BH29" s="99">
        <f>IF(OR(Z29="",Z29="Sem monitoramento"),"VAZIO",IFERROR(Z29/($AJ29*24),"-"))</f>
        <v>0.16783333333333333</v>
      </c>
      <c r="BI29" s="99">
        <f>IF(OR(AA29="",AA29="Sem monitoramento"),"VAZIO",IFERROR(AA29/($AJ29*24),"-"))</f>
        <v>0.15879166666666666</v>
      </c>
      <c r="BJ29" s="99">
        <f t="shared" si="22"/>
        <v>0.14020833333333332</v>
      </c>
      <c r="BK29" s="99">
        <f t="shared" si="16"/>
        <v>0.142875</v>
      </c>
      <c r="BL29" s="99">
        <f t="shared" si="16"/>
        <v>0.11304166666666667</v>
      </c>
      <c r="BM29" s="99">
        <f t="shared" si="27"/>
        <v>0.14529166666666665</v>
      </c>
      <c r="BN29" s="99">
        <f t="shared" si="27"/>
        <v>0.11637500000000001</v>
      </c>
      <c r="BO29" s="99">
        <f>IF(OR(AG28="",AG28="Sem monitoramento"),"VAZIO",IFERROR(AG28/($AJ29*24),"-"))</f>
        <v>0.14874999999999999</v>
      </c>
      <c r="BP29" s="101">
        <f t="shared" si="5"/>
        <v>0.15135277777777778</v>
      </c>
      <c r="BQ29" s="198">
        <f t="shared" si="23"/>
        <v>0.168125</v>
      </c>
      <c r="BR29" s="72">
        <f t="shared" si="18"/>
        <v>16.8125</v>
      </c>
      <c r="BS29" s="73">
        <f t="shared" si="19"/>
        <v>-1.5958333333333324E-2</v>
      </c>
      <c r="BT29" s="74">
        <f t="shared" si="8"/>
        <v>-1.6772222222222216E-2</v>
      </c>
      <c r="BU29" s="15" t="s">
        <v>112</v>
      </c>
      <c r="BV29" s="3"/>
      <c r="BW29" s="2"/>
      <c r="BX29" s="2"/>
    </row>
    <row r="30" spans="2:76" ht="15" thickBot="1" x14ac:dyDescent="0.35">
      <c r="B30" s="773" t="s">
        <v>290</v>
      </c>
      <c r="C30" s="326" t="s">
        <v>291</v>
      </c>
      <c r="D30" s="223">
        <v>446.8</v>
      </c>
      <c r="E30" s="31">
        <v>491.7</v>
      </c>
      <c r="F30" s="63">
        <v>259.8</v>
      </c>
      <c r="G30" s="63">
        <v>342.9</v>
      </c>
      <c r="H30" s="283">
        <v>499</v>
      </c>
      <c r="I30" s="470">
        <v>475.5</v>
      </c>
      <c r="J30" s="308">
        <v>296.7</v>
      </c>
      <c r="K30" s="282">
        <v>225.9</v>
      </c>
      <c r="L30" s="282">
        <v>252.5</v>
      </c>
      <c r="M30" s="283">
        <v>453.5</v>
      </c>
      <c r="N30" s="283">
        <v>536.9</v>
      </c>
      <c r="O30" s="283">
        <v>174</v>
      </c>
      <c r="P30" s="283">
        <v>270</v>
      </c>
      <c r="Q30" s="283">
        <v>248.6</v>
      </c>
      <c r="R30" s="283">
        <v>236.9</v>
      </c>
      <c r="S30" s="283">
        <v>399</v>
      </c>
      <c r="T30" s="283">
        <v>479</v>
      </c>
      <c r="U30" s="283">
        <v>529</v>
      </c>
      <c r="V30" s="283">
        <v>491</v>
      </c>
      <c r="W30" s="283">
        <v>390</v>
      </c>
      <c r="X30" s="283">
        <v>428</v>
      </c>
      <c r="Y30" s="320">
        <v>384.4</v>
      </c>
      <c r="Z30" s="320">
        <v>378.4</v>
      </c>
      <c r="AA30" s="320">
        <v>476.5</v>
      </c>
      <c r="AB30" s="323">
        <v>202.7</v>
      </c>
      <c r="AC30" s="15">
        <v>323.2</v>
      </c>
      <c r="AD30" s="221">
        <v>383.2</v>
      </c>
      <c r="AE30" s="221">
        <v>416.4</v>
      </c>
      <c r="AF30" s="15">
        <v>286.5</v>
      </c>
      <c r="AG30" s="15">
        <v>298.39999999999998</v>
      </c>
      <c r="AH30" s="15">
        <v>361.3</v>
      </c>
      <c r="AI30" s="656">
        <f t="shared" si="20"/>
        <v>11437.7</v>
      </c>
      <c r="AJ30" s="2">
        <v>100</v>
      </c>
      <c r="AK30" s="285">
        <f t="shared" si="17"/>
        <v>6.0138888888888889E-3</v>
      </c>
      <c r="AL30" s="98">
        <f>IF(OR(D30="",D30="Sem monitoramento"),"VAZIO",IFERROR(D30/($AJ30*24),"-"))</f>
        <v>0.18616666666666667</v>
      </c>
      <c r="AM30" s="99">
        <f>IF(OR(E28="",E28="Sem monitoramento"),"VAZIO",IFERROR(E28/($AJ30*24),"-"))</f>
        <v>0.19687499999999999</v>
      </c>
      <c r="AN30" s="99">
        <f t="shared" si="34"/>
        <v>0.10825</v>
      </c>
      <c r="AO30" s="99">
        <f t="shared" si="34"/>
        <v>0.142875</v>
      </c>
      <c r="AP30" s="99">
        <f t="shared" si="34"/>
        <v>0.20791666666666667</v>
      </c>
      <c r="AQ30" s="99">
        <f t="shared" si="32"/>
        <v>0.198125</v>
      </c>
      <c r="AR30" s="99" t="e">
        <f>IF(OR(#REF!="",#REF!="Sem monitoramento"),"VAZIO",IFERROR(#REF!/($AJ30*24),"-"))</f>
        <v>#REF!</v>
      </c>
      <c r="AS30" s="99">
        <f t="shared" si="33"/>
        <v>9.4125E-2</v>
      </c>
      <c r="AT30" s="99">
        <f t="shared" si="33"/>
        <v>0.10520833333333333</v>
      </c>
      <c r="AU30" s="99">
        <f t="shared" si="33"/>
        <v>0.18895833333333334</v>
      </c>
      <c r="AV30" s="99" t="e">
        <f>IF(OR(#REF!="",#REF!="Sem monitoramento"),"VAZIO",IFERROR(#REF!/($AJ30*24),"-"))</f>
        <v>#REF!</v>
      </c>
      <c r="AW30" s="99">
        <f t="shared" si="28"/>
        <v>7.2499999999999995E-2</v>
      </c>
      <c r="AX30" s="99">
        <f t="shared" si="24"/>
        <v>0.1125</v>
      </c>
      <c r="AY30" s="99">
        <f t="shared" si="24"/>
        <v>0.10358333333333333</v>
      </c>
      <c r="AZ30" s="99">
        <f t="shared" si="24"/>
        <v>9.8708333333333342E-2</v>
      </c>
      <c r="BA30" s="99">
        <f t="shared" si="24"/>
        <v>0.16625000000000001</v>
      </c>
      <c r="BB30" s="99">
        <f>IF(OR(T30="",T30="Sem monitoramento"),"VAZIO",IFERROR(T30/($AJ30*24),"-"))</f>
        <v>0.19958333333333333</v>
      </c>
      <c r="BC30" s="99">
        <f t="shared" si="25"/>
        <v>0.22041666666666668</v>
      </c>
      <c r="BD30" s="99">
        <f t="shared" si="29"/>
        <v>0.20458333333333334</v>
      </c>
      <c r="BE30" s="99">
        <f>IF(OR(W30="",W30="Sem monitoramento"),"VAZIO",IFERROR(W30/($AJ30*24),"-"))</f>
        <v>0.16250000000000001</v>
      </c>
      <c r="BF30" s="99">
        <f t="shared" si="30"/>
        <v>0.17833333333333334</v>
      </c>
      <c r="BG30" s="99">
        <f t="shared" si="26"/>
        <v>0.16016666666666665</v>
      </c>
      <c r="BH30" s="99">
        <f>IF(OR(Z30="",Z30="Sem monitoramento"),"VAZIO",IFERROR(Z30/($AJ30*24),"-"))</f>
        <v>0.15766666666666665</v>
      </c>
      <c r="BI30" s="99">
        <f>IF(OR(AA30="",AA30="Sem monitoramento"),"VAZIO",IFERROR(AA30/($AJ30*24),"-"))</f>
        <v>0.19854166666666667</v>
      </c>
      <c r="BJ30" s="99">
        <f t="shared" si="22"/>
        <v>8.445833333333333E-2</v>
      </c>
      <c r="BK30" s="99">
        <f t="shared" si="16"/>
        <v>0.13466666666666666</v>
      </c>
      <c r="BL30" s="99">
        <f t="shared" si="16"/>
        <v>0.15966666666666665</v>
      </c>
      <c r="BM30" s="99">
        <f t="shared" si="27"/>
        <v>0.17349999999999999</v>
      </c>
      <c r="BN30" s="286">
        <f t="shared" si="27"/>
        <v>0.119375</v>
      </c>
      <c r="BO30" s="286">
        <f>IF(OR(AG30="",AG30="Sem monitoramento"),"VAZIO",IFERROR(AG30/($AJ30*24),"-"))</f>
        <v>0.12433333333333332</v>
      </c>
      <c r="BP30" s="286">
        <f t="shared" si="5"/>
        <v>0.15885694444444445</v>
      </c>
      <c r="BQ30" s="198">
        <f t="shared" si="23"/>
        <v>0.168125</v>
      </c>
      <c r="BR30" s="72">
        <f t="shared" si="18"/>
        <v>16.8125</v>
      </c>
      <c r="BS30" s="73">
        <f t="shared" si="19"/>
        <v>-5.9874999999999998E-2</v>
      </c>
      <c r="BT30" s="74">
        <f t="shared" si="8"/>
        <v>-9.2680555555555433E-3</v>
      </c>
      <c r="BU30" s="2"/>
      <c r="BV30" s="3"/>
      <c r="BW30" s="2"/>
      <c r="BX30" s="2"/>
    </row>
    <row r="31" spans="2:76" ht="15" thickBot="1" x14ac:dyDescent="0.35">
      <c r="B31" s="777"/>
      <c r="C31" s="329" t="s">
        <v>563</v>
      </c>
      <c r="D31" s="224">
        <v>313.2</v>
      </c>
      <c r="E31" s="93">
        <v>323.39999999999998</v>
      </c>
      <c r="F31" s="93">
        <v>251.9</v>
      </c>
      <c r="G31" s="115">
        <v>232.8</v>
      </c>
      <c r="H31" s="532">
        <v>346.9</v>
      </c>
      <c r="I31" s="115">
        <v>338.5</v>
      </c>
      <c r="J31" s="115">
        <v>201.7</v>
      </c>
      <c r="K31" s="93">
        <v>273.60000000000002</v>
      </c>
      <c r="L31" s="93">
        <v>201.6</v>
      </c>
      <c r="M31" s="93">
        <v>278.10000000000002</v>
      </c>
      <c r="N31" s="93">
        <v>338.8</v>
      </c>
      <c r="O31" s="318">
        <v>120</v>
      </c>
      <c r="P31" s="93">
        <v>158</v>
      </c>
      <c r="Q31" s="318">
        <v>148.4</v>
      </c>
      <c r="R31" s="318">
        <v>124.8</v>
      </c>
      <c r="S31" s="318">
        <v>236</v>
      </c>
      <c r="T31" s="318">
        <v>311</v>
      </c>
      <c r="U31" s="318">
        <v>317</v>
      </c>
      <c r="V31" s="318">
        <v>303</v>
      </c>
      <c r="W31" s="318">
        <v>270</v>
      </c>
      <c r="X31" s="277">
        <v>314</v>
      </c>
      <c r="Y31" s="318">
        <v>244.2</v>
      </c>
      <c r="Z31" s="318">
        <v>234.3</v>
      </c>
      <c r="AA31" s="318">
        <v>287.89999999999998</v>
      </c>
      <c r="AB31" s="655">
        <v>246.4</v>
      </c>
      <c r="AC31" s="22">
        <v>212.4</v>
      </c>
      <c r="AD31" s="277">
        <v>218.4</v>
      </c>
      <c r="AE31" s="93">
        <v>273.2</v>
      </c>
      <c r="AF31" s="22">
        <v>169.6</v>
      </c>
      <c r="AG31" s="277">
        <v>152.5</v>
      </c>
      <c r="AH31" s="22">
        <v>202.4</v>
      </c>
      <c r="AI31" s="335">
        <f t="shared" si="20"/>
        <v>7643.9999999999991</v>
      </c>
      <c r="AJ31" s="2"/>
      <c r="AK31" s="285"/>
      <c r="AL31" s="286" t="str">
        <f>IF(OR(D31="",D31="Sem monitoramento"),"VAZIO",IFERROR(D31/($AJ31*24),"-"))</f>
        <v>-</v>
      </c>
      <c r="AM31" s="286" t="str">
        <f>IF(OR(E31="",E31="Sem monitoramento"),"VAZIO",IFERROR(E31/($AJ31*24),"-"))</f>
        <v>-</v>
      </c>
      <c r="AN31" s="286" t="str">
        <f t="shared" si="34"/>
        <v>-</v>
      </c>
      <c r="AO31" s="286" t="str">
        <f t="shared" si="34"/>
        <v>-</v>
      </c>
      <c r="AP31" s="286" t="str">
        <f t="shared" si="34"/>
        <v>-</v>
      </c>
      <c r="AQ31" s="286" t="str">
        <f t="shared" si="32"/>
        <v>-</v>
      </c>
      <c r="AR31" s="286" t="str">
        <f>IF(OR(J31="",J31="Sem monitoramento"),"VAZIO",IFERROR(J31/($AJ31*24),"-"))</f>
        <v>-</v>
      </c>
      <c r="AS31" s="286" t="str">
        <f t="shared" si="33"/>
        <v>-</v>
      </c>
      <c r="AT31" s="286" t="str">
        <f t="shared" si="33"/>
        <v>-</v>
      </c>
      <c r="AU31" s="286" t="str">
        <f t="shared" si="33"/>
        <v>-</v>
      </c>
      <c r="AV31" s="286" t="str">
        <f>IF(OR(N31="",N31="Sem monitoramento"),"VAZIO",IFERROR(N31/($AJ31*24),"-"))</f>
        <v>-</v>
      </c>
      <c r="AW31" s="286" t="str">
        <f t="shared" si="28"/>
        <v>-</v>
      </c>
      <c r="AX31" s="286" t="str">
        <f t="shared" si="24"/>
        <v>-</v>
      </c>
      <c r="AY31" s="286" t="str">
        <f t="shared" si="24"/>
        <v>-</v>
      </c>
      <c r="AZ31" s="286" t="str">
        <f t="shared" si="24"/>
        <v>-</v>
      </c>
      <c r="BA31" s="286" t="str">
        <f t="shared" si="24"/>
        <v>-</v>
      </c>
      <c r="BB31" s="286" t="str">
        <f>IF(OR(T31="",T31="Sem monitoramento"),"VAZIO",IFERROR(T31/($AJ31*24),"-"))</f>
        <v>-</v>
      </c>
      <c r="BC31" s="286" t="str">
        <f t="shared" si="25"/>
        <v>-</v>
      </c>
      <c r="BD31" s="286" t="str">
        <f t="shared" si="29"/>
        <v>-</v>
      </c>
      <c r="BE31" s="286" t="str">
        <f>IF(OR(W31="",W31="Sem monitoramento"),"VAZIO",IFERROR(W31/($AJ31*24),"-"))</f>
        <v>-</v>
      </c>
      <c r="BF31" s="286" t="str">
        <f t="shared" si="30"/>
        <v>-</v>
      </c>
      <c r="BG31" s="286" t="str">
        <f t="shared" si="26"/>
        <v>-</v>
      </c>
      <c r="BH31" s="286" t="str">
        <f>IF(OR(Z31="",Z31="Sem monitoramento"),"VAZIO",IFERROR(Z31/($AJ31*24),"-"))</f>
        <v>-</v>
      </c>
      <c r="BI31" s="286" t="str">
        <f>IF(OR(AA31="",AA31="Sem monitoramento"),"VAZIO",IFERROR(AA31/($AJ31*24),"-"))</f>
        <v>-</v>
      </c>
      <c r="BJ31" s="286" t="str">
        <f t="shared" si="22"/>
        <v>-</v>
      </c>
      <c r="BK31" s="286" t="str">
        <f t="shared" si="16"/>
        <v>-</v>
      </c>
      <c r="BL31" s="286" t="str">
        <f t="shared" si="16"/>
        <v>-</v>
      </c>
      <c r="BM31" s="286" t="str">
        <f t="shared" si="27"/>
        <v>-</v>
      </c>
      <c r="BN31" s="286" t="str">
        <f t="shared" si="27"/>
        <v>-</v>
      </c>
      <c r="BO31" s="286" t="str">
        <f>IF(OR(AG31="",AG31="Sem monitoramento"),"VAZIO",IFERROR(AG31/($AJ31*24),"-"))</f>
        <v>-</v>
      </c>
      <c r="BP31" s="286" t="e">
        <f t="shared" si="5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10893.3</v>
      </c>
      <c r="E32" s="103">
        <f>SUM(E5:E31)</f>
        <v>11812.4</v>
      </c>
      <c r="F32" s="103">
        <f>SUM(F5:F31)</f>
        <v>8956.4999999999982</v>
      </c>
      <c r="G32" s="103">
        <f>SUM(G5:G31)</f>
        <v>8637.2999999999993</v>
      </c>
      <c r="H32" s="103">
        <f t="shared" ref="H32:AH32" si="35">SUM(H5:H31)</f>
        <v>11486</v>
      </c>
      <c r="I32" s="103">
        <f t="shared" si="35"/>
        <v>10982.499999999998</v>
      </c>
      <c r="J32" s="103">
        <f t="shared" si="35"/>
        <v>8184.2999999999993</v>
      </c>
      <c r="K32" s="103">
        <f t="shared" si="35"/>
        <v>9434.2999999999993</v>
      </c>
      <c r="L32" s="103">
        <f t="shared" si="35"/>
        <v>8144.9999999999991</v>
      </c>
      <c r="M32" s="103">
        <f t="shared" si="35"/>
        <v>10770.3</v>
      </c>
      <c r="N32" s="103">
        <f t="shared" si="35"/>
        <v>11401</v>
      </c>
      <c r="O32" s="103">
        <f t="shared" si="35"/>
        <v>4618</v>
      </c>
      <c r="P32" s="103">
        <f t="shared" si="35"/>
        <v>4784</v>
      </c>
      <c r="Q32" s="103">
        <f t="shared" si="35"/>
        <v>5752.1999999999989</v>
      </c>
      <c r="R32" s="103">
        <f t="shared" si="35"/>
        <v>5870.7999999999993</v>
      </c>
      <c r="S32" s="103">
        <f t="shared" si="35"/>
        <v>9295</v>
      </c>
      <c r="T32" s="103">
        <f>SUM(T5:T31)</f>
        <v>11936</v>
      </c>
      <c r="U32" s="103">
        <f>SUM(U5:U31)</f>
        <v>12028</v>
      </c>
      <c r="V32" s="103">
        <f t="shared" si="35"/>
        <v>11967</v>
      </c>
      <c r="W32" s="103">
        <f t="shared" si="35"/>
        <v>10656</v>
      </c>
      <c r="X32" s="103">
        <f t="shared" si="35"/>
        <v>10973</v>
      </c>
      <c r="Y32" s="103">
        <f t="shared" si="35"/>
        <v>11117.1</v>
      </c>
      <c r="Z32" s="103">
        <f t="shared" si="35"/>
        <v>10911.499999999998</v>
      </c>
      <c r="AA32" s="103">
        <f t="shared" si="35"/>
        <v>10832.100000000002</v>
      </c>
      <c r="AB32" s="103">
        <f>SUM(AB5:AB31)</f>
        <v>10186.700000000001</v>
      </c>
      <c r="AC32" s="103">
        <f t="shared" si="35"/>
        <v>8319.6999999999989</v>
      </c>
      <c r="AD32" s="103">
        <f t="shared" si="35"/>
        <v>8055.1</v>
      </c>
      <c r="AE32" s="103">
        <f t="shared" si="35"/>
        <v>9603.9000000000015</v>
      </c>
      <c r="AF32" s="103">
        <f t="shared" si="35"/>
        <v>6427.4000000000005</v>
      </c>
      <c r="AG32" s="103">
        <f t="shared" si="35"/>
        <v>7130.8999999999987</v>
      </c>
      <c r="AH32" s="103">
        <f t="shared" si="35"/>
        <v>8291</v>
      </c>
      <c r="AI32" s="189">
        <f>SUM(AI5:AI31)</f>
        <v>289458.30000000005</v>
      </c>
      <c r="AJ32" s="104">
        <f>SUM(AJ5:AJ31)</f>
        <v>2329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289,458 MWh</v>
      </c>
      <c r="AJ33" s="2"/>
      <c r="AN33" s="778">
        <v>12</v>
      </c>
      <c r="AW33">
        <v>1000</v>
      </c>
      <c r="AX33">
        <v>1000</v>
      </c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9648,61 kWh</v>
      </c>
      <c r="AJ34" s="2"/>
      <c r="AK34" s="2"/>
      <c r="AL34" s="2"/>
      <c r="AM34" s="2"/>
      <c r="AN34" s="779"/>
      <c r="AV34">
        <v>900</v>
      </c>
      <c r="AW34">
        <v>100</v>
      </c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289458,3 kWh</v>
      </c>
      <c r="AJ35" s="2"/>
      <c r="AK35" s="2"/>
      <c r="AL35" s="2"/>
      <c r="AM35" s="2"/>
      <c r="AN35" s="780"/>
      <c r="BR35" s="2"/>
      <c r="BT35" s="109"/>
      <c r="BU35" s="5" t="s">
        <v>116</v>
      </c>
    </row>
    <row r="36" spans="2:76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289,458 MWh</v>
      </c>
      <c r="AN36" s="778">
        <v>67</v>
      </c>
    </row>
    <row r="37" spans="2:76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C37">
        <v>53196</v>
      </c>
      <c r="AN37" s="779"/>
    </row>
    <row r="38" spans="2:76" x14ac:dyDescent="0.3">
      <c r="AC38">
        <v>60.6</v>
      </c>
      <c r="AN38" s="780"/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  <c r="AN39" s="778">
        <v>49</v>
      </c>
    </row>
    <row r="40" spans="2:76" x14ac:dyDescent="0.3">
      <c r="N40">
        <v>91151.5</v>
      </c>
      <c r="O40">
        <f>N41-N40</f>
        <v>734</v>
      </c>
      <c r="X40" s="102"/>
      <c r="AF40">
        <f>AF39-20.4</f>
        <v>53905.2</v>
      </c>
      <c r="AI40">
        <v>289</v>
      </c>
      <c r="AN40" s="779"/>
    </row>
    <row r="41" spans="2:76" x14ac:dyDescent="0.3">
      <c r="N41">
        <v>91885.5</v>
      </c>
      <c r="X41" s="102"/>
      <c r="AF41">
        <f>AF40-AD39</f>
        <v>263.19999999999709</v>
      </c>
      <c r="AI41">
        <v>312</v>
      </c>
      <c r="AN41" s="780"/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  <c r="AN42" s="778">
        <v>33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  <c r="AN43" s="779"/>
    </row>
    <row r="44" spans="2:76" x14ac:dyDescent="0.3">
      <c r="B44" s="751" t="s">
        <v>6</v>
      </c>
      <c r="C44" s="18" t="s">
        <v>7</v>
      </c>
      <c r="D44" s="163">
        <f>D5+Agosto23!AF41</f>
        <v>48899.200000000004</v>
      </c>
      <c r="E44" s="164">
        <f t="shared" ref="E44:F59" si="36">D44+E5</f>
        <v>48957.200000000004</v>
      </c>
      <c r="F44" s="164">
        <f t="shared" si="36"/>
        <v>48998.100000000006</v>
      </c>
      <c r="G44" s="165">
        <v>49036.4</v>
      </c>
      <c r="H44" s="166">
        <v>49076</v>
      </c>
      <c r="I44" s="163">
        <f t="shared" ref="I44:V59" si="37">H44+I5</f>
        <v>49125.4</v>
      </c>
      <c r="J44" s="163">
        <f t="shared" si="37"/>
        <v>49159</v>
      </c>
      <c r="K44" s="163">
        <f t="shared" si="37"/>
        <v>49207</v>
      </c>
      <c r="L44" s="163">
        <f t="shared" si="37"/>
        <v>49243.8</v>
      </c>
      <c r="M44" s="163">
        <f t="shared" si="37"/>
        <v>49288.100000000006</v>
      </c>
      <c r="N44" s="163">
        <f t="shared" si="37"/>
        <v>49333.8</v>
      </c>
      <c r="O44" s="163">
        <f t="shared" si="37"/>
        <v>49352.800000000003</v>
      </c>
      <c r="P44" s="163">
        <f t="shared" si="37"/>
        <v>49379.8</v>
      </c>
      <c r="Q44" s="163">
        <f t="shared" si="37"/>
        <v>49401.9</v>
      </c>
      <c r="R44" s="163">
        <f t="shared" si="37"/>
        <v>49419.5</v>
      </c>
      <c r="S44" s="163">
        <f t="shared" si="37"/>
        <v>49459.5</v>
      </c>
      <c r="T44" s="163">
        <f t="shared" si="37"/>
        <v>49520.5</v>
      </c>
      <c r="U44" s="163">
        <f t="shared" si="37"/>
        <v>49589.5</v>
      </c>
      <c r="V44" s="163">
        <f t="shared" si="37"/>
        <v>49654.5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  <c r="AN44" s="780"/>
    </row>
    <row r="45" spans="2:76" x14ac:dyDescent="0.3">
      <c r="B45" s="752"/>
      <c r="C45" s="18" t="s">
        <v>8</v>
      </c>
      <c r="D45" s="163">
        <f>D6+Agosto23!AF42</f>
        <v>98905.5</v>
      </c>
      <c r="E45" s="164">
        <f t="shared" si="36"/>
        <v>99051.1</v>
      </c>
      <c r="F45" s="164">
        <f t="shared" si="36"/>
        <v>99150.900000000009</v>
      </c>
      <c r="G45" s="165">
        <f>21775+78123.8</f>
        <v>99898.8</v>
      </c>
      <c r="H45" s="166">
        <f>21823+78322.8</f>
        <v>100145.8</v>
      </c>
      <c r="I45" s="163">
        <f t="shared" si="37"/>
        <v>100255.5</v>
      </c>
      <c r="J45" s="163">
        <f t="shared" si="37"/>
        <v>100346.4</v>
      </c>
      <c r="K45" s="163">
        <f t="shared" si="37"/>
        <v>100454.2</v>
      </c>
      <c r="L45" s="163">
        <f t="shared" si="37"/>
        <v>100538.2</v>
      </c>
      <c r="M45" s="163">
        <f t="shared" si="37"/>
        <v>100625.59999999999</v>
      </c>
      <c r="N45" s="163">
        <f t="shared" si="37"/>
        <v>100731.9</v>
      </c>
      <c r="O45" s="163">
        <f t="shared" si="37"/>
        <v>100779.9</v>
      </c>
      <c r="P45" s="163">
        <f t="shared" si="37"/>
        <v>100842.9</v>
      </c>
      <c r="Q45" s="163">
        <f t="shared" si="37"/>
        <v>100894.9</v>
      </c>
      <c r="R45" s="163">
        <f t="shared" si="37"/>
        <v>100936.4</v>
      </c>
      <c r="S45" s="163">
        <f t="shared" si="37"/>
        <v>101031.4</v>
      </c>
      <c r="T45" s="163">
        <f t="shared" si="37"/>
        <v>101171.4</v>
      </c>
      <c r="U45" s="163">
        <f t="shared" si="37"/>
        <v>101334.39999999999</v>
      </c>
      <c r="V45" s="163">
        <f t="shared" si="37"/>
        <v>101487.4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  <c r="AN45" s="778">
        <v>12</v>
      </c>
    </row>
    <row r="46" spans="2:76" x14ac:dyDescent="0.3">
      <c r="B46" s="752"/>
      <c r="C46" s="18" t="s">
        <v>9</v>
      </c>
      <c r="D46" s="163">
        <f>D7+Agosto23!AF43</f>
        <v>69901.899999999994</v>
      </c>
      <c r="E46" s="164">
        <f t="shared" si="36"/>
        <v>70136.5</v>
      </c>
      <c r="F46" s="164">
        <f t="shared" si="36"/>
        <v>70310.899999999994</v>
      </c>
      <c r="G46" s="165">
        <v>70458.2</v>
      </c>
      <c r="H46" s="166">
        <v>70615.5</v>
      </c>
      <c r="I46" s="163">
        <f t="shared" si="37"/>
        <v>70816.100000000006</v>
      </c>
      <c r="J46" s="163">
        <f t="shared" si="37"/>
        <v>70963.3</v>
      </c>
      <c r="K46" s="163">
        <f t="shared" si="37"/>
        <v>71170</v>
      </c>
      <c r="L46" s="163">
        <f t="shared" si="37"/>
        <v>71328.3</v>
      </c>
      <c r="M46" s="163">
        <f t="shared" si="37"/>
        <v>71526</v>
      </c>
      <c r="N46" s="163">
        <f t="shared" si="37"/>
        <v>71718.399999999994</v>
      </c>
      <c r="O46" s="163">
        <f t="shared" si="37"/>
        <v>71805.399999999994</v>
      </c>
      <c r="P46" s="163">
        <f t="shared" si="37"/>
        <v>71927.399999999994</v>
      </c>
      <c r="Q46" s="163">
        <f t="shared" si="37"/>
        <v>72026.399999999994</v>
      </c>
      <c r="R46" s="163">
        <f t="shared" si="37"/>
        <v>72107.299999999988</v>
      </c>
      <c r="S46" s="163">
        <f t="shared" si="37"/>
        <v>72291.299999999988</v>
      </c>
      <c r="T46" s="163">
        <f t="shared" si="37"/>
        <v>72557.299999999988</v>
      </c>
      <c r="U46" s="163" t="e">
        <f>T46+#REF!</f>
        <v>#REF!</v>
      </c>
      <c r="V46" s="163" t="e">
        <f t="shared" si="37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  <c r="AN46" s="779"/>
    </row>
    <row r="47" spans="2:76" x14ac:dyDescent="0.3">
      <c r="B47" s="752"/>
      <c r="C47" s="18" t="s">
        <v>10</v>
      </c>
      <c r="D47" s="163">
        <f>D8+Agosto23!AF44</f>
        <v>95756.599999999991</v>
      </c>
      <c r="E47" s="164">
        <f t="shared" si="36"/>
        <v>95891.599999999991</v>
      </c>
      <c r="F47" s="164">
        <f t="shared" si="36"/>
        <v>95989.2</v>
      </c>
      <c r="G47" s="165">
        <v>96154</v>
      </c>
      <c r="H47" s="166">
        <v>96261.9</v>
      </c>
      <c r="I47" s="163" t="e">
        <f>H47+#REF!</f>
        <v>#REF!</v>
      </c>
      <c r="J47" s="163" t="e">
        <f t="shared" si="37"/>
        <v>#REF!</v>
      </c>
      <c r="K47" s="163" t="e">
        <f t="shared" si="37"/>
        <v>#REF!</v>
      </c>
      <c r="L47" s="163" t="e">
        <f t="shared" si="37"/>
        <v>#REF!</v>
      </c>
      <c r="M47" s="163" t="e">
        <f t="shared" si="37"/>
        <v>#REF!</v>
      </c>
      <c r="N47" s="163" t="e">
        <f t="shared" si="37"/>
        <v>#REF!</v>
      </c>
      <c r="O47" s="163" t="e">
        <f t="shared" si="37"/>
        <v>#REF!</v>
      </c>
      <c r="P47" s="163" t="e">
        <f t="shared" si="37"/>
        <v>#REF!</v>
      </c>
      <c r="Q47" s="163" t="e">
        <f t="shared" si="37"/>
        <v>#REF!</v>
      </c>
      <c r="R47" s="163" t="e">
        <f t="shared" si="37"/>
        <v>#REF!</v>
      </c>
      <c r="S47" s="163" t="e">
        <f t="shared" si="37"/>
        <v>#REF!</v>
      </c>
      <c r="T47" s="163" t="e">
        <f t="shared" si="37"/>
        <v>#REF!</v>
      </c>
      <c r="U47" s="163" t="e">
        <f>T47+#REF!</f>
        <v>#REF!</v>
      </c>
      <c r="V47" s="163" t="e">
        <f t="shared" si="37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  <c r="AN47" s="780"/>
    </row>
    <row r="48" spans="2:76" x14ac:dyDescent="0.3">
      <c r="B48" s="752"/>
      <c r="C48" s="18" t="s">
        <v>11</v>
      </c>
      <c r="D48" s="163">
        <f>D10+Agosto23!AF45</f>
        <v>18829.3</v>
      </c>
      <c r="E48" s="164">
        <f t="shared" si="36"/>
        <v>18882.899999999998</v>
      </c>
      <c r="F48" s="164">
        <f t="shared" si="36"/>
        <v>18924.8</v>
      </c>
      <c r="G48" s="165">
        <v>18957</v>
      </c>
      <c r="H48" s="166">
        <v>18998</v>
      </c>
      <c r="I48" s="163">
        <f t="shared" si="37"/>
        <v>19038.2</v>
      </c>
      <c r="J48" s="163">
        <f>I48+J10</f>
        <v>19069.100000000002</v>
      </c>
      <c r="K48" s="163">
        <f t="shared" si="37"/>
        <v>19113.900000000001</v>
      </c>
      <c r="L48" s="163">
        <f t="shared" si="37"/>
        <v>19149.800000000003</v>
      </c>
      <c r="M48" s="163">
        <f t="shared" si="37"/>
        <v>19190.400000000001</v>
      </c>
      <c r="N48" s="163">
        <f t="shared" si="37"/>
        <v>19237.100000000002</v>
      </c>
      <c r="O48" s="163">
        <f t="shared" si="37"/>
        <v>19256.100000000002</v>
      </c>
      <c r="P48" s="163">
        <f>O48+P10</f>
        <v>19275.100000000002</v>
      </c>
      <c r="Q48" s="163">
        <f t="shared" si="37"/>
        <v>19296.300000000003</v>
      </c>
      <c r="R48" s="163">
        <f t="shared" si="37"/>
        <v>19313.200000000004</v>
      </c>
      <c r="S48" s="163">
        <f t="shared" si="37"/>
        <v>19351.200000000004</v>
      </c>
      <c r="T48" s="163">
        <f t="shared" si="37"/>
        <v>19404.200000000004</v>
      </c>
      <c r="U48" s="163">
        <f>T48+U7</f>
        <v>19707.200000000004</v>
      </c>
      <c r="V48" s="163">
        <f t="shared" si="37"/>
        <v>19764.200000000004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  <c r="AN48" s="778">
        <v>25</v>
      </c>
    </row>
    <row r="49" spans="2:40" x14ac:dyDescent="0.3">
      <c r="B49" s="752"/>
      <c r="C49" s="18" t="s">
        <v>12</v>
      </c>
      <c r="D49" s="163" t="e">
        <f>#REF!+Agosto23!AF46</f>
        <v>#REF!</v>
      </c>
      <c r="E49" s="164" t="e">
        <f t="shared" si="36"/>
        <v>#REF!</v>
      </c>
      <c r="F49" s="164" t="e">
        <f t="shared" si="36"/>
        <v>#REF!</v>
      </c>
      <c r="G49" s="165">
        <v>58550</v>
      </c>
      <c r="H49" s="166">
        <v>58640</v>
      </c>
      <c r="I49" s="163">
        <f>H49+I8</f>
        <v>58751.3</v>
      </c>
      <c r="J49" s="163" t="e">
        <f>I49+#REF!</f>
        <v>#REF!</v>
      </c>
      <c r="K49" s="163" t="e">
        <f t="shared" si="37"/>
        <v>#REF!</v>
      </c>
      <c r="L49" s="163" t="e">
        <f t="shared" si="37"/>
        <v>#REF!</v>
      </c>
      <c r="M49" s="163" t="e">
        <f t="shared" si="37"/>
        <v>#REF!</v>
      </c>
      <c r="N49" s="163" t="e">
        <f t="shared" si="37"/>
        <v>#REF!</v>
      </c>
      <c r="O49" s="163" t="e">
        <f t="shared" si="37"/>
        <v>#REF!</v>
      </c>
      <c r="P49" s="163" t="e">
        <f>O49+#REF!</f>
        <v>#REF!</v>
      </c>
      <c r="Q49" s="163" t="e">
        <f t="shared" si="37"/>
        <v>#REF!</v>
      </c>
      <c r="R49" s="163" t="e">
        <f t="shared" si="37"/>
        <v>#REF!</v>
      </c>
      <c r="S49" s="163" t="e">
        <f t="shared" si="37"/>
        <v>#REF!</v>
      </c>
      <c r="T49" s="163" t="e">
        <f t="shared" si="37"/>
        <v>#REF!</v>
      </c>
      <c r="U49" s="163" t="e">
        <f>T49+U8</f>
        <v>#REF!</v>
      </c>
      <c r="V49" s="163" t="e">
        <f t="shared" si="37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  <c r="AN49" s="779"/>
    </row>
    <row r="50" spans="2:40" x14ac:dyDescent="0.3">
      <c r="B50" s="752"/>
      <c r="C50" s="18" t="s">
        <v>13</v>
      </c>
      <c r="D50" s="163">
        <f>D11+Agosto23!AF47</f>
        <v>230325.80000000002</v>
      </c>
      <c r="E50" s="164">
        <f t="shared" si="36"/>
        <v>230703.2</v>
      </c>
      <c r="F50" s="164">
        <f t="shared" si="36"/>
        <v>230985.90000000002</v>
      </c>
      <c r="G50" s="165">
        <v>231148.9</v>
      </c>
      <c r="H50" s="166">
        <v>231319.5</v>
      </c>
      <c r="I50" s="163">
        <f t="shared" si="37"/>
        <v>231671.6</v>
      </c>
      <c r="J50" s="163">
        <f t="shared" si="37"/>
        <v>231928.2</v>
      </c>
      <c r="K50" s="163">
        <f t="shared" si="37"/>
        <v>232245.90000000002</v>
      </c>
      <c r="L50" s="163">
        <f t="shared" si="37"/>
        <v>232496.90000000002</v>
      </c>
      <c r="M50" s="163">
        <f>L50+M12</f>
        <v>232739.60000000003</v>
      </c>
      <c r="N50" s="163">
        <f t="shared" si="37"/>
        <v>233161.60000000003</v>
      </c>
      <c r="O50" s="163">
        <f t="shared" si="37"/>
        <v>233303.60000000003</v>
      </c>
      <c r="P50" s="163">
        <f t="shared" si="37"/>
        <v>233506.60000000003</v>
      </c>
      <c r="Q50" s="163">
        <f t="shared" si="37"/>
        <v>233693.20000000004</v>
      </c>
      <c r="R50" s="163">
        <f t="shared" si="37"/>
        <v>233882.20000000004</v>
      </c>
      <c r="S50" s="163">
        <f t="shared" si="37"/>
        <v>234155.20000000004</v>
      </c>
      <c r="T50" s="163">
        <f t="shared" si="37"/>
        <v>234538.20000000004</v>
      </c>
      <c r="U50" s="163">
        <f t="shared" si="37"/>
        <v>234950.20000000004</v>
      </c>
      <c r="V50" s="163">
        <f t="shared" si="37"/>
        <v>235386.20000000004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  <c r="AN50" s="780"/>
    </row>
    <row r="51" spans="2:40" x14ac:dyDescent="0.3">
      <c r="B51" s="753"/>
      <c r="C51" s="18" t="s">
        <v>14</v>
      </c>
      <c r="D51" s="163">
        <f>D12+Agosto23!AF48</f>
        <v>884.1</v>
      </c>
      <c r="E51" s="164">
        <f t="shared" si="36"/>
        <v>1182.9000000000001</v>
      </c>
      <c r="F51" s="164">
        <f t="shared" si="36"/>
        <v>1494.2</v>
      </c>
      <c r="G51" s="165">
        <v>1440</v>
      </c>
      <c r="H51" s="166">
        <v>1620</v>
      </c>
      <c r="I51" s="163">
        <f t="shared" si="37"/>
        <v>1887.2</v>
      </c>
      <c r="J51" s="163">
        <f t="shared" si="37"/>
        <v>2097.5</v>
      </c>
      <c r="K51" s="163">
        <f t="shared" si="37"/>
        <v>2342.6</v>
      </c>
      <c r="L51" s="163">
        <f t="shared" si="37"/>
        <v>2532.1</v>
      </c>
      <c r="M51" s="163">
        <f>L51+M13</f>
        <v>2922.4</v>
      </c>
      <c r="N51" s="163">
        <f t="shared" si="37"/>
        <v>3165.2000000000003</v>
      </c>
      <c r="O51" s="163">
        <f t="shared" si="37"/>
        <v>3277.2000000000003</v>
      </c>
      <c r="P51" s="163">
        <f t="shared" si="37"/>
        <v>3415.2000000000003</v>
      </c>
      <c r="Q51" s="163">
        <f t="shared" si="37"/>
        <v>3533.5000000000005</v>
      </c>
      <c r="R51" s="163">
        <f t="shared" si="37"/>
        <v>3628.7000000000003</v>
      </c>
      <c r="S51" s="163">
        <f t="shared" si="37"/>
        <v>3845.7000000000003</v>
      </c>
      <c r="T51" s="163">
        <f t="shared" si="37"/>
        <v>4165.7000000000007</v>
      </c>
      <c r="U51" s="163">
        <f t="shared" si="37"/>
        <v>4520.7000000000007</v>
      </c>
      <c r="V51" s="163">
        <f t="shared" si="37"/>
        <v>4878.7000000000007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  <c r="AN51" s="778">
        <v>78</v>
      </c>
    </row>
    <row r="52" spans="2:40" x14ac:dyDescent="0.3">
      <c r="B52" s="751" t="s">
        <v>16</v>
      </c>
      <c r="C52" s="18" t="s">
        <v>17</v>
      </c>
      <c r="D52" s="163">
        <f>D13+Agosto23!AF49</f>
        <v>137419.70000000001</v>
      </c>
      <c r="E52" s="164">
        <f t="shared" si="36"/>
        <v>137916.5</v>
      </c>
      <c r="F52" s="164">
        <f t="shared" si="36"/>
        <v>138292.29999999999</v>
      </c>
      <c r="G52" s="165">
        <v>138545</v>
      </c>
      <c r="H52" s="166">
        <v>138937</v>
      </c>
      <c r="I52" s="163">
        <f t="shared" si="37"/>
        <v>139321.70000000001</v>
      </c>
      <c r="J52" s="163">
        <f t="shared" si="37"/>
        <v>139697.30000000002</v>
      </c>
      <c r="K52" s="163">
        <f t="shared" si="37"/>
        <v>140088.6</v>
      </c>
      <c r="L52" s="163">
        <f t="shared" si="37"/>
        <v>140396</v>
      </c>
      <c r="M52" s="163" t="e">
        <f>L52+#REF!</f>
        <v>#REF!</v>
      </c>
      <c r="N52" s="163" t="e">
        <f t="shared" si="37"/>
        <v>#REF!</v>
      </c>
      <c r="O52" s="163" t="e">
        <f t="shared" si="37"/>
        <v>#REF!</v>
      </c>
      <c r="P52" s="163" t="e">
        <f t="shared" si="37"/>
        <v>#REF!</v>
      </c>
      <c r="Q52" s="163" t="e">
        <f t="shared" si="37"/>
        <v>#REF!</v>
      </c>
      <c r="R52" s="163" t="e">
        <f t="shared" si="37"/>
        <v>#REF!</v>
      </c>
      <c r="S52" s="163" t="e">
        <f t="shared" si="37"/>
        <v>#REF!</v>
      </c>
      <c r="T52" s="163" t="e">
        <f t="shared" si="37"/>
        <v>#REF!</v>
      </c>
      <c r="U52" s="163" t="e">
        <f t="shared" si="37"/>
        <v>#REF!</v>
      </c>
      <c r="V52" s="163" t="e">
        <f t="shared" si="37"/>
        <v>#REF!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  <c r="AN52" s="779"/>
    </row>
    <row r="53" spans="2:40" x14ac:dyDescent="0.3">
      <c r="B53" s="752"/>
      <c r="C53" s="18" t="s">
        <v>18</v>
      </c>
      <c r="D53" s="163">
        <f>D14+Agosto23!AF50</f>
        <v>127759.3</v>
      </c>
      <c r="E53" s="164">
        <f t="shared" si="36"/>
        <v>128291.40000000001</v>
      </c>
      <c r="F53" s="164">
        <f t="shared" si="36"/>
        <v>128695.20000000001</v>
      </c>
      <c r="G53" s="165">
        <v>128878</v>
      </c>
      <c r="H53" s="166">
        <v>129112</v>
      </c>
      <c r="I53" s="163">
        <f t="shared" si="37"/>
        <v>129593.7</v>
      </c>
      <c r="J53" s="163">
        <f t="shared" si="37"/>
        <v>129959.5</v>
      </c>
      <c r="K53" s="163">
        <f t="shared" si="37"/>
        <v>130387.2</v>
      </c>
      <c r="L53" s="163">
        <f t="shared" si="37"/>
        <v>130745.7</v>
      </c>
      <c r="M53" s="163">
        <f t="shared" si="37"/>
        <v>131227.79999999999</v>
      </c>
      <c r="N53" s="163">
        <f t="shared" si="37"/>
        <v>131793.09999999998</v>
      </c>
      <c r="O53" s="163">
        <f>N53+O14</f>
        <v>131985.09999999998</v>
      </c>
      <c r="P53" s="163">
        <f t="shared" si="37"/>
        <v>132259.09999999998</v>
      </c>
      <c r="Q53" s="163">
        <f t="shared" si="37"/>
        <v>132513.19999999998</v>
      </c>
      <c r="R53" s="163">
        <f t="shared" si="37"/>
        <v>132770.79999999999</v>
      </c>
      <c r="S53" s="163">
        <f t="shared" si="37"/>
        <v>133151.79999999999</v>
      </c>
      <c r="T53" s="163" t="e">
        <f>S53+#REF!</f>
        <v>#REF!</v>
      </c>
      <c r="U53" s="163" t="e">
        <f>T53+U14</f>
        <v>#REF!</v>
      </c>
      <c r="V53" s="163" t="e">
        <f t="shared" si="37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  <c r="AN53" s="780"/>
    </row>
    <row r="54" spans="2:40" x14ac:dyDescent="0.3">
      <c r="B54" s="752"/>
      <c r="C54" s="18" t="s">
        <v>19</v>
      </c>
      <c r="D54" s="163">
        <f>D15+Agosto23!AF51</f>
        <v>37841.4</v>
      </c>
      <c r="E54" s="164">
        <f t="shared" si="36"/>
        <v>37990.1</v>
      </c>
      <c r="F54" s="164">
        <f t="shared" si="36"/>
        <v>38106.799999999996</v>
      </c>
      <c r="G54" s="165">
        <v>38160</v>
      </c>
      <c r="H54" s="166">
        <v>38222</v>
      </c>
      <c r="I54" s="163">
        <f t="shared" si="37"/>
        <v>38357.9</v>
      </c>
      <c r="J54" s="163">
        <f t="shared" si="37"/>
        <v>38452.400000000001</v>
      </c>
      <c r="K54" s="163">
        <f t="shared" si="37"/>
        <v>38574</v>
      </c>
      <c r="L54" s="163">
        <f t="shared" si="37"/>
        <v>38674.5</v>
      </c>
      <c r="M54" s="163">
        <f t="shared" si="37"/>
        <v>38811.699999999997</v>
      </c>
      <c r="N54" s="163">
        <f t="shared" si="37"/>
        <v>38973.199999999997</v>
      </c>
      <c r="O54" s="163">
        <f>N54+O15</f>
        <v>39023.199999999997</v>
      </c>
      <c r="P54" s="163">
        <f t="shared" si="37"/>
        <v>39096.199999999997</v>
      </c>
      <c r="Q54" s="163">
        <f t="shared" si="37"/>
        <v>39163.1</v>
      </c>
      <c r="R54" s="163">
        <f t="shared" si="37"/>
        <v>39231.199999999997</v>
      </c>
      <c r="S54" s="163">
        <f t="shared" si="37"/>
        <v>39334.199999999997</v>
      </c>
      <c r="T54" s="163">
        <f>S54+T15</f>
        <v>39495.199999999997</v>
      </c>
      <c r="U54" s="163">
        <f>T54+U15</f>
        <v>39653.199999999997</v>
      </c>
      <c r="V54" s="163">
        <f t="shared" si="37"/>
        <v>39817.199999999997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  <c r="AN54" s="778">
        <v>60</v>
      </c>
    </row>
    <row r="55" spans="2:40" x14ac:dyDescent="0.3">
      <c r="B55" s="753"/>
      <c r="C55" s="18" t="s">
        <v>20</v>
      </c>
      <c r="D55" s="163">
        <f>D16+Agosto23!AF52</f>
        <v>97365.099999999991</v>
      </c>
      <c r="E55" s="164">
        <f t="shared" si="36"/>
        <v>97861.099999999991</v>
      </c>
      <c r="F55" s="164">
        <f t="shared" si="36"/>
        <v>98295.599999999991</v>
      </c>
      <c r="G55" s="165">
        <v>98510</v>
      </c>
      <c r="H55" s="166">
        <v>98809</v>
      </c>
      <c r="I55" s="163">
        <f t="shared" si="37"/>
        <v>99215.2</v>
      </c>
      <c r="J55" s="163">
        <f t="shared" si="37"/>
        <v>99540.599999999991</v>
      </c>
      <c r="K55" s="163">
        <f t="shared" si="37"/>
        <v>99917.799999999988</v>
      </c>
      <c r="L55" s="163">
        <f t="shared" si="37"/>
        <v>100241.79999999999</v>
      </c>
      <c r="M55" s="163">
        <f t="shared" si="37"/>
        <v>100677.19999999998</v>
      </c>
      <c r="N55" s="163">
        <f t="shared" si="37"/>
        <v>101218.19999999998</v>
      </c>
      <c r="O55" s="163">
        <f t="shared" si="37"/>
        <v>101373.19999999998</v>
      </c>
      <c r="P55" s="163">
        <f t="shared" si="37"/>
        <v>101618.19999999998</v>
      </c>
      <c r="Q55" s="163">
        <f t="shared" si="37"/>
        <v>101871.79999999999</v>
      </c>
      <c r="R55" s="163">
        <f t="shared" si="37"/>
        <v>102059.59999999999</v>
      </c>
      <c r="S55" s="163">
        <f t="shared" si="37"/>
        <v>102426.59999999999</v>
      </c>
      <c r="T55" s="163">
        <f>S55+T14</f>
        <v>102968.59999999999</v>
      </c>
      <c r="U55" s="163">
        <f t="shared" si="37"/>
        <v>103534.59999999999</v>
      </c>
      <c r="V55" s="163">
        <f t="shared" si="37"/>
        <v>103978.59999999999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  <c r="AN55" s="779"/>
    </row>
    <row r="56" spans="2:40" x14ac:dyDescent="0.3">
      <c r="B56" s="754" t="s">
        <v>21</v>
      </c>
      <c r="C56" s="18" t="s">
        <v>22</v>
      </c>
      <c r="D56" s="163">
        <f>D17+Agosto23!AF53</f>
        <v>66168.700000000012</v>
      </c>
      <c r="E56" s="164">
        <f t="shared" si="36"/>
        <v>66718.100000000006</v>
      </c>
      <c r="F56" s="164">
        <f t="shared" si="36"/>
        <v>67159.400000000009</v>
      </c>
      <c r="G56" s="165">
        <v>67299</v>
      </c>
      <c r="H56" s="166">
        <v>67726</v>
      </c>
      <c r="I56" s="163">
        <f t="shared" si="37"/>
        <v>68237.8</v>
      </c>
      <c r="J56" s="163">
        <f t="shared" si="37"/>
        <v>68633.400000000009</v>
      </c>
      <c r="K56" s="163" t="e">
        <f>J56+#REF!</f>
        <v>#REF!</v>
      </c>
      <c r="L56" s="163" t="e">
        <f t="shared" si="37"/>
        <v>#REF!</v>
      </c>
      <c r="M56" s="163" t="e">
        <f t="shared" si="37"/>
        <v>#REF!</v>
      </c>
      <c r="N56" s="163" t="e">
        <f>M56+N18</f>
        <v>#REF!</v>
      </c>
      <c r="O56" s="163" t="e">
        <f t="shared" si="37"/>
        <v>#REF!</v>
      </c>
      <c r="P56" s="163" t="e">
        <f t="shared" si="37"/>
        <v>#REF!</v>
      </c>
      <c r="Q56" s="163" t="e">
        <f t="shared" si="37"/>
        <v>#REF!</v>
      </c>
      <c r="R56" s="163" t="e">
        <f t="shared" si="37"/>
        <v>#REF!</v>
      </c>
      <c r="S56" s="163" t="e">
        <f t="shared" si="37"/>
        <v>#REF!</v>
      </c>
      <c r="T56" s="163" t="e">
        <f t="shared" si="37"/>
        <v>#REF!</v>
      </c>
      <c r="U56" s="163" t="e">
        <f t="shared" si="37"/>
        <v>#REF!</v>
      </c>
      <c r="V56" s="163" t="e">
        <f t="shared" si="37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  <c r="AN56" s="780"/>
    </row>
    <row r="57" spans="2:40" x14ac:dyDescent="0.3">
      <c r="B57" s="754"/>
      <c r="C57" s="18" t="s">
        <v>23</v>
      </c>
      <c r="D57" s="163">
        <f>D18+Agosto23!AF54</f>
        <v>74748.5</v>
      </c>
      <c r="E57" s="164">
        <f t="shared" si="36"/>
        <v>75309.2</v>
      </c>
      <c r="F57" s="164">
        <f t="shared" si="36"/>
        <v>75764.399999999994</v>
      </c>
      <c r="G57" s="165">
        <v>75901</v>
      </c>
      <c r="H57" s="166">
        <v>76333</v>
      </c>
      <c r="I57" s="163">
        <f t="shared" si="37"/>
        <v>76861.3</v>
      </c>
      <c r="J57" s="163">
        <f t="shared" si="37"/>
        <v>77269.600000000006</v>
      </c>
      <c r="K57" s="163">
        <f t="shared" si="37"/>
        <v>77801.3</v>
      </c>
      <c r="L57" s="163">
        <f t="shared" si="37"/>
        <v>78231.3</v>
      </c>
      <c r="M57" s="163">
        <f>L57+M19</f>
        <v>78698.7</v>
      </c>
      <c r="N57" s="163" t="e">
        <f>M57+#REF!</f>
        <v>#REF!</v>
      </c>
      <c r="O57" s="163" t="e">
        <f t="shared" si="37"/>
        <v>#REF!</v>
      </c>
      <c r="P57" s="163" t="e">
        <f t="shared" si="37"/>
        <v>#REF!</v>
      </c>
      <c r="Q57" s="163" t="e">
        <f>P57+Q19</f>
        <v>#REF!</v>
      </c>
      <c r="R57" s="163" t="e">
        <f>Q57+#REF!</f>
        <v>#REF!</v>
      </c>
      <c r="S57" s="163" t="e">
        <f t="shared" si="37"/>
        <v>#REF!</v>
      </c>
      <c r="T57" s="163" t="e">
        <f t="shared" si="37"/>
        <v>#REF!</v>
      </c>
      <c r="U57" s="163" t="e">
        <f t="shared" si="37"/>
        <v>#REF!</v>
      </c>
      <c r="V57" s="163" t="e">
        <f t="shared" si="37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  <c r="AN57" s="784">
        <v>100</v>
      </c>
    </row>
    <row r="58" spans="2:40" x14ac:dyDescent="0.3">
      <c r="B58" s="754"/>
      <c r="C58" s="18" t="s">
        <v>24</v>
      </c>
      <c r="D58" s="163">
        <f>D19+Agosto23!AF55</f>
        <v>136407</v>
      </c>
      <c r="E58" s="164">
        <f t="shared" si="36"/>
        <v>136863.5</v>
      </c>
      <c r="F58" s="164">
        <f t="shared" si="36"/>
        <v>137224.9</v>
      </c>
      <c r="G58" s="165">
        <v>137294</v>
      </c>
      <c r="H58" s="166">
        <v>137664</v>
      </c>
      <c r="I58" s="163">
        <f>H58+I19</f>
        <v>138084.6</v>
      </c>
      <c r="J58" s="163">
        <f t="shared" si="37"/>
        <v>138411.80000000002</v>
      </c>
      <c r="K58" s="163">
        <f t="shared" si="37"/>
        <v>138846.80000000002</v>
      </c>
      <c r="L58" s="163">
        <f>K58+L21</f>
        <v>139202.30000000002</v>
      </c>
      <c r="M58" s="163" t="e">
        <f>L58+#REF!</f>
        <v>#REF!</v>
      </c>
      <c r="N58" s="163" t="e">
        <f t="shared" si="37"/>
        <v>#REF!</v>
      </c>
      <c r="O58" s="163" t="e">
        <f t="shared" si="37"/>
        <v>#REF!</v>
      </c>
      <c r="P58" s="163" t="e">
        <f t="shared" si="37"/>
        <v>#REF!</v>
      </c>
      <c r="Q58" s="163" t="e">
        <f>P58+#REF!</f>
        <v>#REF!</v>
      </c>
      <c r="R58" s="163" t="e">
        <f t="shared" si="37"/>
        <v>#REF!</v>
      </c>
      <c r="S58" s="163" t="e">
        <f t="shared" si="37"/>
        <v>#REF!</v>
      </c>
      <c r="T58" s="163" t="e">
        <f t="shared" si="37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  <c r="AN58" s="785"/>
    </row>
    <row r="59" spans="2:40" x14ac:dyDescent="0.3">
      <c r="B59" s="754"/>
      <c r="C59" s="18" t="s">
        <v>25</v>
      </c>
      <c r="D59" s="163">
        <f>D20+Agosto23!AF56</f>
        <v>174817</v>
      </c>
      <c r="E59" s="164">
        <f t="shared" si="36"/>
        <v>175360</v>
      </c>
      <c r="F59" s="164">
        <f t="shared" si="36"/>
        <v>175793.7</v>
      </c>
      <c r="G59" s="165">
        <v>176032</v>
      </c>
      <c r="H59" s="166">
        <v>176536</v>
      </c>
      <c r="I59" s="163">
        <f>H59+I20</f>
        <v>177043.1</v>
      </c>
      <c r="J59" s="163">
        <f t="shared" si="37"/>
        <v>177458.1</v>
      </c>
      <c r="K59" s="163">
        <f>J59+K17</f>
        <v>177961.5</v>
      </c>
      <c r="L59" s="163">
        <f t="shared" si="37"/>
        <v>178388.2</v>
      </c>
      <c r="M59" s="163">
        <f t="shared" si="37"/>
        <v>178954.7</v>
      </c>
      <c r="N59" s="163">
        <f>M59+N21</f>
        <v>179320.80000000002</v>
      </c>
      <c r="O59" s="163" t="e">
        <f>N59+#REF!</f>
        <v>#REF!</v>
      </c>
      <c r="P59" s="163" t="e">
        <f t="shared" si="37"/>
        <v>#REF!</v>
      </c>
      <c r="Q59" s="163" t="e">
        <f t="shared" si="37"/>
        <v>#REF!</v>
      </c>
      <c r="R59" s="163" t="e">
        <f>Q59+R18</f>
        <v>#REF!</v>
      </c>
      <c r="S59" s="163" t="e">
        <f>R59+S21</f>
        <v>#REF!</v>
      </c>
      <c r="T59" s="163" t="e">
        <f t="shared" si="37"/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  <c r="AN59" s="786"/>
    </row>
    <row r="60" spans="2:40" x14ac:dyDescent="0.3">
      <c r="B60" s="754"/>
      <c r="C60" s="18" t="s">
        <v>26</v>
      </c>
      <c r="D60" s="163">
        <f>D21+Agosto23!AF57</f>
        <v>82577.900000000009</v>
      </c>
      <c r="E60" s="164">
        <f t="shared" ref="E60:F66" si="38">D60+E21</f>
        <v>83042.900000000009</v>
      </c>
      <c r="F60" s="164">
        <f t="shared" si="38"/>
        <v>83401.8</v>
      </c>
      <c r="G60" s="165">
        <v>83628</v>
      </c>
      <c r="H60" s="166">
        <v>84081</v>
      </c>
      <c r="I60" s="163">
        <f t="shared" ref="I60:L66" si="39">H60+I21</f>
        <v>84504.8</v>
      </c>
      <c r="J60" s="163">
        <f t="shared" si="39"/>
        <v>84845.5</v>
      </c>
      <c r="K60" s="163">
        <f t="shared" si="39"/>
        <v>85273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40">N60+O21</f>
        <v>#REF!</v>
      </c>
      <c r="P60" s="163" t="e">
        <f t="shared" si="40"/>
        <v>#REF!</v>
      </c>
      <c r="Q60" s="163" t="e">
        <f t="shared" si="40"/>
        <v>#REF!</v>
      </c>
      <c r="R60" s="163" t="e">
        <f t="shared" si="40"/>
        <v>#REF!</v>
      </c>
      <c r="S60" s="163" t="e">
        <f>R60+#REF!</f>
        <v>#REF!</v>
      </c>
      <c r="T60" s="163" t="e">
        <f t="shared" ref="T60:V66" si="41">S60+T21</f>
        <v>#REF!</v>
      </c>
      <c r="U60" s="163" t="e">
        <f t="shared" si="41"/>
        <v>#REF!</v>
      </c>
      <c r="V60" s="163" t="e">
        <f t="shared" si="41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  <c r="AN60" s="784">
        <v>100</v>
      </c>
    </row>
    <row r="61" spans="2:40" x14ac:dyDescent="0.3">
      <c r="B61" s="754"/>
      <c r="C61" s="18" t="s">
        <v>27</v>
      </c>
      <c r="D61" s="163">
        <f>D22+Agosto23!AF58</f>
        <v>61587.199999999997</v>
      </c>
      <c r="E61" s="164">
        <f t="shared" si="38"/>
        <v>62146.2</v>
      </c>
      <c r="F61" s="164">
        <f t="shared" si="38"/>
        <v>62561.399999999994</v>
      </c>
      <c r="G61" s="165">
        <v>63058</v>
      </c>
      <c r="H61" s="166">
        <v>63281</v>
      </c>
      <c r="I61" s="163">
        <f t="shared" si="39"/>
        <v>63784</v>
      </c>
      <c r="J61" s="163">
        <f t="shared" si="39"/>
        <v>64156.7</v>
      </c>
      <c r="K61" s="163">
        <f t="shared" si="39"/>
        <v>64585.7</v>
      </c>
      <c r="L61" s="163">
        <f t="shared" si="39"/>
        <v>65009</v>
      </c>
      <c r="M61" s="163" t="e">
        <f>L61+#REF!</f>
        <v>#REF!</v>
      </c>
      <c r="N61" s="163" t="e">
        <f t="shared" si="40"/>
        <v>#REF!</v>
      </c>
      <c r="O61" s="163" t="e">
        <f t="shared" si="40"/>
        <v>#REF!</v>
      </c>
      <c r="P61" s="163" t="e">
        <f t="shared" si="40"/>
        <v>#REF!</v>
      </c>
      <c r="Q61" s="163" t="e">
        <f t="shared" si="40"/>
        <v>#REF!</v>
      </c>
      <c r="R61" s="163" t="e">
        <f t="shared" si="40"/>
        <v>#REF!</v>
      </c>
      <c r="S61" s="163" t="e">
        <f t="shared" si="40"/>
        <v>#REF!</v>
      </c>
      <c r="T61" s="163" t="e">
        <f t="shared" si="41"/>
        <v>#REF!</v>
      </c>
      <c r="U61" s="163" t="e">
        <f t="shared" si="41"/>
        <v>#REF!</v>
      </c>
      <c r="V61" s="163" t="e">
        <f t="shared" si="41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  <c r="AN61" s="785"/>
    </row>
    <row r="62" spans="2:40" x14ac:dyDescent="0.3">
      <c r="B62" s="754"/>
      <c r="C62" s="18" t="s">
        <v>28</v>
      </c>
      <c r="D62" s="163">
        <f>D23+Agosto23!AF59</f>
        <v>87724.67</v>
      </c>
      <c r="E62" s="164">
        <f t="shared" si="38"/>
        <v>88239.97</v>
      </c>
      <c r="F62" s="164">
        <f t="shared" si="38"/>
        <v>88625.17</v>
      </c>
      <c r="G62" s="165">
        <v>87693.64</v>
      </c>
      <c r="H62" s="166">
        <v>87903.16</v>
      </c>
      <c r="I62" s="163">
        <f t="shared" si="39"/>
        <v>88363.260000000009</v>
      </c>
      <c r="J62" s="163">
        <f t="shared" si="39"/>
        <v>88701.860000000015</v>
      </c>
      <c r="K62" s="163">
        <f>J62+K23</f>
        <v>89089.860000000015</v>
      </c>
      <c r="L62" s="163">
        <f t="shared" si="39"/>
        <v>89472.060000000012</v>
      </c>
      <c r="M62" s="163">
        <f>L62+M22</f>
        <v>89995.760000000009</v>
      </c>
      <c r="N62" s="163">
        <f>M62+N24</f>
        <v>91938.360000000015</v>
      </c>
      <c r="O62" s="163">
        <f>N62+O20</f>
        <v>92177.360000000015</v>
      </c>
      <c r="P62" s="163">
        <f t="shared" si="40"/>
        <v>92237.360000000015</v>
      </c>
      <c r="Q62" s="163">
        <f t="shared" si="40"/>
        <v>92552.760000000009</v>
      </c>
      <c r="R62" s="163">
        <f t="shared" si="40"/>
        <v>92858.66</v>
      </c>
      <c r="S62" s="163">
        <f t="shared" si="40"/>
        <v>93263.66</v>
      </c>
      <c r="T62" s="163">
        <f t="shared" si="41"/>
        <v>93746.66</v>
      </c>
      <c r="U62" s="163">
        <f t="shared" si="41"/>
        <v>94234.66</v>
      </c>
      <c r="V62" s="163">
        <f>U62+V23</f>
        <v>94754.66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  <c r="AN62" s="786"/>
    </row>
    <row r="63" spans="2:40" x14ac:dyDescent="0.3">
      <c r="B63" s="754"/>
      <c r="C63" s="18" t="s">
        <v>29</v>
      </c>
      <c r="D63" s="163">
        <f>D24+Agosto23!AF60</f>
        <v>130203.7</v>
      </c>
      <c r="E63" s="164">
        <f t="shared" si="38"/>
        <v>132176.70000000001</v>
      </c>
      <c r="F63" s="164">
        <f t="shared" si="38"/>
        <v>133667.1</v>
      </c>
      <c r="G63" s="165">
        <v>130195</v>
      </c>
      <c r="H63" s="166">
        <v>130451</v>
      </c>
      <c r="I63" s="163">
        <f t="shared" si="39"/>
        <v>132204</v>
      </c>
      <c r="J63" s="163">
        <f>I63+J29</f>
        <v>132527.4</v>
      </c>
      <c r="K63" s="163">
        <f>J63+K24</f>
        <v>134023.79999999999</v>
      </c>
      <c r="L63" s="163">
        <f t="shared" si="39"/>
        <v>135509.19999999998</v>
      </c>
      <c r="M63" s="163">
        <f t="shared" si="40"/>
        <v>137327.49999999997</v>
      </c>
      <c r="N63" s="163" t="e">
        <f>M63+#REF!</f>
        <v>#REF!</v>
      </c>
      <c r="O63" s="163" t="e">
        <f t="shared" si="40"/>
        <v>#REF!</v>
      </c>
      <c r="P63" s="163" t="e">
        <f t="shared" si="40"/>
        <v>#REF!</v>
      </c>
      <c r="Q63" s="163" t="e">
        <f t="shared" si="40"/>
        <v>#REF!</v>
      </c>
      <c r="R63" s="163" t="e">
        <f t="shared" si="40"/>
        <v>#REF!</v>
      </c>
      <c r="S63" s="163" t="e">
        <f t="shared" si="40"/>
        <v>#REF!</v>
      </c>
      <c r="T63" s="163" t="e">
        <f t="shared" si="41"/>
        <v>#REF!</v>
      </c>
      <c r="U63" s="163" t="e">
        <f t="shared" si="41"/>
        <v>#REF!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  <c r="AN63" s="778">
        <v>29</v>
      </c>
    </row>
    <row r="64" spans="2:40" x14ac:dyDescent="0.3">
      <c r="B64" s="754"/>
      <c r="C64" s="18" t="s">
        <v>30</v>
      </c>
      <c r="D64" s="163">
        <f>D25+Agosto23!AF61</f>
        <v>14568.5</v>
      </c>
      <c r="E64" s="164">
        <f t="shared" si="38"/>
        <v>15086.3</v>
      </c>
      <c r="F64" s="164">
        <f t="shared" si="38"/>
        <v>15442.8</v>
      </c>
      <c r="G64" s="165">
        <v>18667</v>
      </c>
      <c r="H64" s="166">
        <v>19364</v>
      </c>
      <c r="I64" s="163">
        <f t="shared" si="39"/>
        <v>19917.3</v>
      </c>
      <c r="J64" s="163">
        <f t="shared" si="39"/>
        <v>20285.899999999998</v>
      </c>
      <c r="K64" s="163">
        <f t="shared" si="39"/>
        <v>20621.899999999998</v>
      </c>
      <c r="L64" s="163">
        <f t="shared" si="39"/>
        <v>20914.3</v>
      </c>
      <c r="M64" s="163">
        <f t="shared" si="40"/>
        <v>21437.5</v>
      </c>
      <c r="N64" s="163" t="e">
        <f>M64+#REF!</f>
        <v>#REF!</v>
      </c>
      <c r="O64" s="163" t="e">
        <f t="shared" si="40"/>
        <v>#REF!</v>
      </c>
      <c r="P64" s="163" t="e">
        <f t="shared" si="40"/>
        <v>#REF!</v>
      </c>
      <c r="Q64" s="163" t="e">
        <f t="shared" si="40"/>
        <v>#REF!</v>
      </c>
      <c r="R64" s="163" t="e">
        <f t="shared" si="40"/>
        <v>#REF!</v>
      </c>
      <c r="S64" s="163" t="e">
        <f t="shared" si="40"/>
        <v>#REF!</v>
      </c>
      <c r="T64" s="163" t="e">
        <f>S64+T26</f>
        <v>#REF!</v>
      </c>
      <c r="U64" s="163" t="e">
        <f>T64+U26</f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  <c r="AN64" s="779"/>
    </row>
    <row r="65" spans="2:40" x14ac:dyDescent="0.3">
      <c r="B65" s="754"/>
      <c r="C65" s="18" t="s">
        <v>111</v>
      </c>
      <c r="D65" s="163">
        <f>D26+Agosto23!AF62</f>
        <v>45272.800000000003</v>
      </c>
      <c r="E65" s="164">
        <f t="shared" si="38"/>
        <v>45741.5</v>
      </c>
      <c r="F65" s="164">
        <f t="shared" si="38"/>
        <v>46103.4</v>
      </c>
      <c r="G65" s="165">
        <v>46772</v>
      </c>
      <c r="H65" s="166">
        <v>47086</v>
      </c>
      <c r="I65" s="163">
        <f t="shared" si="39"/>
        <v>47564.4</v>
      </c>
      <c r="J65" s="163">
        <f t="shared" si="39"/>
        <v>47876.3</v>
      </c>
      <c r="K65" s="163">
        <f t="shared" si="39"/>
        <v>48279.9</v>
      </c>
      <c r="L65" s="163">
        <f t="shared" si="39"/>
        <v>48653.9</v>
      </c>
      <c r="M65" s="163">
        <f t="shared" si="40"/>
        <v>49057.8</v>
      </c>
      <c r="N65" s="163">
        <f>M65+N25</f>
        <v>49459.4</v>
      </c>
      <c r="O65" s="163">
        <f t="shared" si="40"/>
        <v>49622.400000000001</v>
      </c>
      <c r="P65" s="163">
        <f t="shared" si="40"/>
        <v>49905.4</v>
      </c>
      <c r="Q65" s="163">
        <f t="shared" si="40"/>
        <v>50189.700000000004</v>
      </c>
      <c r="R65" s="163">
        <f t="shared" si="40"/>
        <v>50418.600000000006</v>
      </c>
      <c r="S65" s="163">
        <f t="shared" si="40"/>
        <v>50821.600000000006</v>
      </c>
      <c r="T65" s="163" t="e">
        <f>S65+#REF!</f>
        <v>#REF!</v>
      </c>
      <c r="U65" s="163" t="e">
        <f>T65+#REF!</f>
        <v>#REF!</v>
      </c>
      <c r="V65" s="163" t="e">
        <f t="shared" si="41"/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  <c r="AN65" s="780"/>
    </row>
    <row r="66" spans="2:40" ht="15" thickBot="1" x14ac:dyDescent="0.35">
      <c r="B66" s="754"/>
      <c r="C66" s="18" t="s">
        <v>32</v>
      </c>
      <c r="D66" s="163">
        <f>D27+Agosto23!AF63</f>
        <v>9624.5</v>
      </c>
      <c r="E66" s="164">
        <f t="shared" si="38"/>
        <v>10067.9</v>
      </c>
      <c r="F66" s="164">
        <f t="shared" si="38"/>
        <v>10460.6</v>
      </c>
      <c r="G66" s="165">
        <v>10779</v>
      </c>
      <c r="H66" s="166">
        <v>10940</v>
      </c>
      <c r="I66" s="163">
        <f t="shared" si="39"/>
        <v>11462.4</v>
      </c>
      <c r="J66" s="163">
        <f t="shared" si="39"/>
        <v>11826.5</v>
      </c>
      <c r="K66" s="163">
        <f t="shared" si="39"/>
        <v>12196</v>
      </c>
      <c r="L66" s="163">
        <f t="shared" si="39"/>
        <v>12476.7</v>
      </c>
      <c r="M66" s="163">
        <f t="shared" si="40"/>
        <v>12897.7</v>
      </c>
      <c r="N66" s="163">
        <f t="shared" si="40"/>
        <v>13446.5</v>
      </c>
      <c r="O66" s="163">
        <f t="shared" si="40"/>
        <v>13665.5</v>
      </c>
      <c r="P66" s="163">
        <f t="shared" si="40"/>
        <v>13901.5</v>
      </c>
      <c r="Q66" s="163">
        <f t="shared" si="40"/>
        <v>14104.3</v>
      </c>
      <c r="R66" s="163">
        <f t="shared" si="40"/>
        <v>14357.8</v>
      </c>
      <c r="S66" s="163">
        <f t="shared" si="40"/>
        <v>14744.8</v>
      </c>
      <c r="T66" s="163">
        <f t="shared" si="41"/>
        <v>15287.8</v>
      </c>
      <c r="U66" s="163">
        <f t="shared" si="41"/>
        <v>15776.8</v>
      </c>
      <c r="V66" s="163">
        <f t="shared" si="41"/>
        <v>16196.8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  <c r="AN66" s="784">
        <v>100</v>
      </c>
    </row>
    <row r="67" spans="2:40" x14ac:dyDescent="0.3">
      <c r="B67" s="754"/>
      <c r="C67" s="18" t="s">
        <v>112</v>
      </c>
      <c r="D67" s="163">
        <f>D28+Agosto23!AF64</f>
        <v>19073.599999999999</v>
      </c>
      <c r="E67" s="164">
        <f>D67+E29</f>
        <v>19498</v>
      </c>
      <c r="F67" s="164">
        <f>E67+F29</f>
        <v>19863.2</v>
      </c>
      <c r="G67" s="165">
        <v>20520.400000000001</v>
      </c>
      <c r="H67" s="166">
        <v>20739</v>
      </c>
      <c r="I67" s="163">
        <f t="shared" ref="I67:V67" si="42">H67+I29</f>
        <v>21216.3</v>
      </c>
      <c r="J67" s="163">
        <f>I67+J30</f>
        <v>21513</v>
      </c>
      <c r="K67" s="163">
        <f t="shared" si="42"/>
        <v>21843.3</v>
      </c>
      <c r="L67" s="163">
        <f t="shared" si="42"/>
        <v>22079.200000000001</v>
      </c>
      <c r="M67" s="163">
        <f t="shared" si="42"/>
        <v>22463.7</v>
      </c>
      <c r="N67" s="163">
        <f>M67+N30</f>
        <v>23000.600000000002</v>
      </c>
      <c r="O67" s="163">
        <f t="shared" si="42"/>
        <v>23188.600000000002</v>
      </c>
      <c r="P67" s="163">
        <f t="shared" si="42"/>
        <v>23391.600000000002</v>
      </c>
      <c r="Q67" s="163">
        <f t="shared" si="42"/>
        <v>23562.600000000002</v>
      </c>
      <c r="R67" s="163">
        <f t="shared" si="42"/>
        <v>23776.7</v>
      </c>
      <c r="S67" s="163">
        <f t="shared" si="42"/>
        <v>24093.7</v>
      </c>
      <c r="T67" s="163">
        <f t="shared" si="42"/>
        <v>24571.7</v>
      </c>
      <c r="U67" s="163">
        <f t="shared" si="42"/>
        <v>24988.7</v>
      </c>
      <c r="V67" s="163">
        <f t="shared" si="42"/>
        <v>25376.7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N67" s="785"/>
    </row>
    <row r="68" spans="2:40" x14ac:dyDescent="0.3">
      <c r="B68" s="756" t="s">
        <v>196</v>
      </c>
      <c r="C68" s="756"/>
      <c r="D68" s="756"/>
      <c r="E68" s="756"/>
      <c r="AN68" s="786"/>
    </row>
    <row r="69" spans="2:40" x14ac:dyDescent="0.3">
      <c r="B69" s="757" t="s">
        <v>132</v>
      </c>
      <c r="C69" s="757"/>
      <c r="D69" s="757"/>
      <c r="E69" s="757"/>
      <c r="AN69" s="784">
        <v>110</v>
      </c>
    </row>
    <row r="70" spans="2:40" x14ac:dyDescent="0.3">
      <c r="AN70" s="785"/>
    </row>
    <row r="71" spans="2:40" x14ac:dyDescent="0.3">
      <c r="AN71" s="786"/>
    </row>
    <row r="72" spans="2:40" x14ac:dyDescent="0.3">
      <c r="AN72" s="784">
        <v>110</v>
      </c>
    </row>
    <row r="73" spans="2:40" x14ac:dyDescent="0.3">
      <c r="AN73" s="785"/>
    </row>
    <row r="74" spans="2:40" x14ac:dyDescent="0.3">
      <c r="AN74" s="786"/>
    </row>
    <row r="75" spans="2:40" x14ac:dyDescent="0.3">
      <c r="AN75" s="778">
        <v>80</v>
      </c>
    </row>
    <row r="76" spans="2:40" x14ac:dyDescent="0.3">
      <c r="AN76" s="779"/>
    </row>
    <row r="77" spans="2:40" x14ac:dyDescent="0.3">
      <c r="AN77" s="780"/>
    </row>
    <row r="78" spans="2:40" x14ac:dyDescent="0.3">
      <c r="AN78" s="784">
        <v>100</v>
      </c>
    </row>
    <row r="79" spans="2:40" x14ac:dyDescent="0.3">
      <c r="AN79" s="785"/>
    </row>
    <row r="80" spans="2:40" x14ac:dyDescent="0.3">
      <c r="AN80" s="786"/>
    </row>
    <row r="81" spans="40:40" x14ac:dyDescent="0.3">
      <c r="AN81" s="784">
        <v>100</v>
      </c>
    </row>
    <row r="82" spans="40:40" x14ac:dyDescent="0.3">
      <c r="AN82" s="785"/>
    </row>
    <row r="83" spans="40:40" x14ac:dyDescent="0.3">
      <c r="AN83" s="786"/>
    </row>
    <row r="84" spans="40:40" x14ac:dyDescent="0.3">
      <c r="AN84" s="787">
        <v>110</v>
      </c>
    </row>
    <row r="85" spans="40:40" x14ac:dyDescent="0.3">
      <c r="AN85" s="788"/>
    </row>
    <row r="86" spans="40:40" x14ac:dyDescent="0.3">
      <c r="AN86" s="789"/>
    </row>
    <row r="87" spans="40:40" x14ac:dyDescent="0.3">
      <c r="AN87" s="784">
        <v>100</v>
      </c>
    </row>
    <row r="88" spans="40:40" x14ac:dyDescent="0.3">
      <c r="AN88" s="785"/>
    </row>
    <row r="89" spans="40:40" x14ac:dyDescent="0.3">
      <c r="AN89" s="786"/>
    </row>
    <row r="90" spans="40:40" x14ac:dyDescent="0.3">
      <c r="AN90" s="781">
        <v>395</v>
      </c>
    </row>
    <row r="91" spans="40:40" x14ac:dyDescent="0.3">
      <c r="AN91" s="782"/>
    </row>
    <row r="92" spans="40:40" x14ac:dyDescent="0.3">
      <c r="AN92" s="783"/>
    </row>
    <row r="93" spans="40:40" x14ac:dyDescent="0.3">
      <c r="AN93" s="784">
        <v>100</v>
      </c>
    </row>
    <row r="94" spans="40:40" x14ac:dyDescent="0.3">
      <c r="AN94" s="785"/>
    </row>
    <row r="95" spans="40:40" x14ac:dyDescent="0.3">
      <c r="AN95" s="786"/>
    </row>
    <row r="96" spans="40:40" x14ac:dyDescent="0.3">
      <c r="AN96" s="784">
        <v>100</v>
      </c>
    </row>
    <row r="97" spans="40:40" x14ac:dyDescent="0.3">
      <c r="AN97" s="785"/>
    </row>
    <row r="98" spans="40:40" x14ac:dyDescent="0.3">
      <c r="AN98" s="786"/>
    </row>
    <row r="99" spans="40:40" x14ac:dyDescent="0.3">
      <c r="AN99" s="784">
        <v>100</v>
      </c>
    </row>
    <row r="100" spans="40:40" x14ac:dyDescent="0.3">
      <c r="AN100" s="785"/>
    </row>
    <row r="101" spans="40:40" x14ac:dyDescent="0.3">
      <c r="AN101" s="786"/>
    </row>
    <row r="102" spans="40:40" x14ac:dyDescent="0.3">
      <c r="AN102" s="781">
        <v>120</v>
      </c>
    </row>
    <row r="103" spans="40:40" x14ac:dyDescent="0.3">
      <c r="AN103" s="782"/>
    </row>
    <row r="104" spans="40:40" x14ac:dyDescent="0.3">
      <c r="AN104" s="783"/>
    </row>
    <row r="105" spans="40:40" x14ac:dyDescent="0.3">
      <c r="AN105" s="781">
        <v>110</v>
      </c>
    </row>
    <row r="106" spans="40:40" x14ac:dyDescent="0.3">
      <c r="AN106" s="782"/>
    </row>
    <row r="107" spans="40:40" x14ac:dyDescent="0.3">
      <c r="AN107" s="783"/>
    </row>
    <row r="108" spans="40:40" x14ac:dyDescent="0.3">
      <c r="AN108" s="784">
        <v>100</v>
      </c>
    </row>
    <row r="109" spans="40:40" x14ac:dyDescent="0.3">
      <c r="AN109" s="785"/>
    </row>
    <row r="110" spans="40:40" x14ac:dyDescent="0.3">
      <c r="AN110" s="786"/>
    </row>
    <row r="111" spans="40:40" x14ac:dyDescent="0.3">
      <c r="AN111" s="790">
        <v>100</v>
      </c>
    </row>
    <row r="112" spans="40:40" x14ac:dyDescent="0.3">
      <c r="AN112" s="790"/>
    </row>
    <row r="113" spans="40:40" x14ac:dyDescent="0.3">
      <c r="AN113" s="790"/>
    </row>
  </sheetData>
  <mergeCells count="41">
    <mergeCell ref="AN39:AN41"/>
    <mergeCell ref="B4:C4"/>
    <mergeCell ref="B5:B12"/>
    <mergeCell ref="B13:B16"/>
    <mergeCell ref="B17:B29"/>
    <mergeCell ref="B30:B31"/>
    <mergeCell ref="B32:C32"/>
    <mergeCell ref="AN33:AN35"/>
    <mergeCell ref="AE34:AG34"/>
    <mergeCell ref="AE35:AG35"/>
    <mergeCell ref="AE36:AG36"/>
    <mergeCell ref="AN36:AN38"/>
    <mergeCell ref="AN42:AN44"/>
    <mergeCell ref="B44:B51"/>
    <mergeCell ref="AN45:AN47"/>
    <mergeCell ref="AN48:AN50"/>
    <mergeCell ref="AN51:AN53"/>
    <mergeCell ref="B52:B55"/>
    <mergeCell ref="AN54:AN56"/>
    <mergeCell ref="B56:B67"/>
    <mergeCell ref="AN57:AN59"/>
    <mergeCell ref="AN60:AN62"/>
    <mergeCell ref="AN90:AN92"/>
    <mergeCell ref="AN63:AN65"/>
    <mergeCell ref="AN66:AN68"/>
    <mergeCell ref="B68:E68"/>
    <mergeCell ref="B69:E69"/>
    <mergeCell ref="AN69:AN71"/>
    <mergeCell ref="AN72:AN74"/>
    <mergeCell ref="AN75:AN77"/>
    <mergeCell ref="AN78:AN80"/>
    <mergeCell ref="AN81:AN83"/>
    <mergeCell ref="AN84:AN86"/>
    <mergeCell ref="AN87:AN89"/>
    <mergeCell ref="AN111:AN113"/>
    <mergeCell ref="AN93:AN95"/>
    <mergeCell ref="AN96:AN98"/>
    <mergeCell ref="AN99:AN101"/>
    <mergeCell ref="AN102:AN104"/>
    <mergeCell ref="AN105:AN107"/>
    <mergeCell ref="AN108:AN110"/>
  </mergeCells>
  <conditionalFormatting sqref="AL5:BO31">
    <cfRule type="cellIs" dxfId="59" priority="2" operator="equal">
      <formula>"VAZIO"</formula>
    </cfRule>
  </conditionalFormatting>
  <conditionalFormatting sqref="AL5:BP31">
    <cfRule type="expression" dxfId="58" priority="6">
      <formula>AL5&gt;$BQ5</formula>
    </cfRule>
    <cfRule type="expression" dxfId="57" priority="7">
      <formula>AL5&lt;($BQ5-0.01)</formula>
    </cfRule>
  </conditionalFormatting>
  <conditionalFormatting sqref="AM8:BO8 BJ9 AM16:BO16 BG17 AM24:BO25">
    <cfRule type="cellIs" dxfId="56" priority="3" operator="equal">
      <formula>"""VAZIO"""</formula>
    </cfRule>
  </conditionalFormatting>
  <conditionalFormatting sqref="AP5:BO31">
    <cfRule type="expression" dxfId="55" priority="1">
      <formula>AP5=0</formula>
    </cfRule>
  </conditionalFormatting>
  <conditionalFormatting sqref="BT5:BT31">
    <cfRule type="cellIs" dxfId="54" priority="4" operator="greaterThan">
      <formula>0</formula>
    </cfRule>
    <cfRule type="cellIs" dxfId="53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57E0-8067-415C-BAFE-F00D223BF76C}">
  <sheetPr>
    <tabColor theme="7" tint="-0.499984740745262"/>
  </sheetPr>
  <dimension ref="B1:BU113"/>
  <sheetViews>
    <sheetView zoomScaleNormal="100" workbookViewId="0">
      <pane xSplit="3" ySplit="4" topLeftCell="X20" activePane="bottomRight" state="frozen"/>
      <selection pane="topRight" activeCell="D1" sqref="D1"/>
      <selection pane="bottomLeft" activeCell="A5" sqref="A5"/>
      <selection pane="bottomRight" activeCell="AF14" sqref="AF14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1" width="16.44140625" customWidth="1"/>
    <col min="32" max="32" width="19.6640625" customWidth="1"/>
    <col min="33" max="33" width="15.6640625" customWidth="1"/>
    <col min="34" max="34" width="15.88671875" hidden="1" customWidth="1"/>
    <col min="35" max="64" width="11.88671875" customWidth="1"/>
    <col min="65" max="65" width="17.6640625" customWidth="1"/>
    <col min="66" max="66" width="14.33203125" customWidth="1"/>
    <col min="67" max="67" width="20.5546875" customWidth="1"/>
    <col min="68" max="68" width="17.5546875" customWidth="1"/>
    <col min="69" max="69" width="19" customWidth="1"/>
    <col min="70" max="70" width="18.88671875" customWidth="1"/>
    <col min="71" max="71" width="15.109375" customWidth="1"/>
  </cols>
  <sheetData>
    <row r="1" spans="2:73" x14ac:dyDescent="0.3">
      <c r="AF1">
        <f>16267+12136+16339</f>
        <v>44742</v>
      </c>
    </row>
    <row r="2" spans="2:73" x14ac:dyDescent="0.3">
      <c r="AF2" s="102">
        <f>12444-AF14</f>
        <v>4236.5</v>
      </c>
    </row>
    <row r="3" spans="2:73" ht="15" thickBot="1" x14ac:dyDescent="0.35">
      <c r="D3" s="102"/>
      <c r="E3" s="102"/>
      <c r="F3" s="102"/>
      <c r="G3" s="102"/>
      <c r="H3" s="102"/>
      <c r="I3" s="102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</row>
    <row r="4" spans="2:73" ht="44.25" customHeight="1" thickBot="1" x14ac:dyDescent="0.35">
      <c r="B4" s="768" t="s">
        <v>133</v>
      </c>
      <c r="C4" s="769"/>
      <c r="D4" s="343" t="s">
        <v>976</v>
      </c>
      <c r="E4" s="344" t="s">
        <v>949</v>
      </c>
      <c r="F4" s="344" t="s">
        <v>950</v>
      </c>
      <c r="G4" s="344" t="s">
        <v>951</v>
      </c>
      <c r="H4" s="344" t="s">
        <v>952</v>
      </c>
      <c r="I4" s="344" t="s">
        <v>953</v>
      </c>
      <c r="J4" s="344" t="s">
        <v>954</v>
      </c>
      <c r="K4" s="344" t="s">
        <v>955</v>
      </c>
      <c r="L4" s="344" t="s">
        <v>956</v>
      </c>
      <c r="M4" s="344" t="s">
        <v>957</v>
      </c>
      <c r="N4" s="344" t="s">
        <v>958</v>
      </c>
      <c r="O4" s="344" t="s">
        <v>959</v>
      </c>
      <c r="P4" s="344" t="s">
        <v>960</v>
      </c>
      <c r="Q4" s="344" t="s">
        <v>961</v>
      </c>
      <c r="R4" s="344" t="s">
        <v>962</v>
      </c>
      <c r="S4" s="344" t="s">
        <v>963</v>
      </c>
      <c r="T4" s="344" t="s">
        <v>964</v>
      </c>
      <c r="U4" s="344" t="s">
        <v>965</v>
      </c>
      <c r="V4" s="344" t="s">
        <v>966</v>
      </c>
      <c r="W4" s="344" t="s">
        <v>967</v>
      </c>
      <c r="X4" s="344" t="s">
        <v>968</v>
      </c>
      <c r="Y4" s="344" t="s">
        <v>969</v>
      </c>
      <c r="Z4" s="344" t="s">
        <v>970</v>
      </c>
      <c r="AA4" s="344" t="s">
        <v>971</v>
      </c>
      <c r="AB4" s="344" t="s">
        <v>972</v>
      </c>
      <c r="AC4" s="344" t="s">
        <v>973</v>
      </c>
      <c r="AD4" s="344" t="s">
        <v>974</v>
      </c>
      <c r="AE4" s="344" t="s">
        <v>975</v>
      </c>
      <c r="AF4" s="346" t="s">
        <v>69</v>
      </c>
      <c r="AG4" s="346" t="s">
        <v>2</v>
      </c>
      <c r="AH4" s="347" t="s">
        <v>70</v>
      </c>
      <c r="AI4" s="348" t="s">
        <v>228</v>
      </c>
      <c r="AJ4" s="349" t="s">
        <v>229</v>
      </c>
      <c r="AK4" s="349" t="s">
        <v>230</v>
      </c>
      <c r="AL4" s="349" t="s">
        <v>231</v>
      </c>
      <c r="AM4" s="349" t="s">
        <v>232</v>
      </c>
      <c r="AN4" s="349" t="s">
        <v>233</v>
      </c>
      <c r="AO4" s="349" t="s">
        <v>234</v>
      </c>
      <c r="AP4" s="349" t="s">
        <v>235</v>
      </c>
      <c r="AQ4" s="349" t="s">
        <v>236</v>
      </c>
      <c r="AR4" s="349" t="s">
        <v>236</v>
      </c>
      <c r="AS4" s="349" t="s">
        <v>237</v>
      </c>
      <c r="AT4" s="349" t="s">
        <v>238</v>
      </c>
      <c r="AU4" s="349" t="s">
        <v>239</v>
      </c>
      <c r="AV4" s="349" t="s">
        <v>240</v>
      </c>
      <c r="AW4" s="349" t="s">
        <v>241</v>
      </c>
      <c r="AX4" s="349" t="s">
        <v>242</v>
      </c>
      <c r="AY4" s="349" t="s">
        <v>243</v>
      </c>
      <c r="AZ4" s="349" t="s">
        <v>244</v>
      </c>
      <c r="BA4" s="349" t="s">
        <v>245</v>
      </c>
      <c r="BB4" s="349" t="s">
        <v>246</v>
      </c>
      <c r="BC4" s="349" t="s">
        <v>247</v>
      </c>
      <c r="BD4" s="349" t="s">
        <v>248</v>
      </c>
      <c r="BE4" s="349" t="s">
        <v>249</v>
      </c>
      <c r="BF4" s="349" t="s">
        <v>250</v>
      </c>
      <c r="BG4" s="349" t="s">
        <v>251</v>
      </c>
      <c r="BH4" s="349" t="s">
        <v>252</v>
      </c>
      <c r="BI4" s="349" t="s">
        <v>253</v>
      </c>
      <c r="BJ4" s="349" t="s">
        <v>254</v>
      </c>
      <c r="BK4" s="349" t="s">
        <v>255</v>
      </c>
      <c r="BL4" s="349" t="s">
        <v>256</v>
      </c>
      <c r="BM4" s="350" t="s">
        <v>102</v>
      </c>
      <c r="BN4" s="343" t="s">
        <v>103</v>
      </c>
      <c r="BO4" s="351" t="s">
        <v>104</v>
      </c>
      <c r="BP4" s="352" t="s">
        <v>105</v>
      </c>
      <c r="BQ4" s="353" t="s">
        <v>106</v>
      </c>
      <c r="BS4" s="3"/>
      <c r="BT4" s="2"/>
      <c r="BU4" s="2"/>
    </row>
    <row r="5" spans="2:73" x14ac:dyDescent="0.3">
      <c r="B5" s="770" t="s">
        <v>6</v>
      </c>
      <c r="C5" s="328" t="s">
        <v>7</v>
      </c>
      <c r="D5" s="330">
        <v>37.200000000000003</v>
      </c>
      <c r="E5" s="103">
        <v>48.4</v>
      </c>
      <c r="F5" s="103">
        <v>59.6</v>
      </c>
      <c r="G5" s="103">
        <v>64.3</v>
      </c>
      <c r="H5" s="103">
        <v>66.3</v>
      </c>
      <c r="I5" s="331">
        <v>58.5</v>
      </c>
      <c r="J5" s="103">
        <v>32.299999999999997</v>
      </c>
      <c r="K5" s="103">
        <v>57</v>
      </c>
      <c r="L5" s="103">
        <v>56.1</v>
      </c>
      <c r="M5" s="103">
        <v>62.1</v>
      </c>
      <c r="N5" s="283">
        <v>61.5</v>
      </c>
      <c r="O5" s="103">
        <v>48.1</v>
      </c>
      <c r="P5" s="103">
        <v>62.1</v>
      </c>
      <c r="Q5" s="331">
        <v>62.4</v>
      </c>
      <c r="R5" s="103">
        <v>57.5</v>
      </c>
      <c r="S5" s="103">
        <v>63.9</v>
      </c>
      <c r="T5" s="509">
        <v>65.5</v>
      </c>
      <c r="U5" s="509">
        <v>65.3</v>
      </c>
      <c r="V5" s="103">
        <v>61.3</v>
      </c>
      <c r="W5" s="331">
        <v>65.7</v>
      </c>
      <c r="X5" s="103">
        <v>56</v>
      </c>
      <c r="Y5" s="103">
        <v>57.3</v>
      </c>
      <c r="Z5" s="104">
        <v>47.8</v>
      </c>
      <c r="AA5" s="332">
        <v>54.2</v>
      </c>
      <c r="AB5" s="333">
        <v>49</v>
      </c>
      <c r="AC5" s="629">
        <v>63.5</v>
      </c>
      <c r="AD5" s="104">
        <v>51.5</v>
      </c>
      <c r="AE5" s="104">
        <v>56.1</v>
      </c>
      <c r="AF5" s="335">
        <f t="shared" ref="AF5:AF31" si="0">SUM(D5:AE5)</f>
        <v>1590.5</v>
      </c>
      <c r="AG5" s="160">
        <v>12</v>
      </c>
      <c r="AH5" s="336">
        <f t="shared" ref="AH5:AH11" si="1">F5/(AG5*432)</f>
        <v>1.1496913580246914E-2</v>
      </c>
      <c r="AI5" s="337">
        <f t="shared" ref="AI5:AR6" si="2">IF(OR(D5="",D5="Sem monitoramento"),"VAZIO",IFERROR(D5/($AG5*24),"-"))</f>
        <v>0.12916666666666668</v>
      </c>
      <c r="AJ5" s="338">
        <f t="shared" si="2"/>
        <v>0.16805555555555554</v>
      </c>
      <c r="AK5" s="338">
        <f t="shared" si="2"/>
        <v>0.20694444444444446</v>
      </c>
      <c r="AL5" s="338">
        <f t="shared" si="2"/>
        <v>0.22326388888888887</v>
      </c>
      <c r="AM5" s="338">
        <f t="shared" si="2"/>
        <v>0.23020833333333332</v>
      </c>
      <c r="AN5" s="338">
        <f t="shared" si="2"/>
        <v>0.203125</v>
      </c>
      <c r="AO5" s="338">
        <f t="shared" si="2"/>
        <v>0.11215277777777777</v>
      </c>
      <c r="AP5" s="338">
        <f t="shared" si="2"/>
        <v>0.19791666666666666</v>
      </c>
      <c r="AQ5" s="338">
        <f t="shared" si="2"/>
        <v>0.19479166666666667</v>
      </c>
      <c r="AR5" s="338">
        <f t="shared" si="2"/>
        <v>0.21562500000000001</v>
      </c>
      <c r="AS5" s="338">
        <f t="shared" ref="AS5:BB6" si="3">IF(OR(N5="",N5="Sem monitoramento"),"VAZIO",IFERROR(N5/($AG5*24),"-"))</f>
        <v>0.21354166666666666</v>
      </c>
      <c r="AT5" s="338">
        <f t="shared" si="3"/>
        <v>0.16701388888888891</v>
      </c>
      <c r="AU5" s="338">
        <f t="shared" si="3"/>
        <v>0.21562500000000001</v>
      </c>
      <c r="AV5" s="338">
        <f t="shared" si="3"/>
        <v>0.21666666666666667</v>
      </c>
      <c r="AW5" s="338">
        <f t="shared" si="3"/>
        <v>0.19965277777777779</v>
      </c>
      <c r="AX5" s="338">
        <f t="shared" si="3"/>
        <v>0.22187499999999999</v>
      </c>
      <c r="AY5" s="338">
        <f t="shared" si="3"/>
        <v>0.22743055555555555</v>
      </c>
      <c r="AZ5" s="338">
        <f t="shared" si="3"/>
        <v>0.22673611111111111</v>
      </c>
      <c r="BA5" s="338">
        <f t="shared" si="3"/>
        <v>0.21284722222222222</v>
      </c>
      <c r="BB5" s="338">
        <f t="shared" si="3"/>
        <v>0.22812500000000002</v>
      </c>
      <c r="BC5" s="338">
        <f t="shared" ref="BC5:BG6" si="4">IF(OR(X5="",X5="Sem monitoramento"),"VAZIO",IFERROR(X5/($AG5*24),"-"))</f>
        <v>0.19444444444444445</v>
      </c>
      <c r="BD5" s="338">
        <f t="shared" si="4"/>
        <v>0.19895833333333332</v>
      </c>
      <c r="BE5" s="338">
        <f t="shared" si="4"/>
        <v>0.16597222222222222</v>
      </c>
      <c r="BF5" s="338">
        <f t="shared" si="4"/>
        <v>0.18819444444444444</v>
      </c>
      <c r="BG5" s="338">
        <f t="shared" si="4"/>
        <v>0.1701388888888889</v>
      </c>
      <c r="BH5" s="338" t="e">
        <f>IF(OR(#REF!="",#REF!="Sem monitoramento"),"VAZIO",IFERROR(#REF!/($AG5*24),"-"))</f>
        <v>#REF!</v>
      </c>
      <c r="BI5" s="338">
        <f t="shared" ref="BI5:BI19" si="5">IF(OR(AD5="",AD5="Sem monitoramento"),"VAZIO",IFERROR(AD5/($AG5*24),"-"))</f>
        <v>0.17881944444444445</v>
      </c>
      <c r="BJ5" s="338">
        <f t="shared" ref="BJ5:BJ19" si="6">IF(OR(AE5="",AE5="Sem monitoramento"),"VAZIO",IFERROR(AE5/($AG5*24),"-"))</f>
        <v>0.19479166666666667</v>
      </c>
      <c r="BK5" s="338" t="e">
        <f>IF(OR(#REF!="",#REF!="Sem monitoramento"),"VAZIO",IFERROR(#REF!/($AG5*24),"-"))</f>
        <v>#REF!</v>
      </c>
      <c r="BL5" s="338" t="e">
        <f>IF(OR(#REF!="",#REF!="Sem monitoramento"),"VAZIO",IFERROR(#REF!/($AG5*24),"-"))</f>
        <v>#REF!</v>
      </c>
      <c r="BM5" s="339">
        <f t="shared" ref="BM5:BM31" si="7">AF5/(AG5*(COUNTA(D5:AE5)*24))</f>
        <v>0.19723462301587302</v>
      </c>
      <c r="BN5" s="180">
        <f>'FCs estimados em PVsyst'!Y3</f>
        <v>0.1804398148148148</v>
      </c>
      <c r="BO5" s="340">
        <f t="shared" ref="BO5:BO11" si="8">AG5*BN5</f>
        <v>2.1652777777777779</v>
      </c>
      <c r="BP5" s="341">
        <f t="shared" ref="BP5:BP11" si="9">AK5-BN5</f>
        <v>2.6504629629629656E-2</v>
      </c>
      <c r="BQ5" s="342">
        <f t="shared" ref="BQ5:BQ30" si="10">BM5-BN5</f>
        <v>1.679480820105822E-2</v>
      </c>
      <c r="BR5" s="15" t="s">
        <v>7</v>
      </c>
      <c r="BS5" s="75" t="s">
        <v>107</v>
      </c>
      <c r="BT5" s="7">
        <f>COUNTIF(BQ5:BQ29,"&gt;0")</f>
        <v>18</v>
      </c>
      <c r="BU5" s="2"/>
    </row>
    <row r="6" spans="2:73" x14ac:dyDescent="0.3">
      <c r="B6" s="771"/>
      <c r="C6" s="325" t="s">
        <v>8</v>
      </c>
      <c r="D6" s="62">
        <v>87.8</v>
      </c>
      <c r="E6" s="63">
        <v>116.5</v>
      </c>
      <c r="F6" s="319">
        <v>82.5</v>
      </c>
      <c r="G6" s="63">
        <v>149</v>
      </c>
      <c r="H6" s="63">
        <v>156.9</v>
      </c>
      <c r="I6" s="283">
        <v>137.5</v>
      </c>
      <c r="J6" s="63">
        <v>123.5</v>
      </c>
      <c r="K6" s="283">
        <v>138.6</v>
      </c>
      <c r="L6" s="283">
        <v>131.6</v>
      </c>
      <c r="M6" s="63">
        <v>128.5</v>
      </c>
      <c r="N6" s="283">
        <v>143.30000000000001</v>
      </c>
      <c r="O6" s="355">
        <v>44.7</v>
      </c>
      <c r="P6" s="283">
        <v>142.6</v>
      </c>
      <c r="Q6" s="283">
        <f>100.3+139.1</f>
        <v>239.39999999999998</v>
      </c>
      <c r="R6" s="63">
        <f>68.6+306.1</f>
        <v>374.70000000000005</v>
      </c>
      <c r="S6" s="282">
        <f>53.5+238.8</f>
        <v>292.3</v>
      </c>
      <c r="T6" s="319">
        <v>368</v>
      </c>
      <c r="U6" s="319">
        <v>370</v>
      </c>
      <c r="V6" s="319">
        <v>284.89999999999998</v>
      </c>
      <c r="W6" s="283">
        <v>365.6</v>
      </c>
      <c r="X6" s="63">
        <v>315.60000000000002</v>
      </c>
      <c r="Y6" s="63">
        <v>300.89999999999998</v>
      </c>
      <c r="Z6" s="221">
        <v>264.7</v>
      </c>
      <c r="AA6" s="320">
        <v>319.5</v>
      </c>
      <c r="AB6" s="20">
        <v>277.10000000000002</v>
      </c>
      <c r="AC6" s="31">
        <v>371.9</v>
      </c>
      <c r="AD6" s="15">
        <v>269.2</v>
      </c>
      <c r="AE6" s="15">
        <v>428.4</v>
      </c>
      <c r="AF6" s="335">
        <f t="shared" si="0"/>
        <v>6425.2</v>
      </c>
      <c r="AG6" s="118">
        <v>67</v>
      </c>
      <c r="AH6" s="121">
        <f t="shared" si="1"/>
        <v>2.8503316749585407E-3</v>
      </c>
      <c r="AI6" s="67">
        <f t="shared" si="2"/>
        <v>5.4601990049751241E-2</v>
      </c>
      <c r="AJ6" s="68">
        <f t="shared" si="2"/>
        <v>7.2450248756218902E-2</v>
      </c>
      <c r="AK6" s="68">
        <f t="shared" si="2"/>
        <v>5.1305970149253734E-2</v>
      </c>
      <c r="AL6" s="68">
        <f t="shared" si="2"/>
        <v>9.2661691542288552E-2</v>
      </c>
      <c r="AM6" s="68">
        <f t="shared" si="2"/>
        <v>9.7574626865671643E-2</v>
      </c>
      <c r="AN6" s="68">
        <f t="shared" si="2"/>
        <v>8.5509950248756225E-2</v>
      </c>
      <c r="AO6" s="68">
        <f t="shared" si="2"/>
        <v>7.6803482587064681E-2</v>
      </c>
      <c r="AP6" s="68">
        <f t="shared" si="2"/>
        <v>8.619402985074627E-2</v>
      </c>
      <c r="AQ6" s="68">
        <f t="shared" si="2"/>
        <v>8.1840796019900491E-2</v>
      </c>
      <c r="AR6" s="68">
        <f t="shared" si="2"/>
        <v>7.9912935323383089E-2</v>
      </c>
      <c r="AS6" s="68">
        <f t="shared" si="3"/>
        <v>8.9116915422885579E-2</v>
      </c>
      <c r="AT6" s="68">
        <f t="shared" si="3"/>
        <v>2.779850746268657E-2</v>
      </c>
      <c r="AU6" s="68">
        <f t="shared" si="3"/>
        <v>8.8681592039800985E-2</v>
      </c>
      <c r="AV6" s="68">
        <f t="shared" si="3"/>
        <v>0.14888059701492537</v>
      </c>
      <c r="AW6" s="68">
        <f t="shared" si="3"/>
        <v>0.23302238805970152</v>
      </c>
      <c r="AX6" s="68">
        <f t="shared" si="3"/>
        <v>0.18177860696517414</v>
      </c>
      <c r="AY6" s="68">
        <f t="shared" si="3"/>
        <v>0.22885572139303484</v>
      </c>
      <c r="AZ6" s="68">
        <f t="shared" si="3"/>
        <v>0.2300995024875622</v>
      </c>
      <c r="BA6" s="68">
        <f t="shared" si="3"/>
        <v>0.17717661691542286</v>
      </c>
      <c r="BB6" s="68">
        <f t="shared" si="3"/>
        <v>0.22736318407960202</v>
      </c>
      <c r="BC6" s="68">
        <f t="shared" si="4"/>
        <v>0.19626865671641791</v>
      </c>
      <c r="BD6" s="68">
        <f t="shared" si="4"/>
        <v>0.18712686567164177</v>
      </c>
      <c r="BE6" s="68">
        <f t="shared" si="4"/>
        <v>0.16461442786069652</v>
      </c>
      <c r="BF6" s="68">
        <f t="shared" si="4"/>
        <v>0.19869402985074627</v>
      </c>
      <c r="BG6" s="68">
        <f t="shared" si="4"/>
        <v>0.17232587064676619</v>
      </c>
      <c r="BH6" s="68">
        <f>IF(OR(AC5="",AC5="Sem monitoramento"),"VAZIO",IFERROR(AC5/($AG6*24),"-"))</f>
        <v>3.9490049751243782E-2</v>
      </c>
      <c r="BI6" s="68">
        <f t="shared" si="5"/>
        <v>0.16741293532338308</v>
      </c>
      <c r="BJ6" s="68">
        <f t="shared" si="6"/>
        <v>0.2664179104477612</v>
      </c>
      <c r="BK6" s="68" t="e">
        <f>IF(OR(#REF!="",#REF!="Sem monitoramento"),"VAZIO",IFERROR(#REF!/($AG6*24),"-"))</f>
        <v>#REF!</v>
      </c>
      <c r="BL6" s="68" t="e">
        <f>IF(OR(#REF!="",#REF!="Sem monitoramento"),"VAZIO",IFERROR(#REF!/($AG6*24),"-"))</f>
        <v>#REF!</v>
      </c>
      <c r="BM6" s="70">
        <f t="shared" si="7"/>
        <v>0.14270611229566452</v>
      </c>
      <c r="BN6" s="180">
        <f>'FCs estimados em PVsyst'!Y4</f>
        <v>0.1868988391376451</v>
      </c>
      <c r="BO6" s="72">
        <f t="shared" si="8"/>
        <v>12.522222222222222</v>
      </c>
      <c r="BP6" s="73">
        <f t="shared" si="9"/>
        <v>-0.13559286898839137</v>
      </c>
      <c r="BQ6" s="74">
        <f t="shared" si="10"/>
        <v>-4.4192726841980584E-2</v>
      </c>
      <c r="BR6" s="15" t="s">
        <v>8</v>
      </c>
      <c r="BS6" s="77" t="s">
        <v>108</v>
      </c>
      <c r="BT6" s="78">
        <f>(COUNTA(BR5:BR29)-BT5-BT7)</f>
        <v>3</v>
      </c>
      <c r="BU6" s="2"/>
    </row>
    <row r="7" spans="2:73" x14ac:dyDescent="0.3">
      <c r="B7" s="771"/>
      <c r="C7" s="326" t="s">
        <v>9</v>
      </c>
      <c r="D7" s="223">
        <v>165.6</v>
      </c>
      <c r="E7" s="63">
        <v>209.1</v>
      </c>
      <c r="F7" s="63">
        <v>262.5</v>
      </c>
      <c r="G7" s="63">
        <v>278.8</v>
      </c>
      <c r="H7" s="63">
        <v>283.39999999999998</v>
      </c>
      <c r="I7" s="283">
        <v>253.5</v>
      </c>
      <c r="J7" s="63">
        <v>230.7</v>
      </c>
      <c r="K7" s="282">
        <v>241.6</v>
      </c>
      <c r="L7" s="283">
        <v>248</v>
      </c>
      <c r="M7" s="355">
        <v>210</v>
      </c>
      <c r="N7" s="355">
        <v>275</v>
      </c>
      <c r="O7" s="557">
        <v>240</v>
      </c>
      <c r="P7" s="355">
        <v>280</v>
      </c>
      <c r="Q7" s="283">
        <v>264.10000000000002</v>
      </c>
      <c r="R7" s="283">
        <v>238.6</v>
      </c>
      <c r="S7" s="283">
        <v>274.89999999999998</v>
      </c>
      <c r="T7" s="355">
        <v>287.60000000000002</v>
      </c>
      <c r="U7" s="319">
        <v>285.89999999999998</v>
      </c>
      <c r="V7" s="283">
        <v>267.60000000000002</v>
      </c>
      <c r="W7" s="283">
        <v>284.89999999999998</v>
      </c>
      <c r="X7" s="283">
        <v>246.4</v>
      </c>
      <c r="Y7" s="283">
        <v>235.3</v>
      </c>
      <c r="Z7" s="15">
        <v>196.8</v>
      </c>
      <c r="AA7" s="519">
        <v>234.6</v>
      </c>
      <c r="AB7" s="323">
        <v>211.8</v>
      </c>
      <c r="AC7" s="221">
        <v>269.89999999999998</v>
      </c>
      <c r="AD7" s="221">
        <v>207.5</v>
      </c>
      <c r="AE7" s="221">
        <v>243.5</v>
      </c>
      <c r="AF7" s="335">
        <f t="shared" si="0"/>
        <v>6927.5999999999995</v>
      </c>
      <c r="AG7" s="118">
        <v>49</v>
      </c>
      <c r="AH7" s="121">
        <f t="shared" si="1"/>
        <v>1.240079365079365E-2</v>
      </c>
      <c r="AI7" s="67">
        <f t="shared" ref="AI7:BE7" si="11">IF(OR(D7="",D7="Sem monitoramento"),"VAZIO",IFERROR(D7/($AG7*24),"-"))</f>
        <v>0.14081632653061224</v>
      </c>
      <c r="AJ7" s="68">
        <f t="shared" si="11"/>
        <v>0.17780612244897959</v>
      </c>
      <c r="AK7" s="68">
        <f t="shared" si="11"/>
        <v>0.22321428571428573</v>
      </c>
      <c r="AL7" s="68">
        <f t="shared" si="11"/>
        <v>0.23707482993197279</v>
      </c>
      <c r="AM7" s="68">
        <f t="shared" si="11"/>
        <v>0.24098639455782311</v>
      </c>
      <c r="AN7" s="68">
        <f t="shared" si="11"/>
        <v>0.21556122448979592</v>
      </c>
      <c r="AO7" s="68">
        <f t="shared" si="11"/>
        <v>0.1961734693877551</v>
      </c>
      <c r="AP7" s="68">
        <f t="shared" si="11"/>
        <v>0.20544217687074828</v>
      </c>
      <c r="AQ7" s="68">
        <f t="shared" si="11"/>
        <v>0.21088435374149661</v>
      </c>
      <c r="AR7" s="68">
        <f t="shared" si="11"/>
        <v>0.17857142857142858</v>
      </c>
      <c r="AS7" s="68">
        <f t="shared" si="11"/>
        <v>0.233843537414966</v>
      </c>
      <c r="AT7" s="68">
        <f t="shared" si="11"/>
        <v>0.20408163265306123</v>
      </c>
      <c r="AU7" s="68">
        <f t="shared" si="11"/>
        <v>0.23809523809523808</v>
      </c>
      <c r="AV7" s="68">
        <f t="shared" si="11"/>
        <v>0.22457482993197281</v>
      </c>
      <c r="AW7" s="68">
        <f t="shared" si="11"/>
        <v>0.20289115646258504</v>
      </c>
      <c r="AX7" s="68">
        <f t="shared" si="11"/>
        <v>0.23375850340136053</v>
      </c>
      <c r="AY7" s="68">
        <f t="shared" si="11"/>
        <v>0.24455782312925173</v>
      </c>
      <c r="AZ7" s="68">
        <f t="shared" si="11"/>
        <v>0.24311224489795916</v>
      </c>
      <c r="BA7" s="68">
        <f t="shared" si="11"/>
        <v>0.22755102040816327</v>
      </c>
      <c r="BB7" s="68">
        <f t="shared" si="11"/>
        <v>0.24226190476190473</v>
      </c>
      <c r="BC7" s="68">
        <f t="shared" si="11"/>
        <v>0.20952380952380953</v>
      </c>
      <c r="BD7" s="68">
        <f t="shared" si="11"/>
        <v>0.20008503401360545</v>
      </c>
      <c r="BE7" s="68">
        <f t="shared" si="11"/>
        <v>0.16734693877551021</v>
      </c>
      <c r="BF7" s="68">
        <f>IF(OR(AA11="",AA11="Sem monitoramento"),"VAZIO",IFERROR(AA11/($AG7*24),"-"))</f>
        <v>0.25646258503401365</v>
      </c>
      <c r="BG7" s="68">
        <f>IF(OR(AB7="",AB7="Sem monitoramento"),"VAZIO",IFERROR(AB7/($AG7*24),"-"))</f>
        <v>0.18010204081632655</v>
      </c>
      <c r="BH7" s="68" t="e">
        <f>IF(OR(#REF!="",#REF!="Sem monitoramento"),"VAZIO",IFERROR(#REF!/($AG7*24),"-"))</f>
        <v>#REF!</v>
      </c>
      <c r="BI7" s="68">
        <f t="shared" si="5"/>
        <v>0.1764455782312925</v>
      </c>
      <c r="BJ7" s="68">
        <f t="shared" si="6"/>
        <v>0.20705782312925169</v>
      </c>
      <c r="BK7" s="68" t="e">
        <f>IF(OR(#REF!="",#REF!="Sem monitoramento"),"VAZIO",IFERROR(#REF!/($AG7*24),"-"))</f>
        <v>#REF!</v>
      </c>
      <c r="BL7" s="68" t="e">
        <f>IF(OR(#REF!="",#REF!="Sem monitoramento"),"VAZIO",IFERROR(#REF!/($AG7*24),"-"))</f>
        <v>#REF!</v>
      </c>
      <c r="BM7" s="70">
        <f t="shared" si="7"/>
        <v>0.21038629737609327</v>
      </c>
      <c r="BN7" s="180">
        <f>'FCs estimados em PVsyst'!Y5</f>
        <v>0.17987528344671203</v>
      </c>
      <c r="BO7" s="72">
        <f t="shared" si="8"/>
        <v>8.81388888888889</v>
      </c>
      <c r="BP7" s="73">
        <f t="shared" si="9"/>
        <v>4.3339002267573701E-2</v>
      </c>
      <c r="BQ7" s="74">
        <f t="shared" si="10"/>
        <v>3.0511013929381242E-2</v>
      </c>
      <c r="BR7" s="15" t="s">
        <v>9</v>
      </c>
      <c r="BS7" s="79" t="s">
        <v>109</v>
      </c>
      <c r="BT7" s="80">
        <f>COUNTIF(BQ5:BQ29,"&lt;-0,01")</f>
        <v>4</v>
      </c>
      <c r="BU7" s="2"/>
    </row>
    <row r="8" spans="2:73" x14ac:dyDescent="0.3">
      <c r="B8" s="771"/>
      <c r="C8" s="326" t="s">
        <v>10</v>
      </c>
      <c r="D8" s="223">
        <v>95</v>
      </c>
      <c r="E8" s="63">
        <v>119.4</v>
      </c>
      <c r="F8" s="63">
        <v>149.4</v>
      </c>
      <c r="G8" s="63">
        <v>159.30000000000001</v>
      </c>
      <c r="H8" s="63">
        <v>159.5</v>
      </c>
      <c r="I8" s="63">
        <v>140.69999999999999</v>
      </c>
      <c r="J8" s="63">
        <v>127.8</v>
      </c>
      <c r="K8" s="282">
        <v>155</v>
      </c>
      <c r="L8" s="283">
        <v>144.5</v>
      </c>
      <c r="M8" s="355">
        <v>105</v>
      </c>
      <c r="N8" s="355">
        <v>150</v>
      </c>
      <c r="O8" s="319">
        <v>135</v>
      </c>
      <c r="P8" s="355">
        <v>160</v>
      </c>
      <c r="Q8" s="283">
        <v>147.6</v>
      </c>
      <c r="R8" s="283">
        <v>133.9</v>
      </c>
      <c r="S8" s="283">
        <v>155.6</v>
      </c>
      <c r="T8" s="319">
        <v>163.4</v>
      </c>
      <c r="U8" s="319">
        <v>163.5</v>
      </c>
      <c r="V8" s="63">
        <v>150</v>
      </c>
      <c r="W8" s="283">
        <v>161.9</v>
      </c>
      <c r="X8" s="283">
        <v>139.4</v>
      </c>
      <c r="Y8" s="283">
        <v>133.1</v>
      </c>
      <c r="Z8" s="15">
        <v>122.9</v>
      </c>
      <c r="AA8" s="18">
        <v>128.4</v>
      </c>
      <c r="AB8" s="323">
        <v>117.5</v>
      </c>
      <c r="AC8" s="221">
        <v>153.5</v>
      </c>
      <c r="AD8" s="221">
        <v>116.5</v>
      </c>
      <c r="AE8" s="221">
        <v>141.30000000000001</v>
      </c>
      <c r="AF8" s="335">
        <f t="shared" si="0"/>
        <v>3929.1000000000004</v>
      </c>
      <c r="AG8" s="118">
        <v>33</v>
      </c>
      <c r="AH8" s="121">
        <f t="shared" si="1"/>
        <v>1.047979797979798E-2</v>
      </c>
      <c r="AI8" s="67">
        <f>IF(OR(D8="",D8="Sem monitoramento"),"VAZIO",IFERROR(D8/($AG8*24),"-"))</f>
        <v>0.11994949494949494</v>
      </c>
      <c r="AJ8" s="68">
        <f>IF(OR(E8="",E8="Sem monitoramento"),"VAZIO",IFERROR(E8/($AG8*24),"-"))</f>
        <v>0.15075757575757576</v>
      </c>
      <c r="AK8" s="68">
        <f>IF(OR(F8="",F8="Sem monitoramento"),"VAZIO",IFERROR(F8/($AG8*24),"-"))</f>
        <v>0.18863636363636363</v>
      </c>
      <c r="AL8" s="68">
        <f>IF(OR(G8="",G8="Sem monitoramento"),"VAZIO",IFERROR(G8/($AG8*24),"-"))</f>
        <v>0.20113636363636364</v>
      </c>
      <c r="AM8" s="68">
        <f>IF(OR(H8="",H8="Sem monitoramento"),"VAZIO",IFERROR(H8/($AG8*24),"-"))</f>
        <v>0.2013888888888889</v>
      </c>
      <c r="AN8" s="68" t="e">
        <f>IF(OR(#REF!="",#REF!="Sem monitoramento"),"VAZIO",IFERROR(#REF!/($AG8*24),"-"))</f>
        <v>#REF!</v>
      </c>
      <c r="AO8" s="68">
        <f t="shared" ref="AO8:BF8" si="12">IF(OR(J8="",J8="Sem monitoramento"),"VAZIO",IFERROR(J8/($AG8*24),"-"))</f>
        <v>0.16136363636363635</v>
      </c>
      <c r="AP8" s="68">
        <f t="shared" si="12"/>
        <v>0.19570707070707072</v>
      </c>
      <c r="AQ8" s="68">
        <f t="shared" si="12"/>
        <v>0.18244949494949494</v>
      </c>
      <c r="AR8" s="68">
        <f t="shared" si="12"/>
        <v>0.13257575757575757</v>
      </c>
      <c r="AS8" s="68">
        <f t="shared" si="12"/>
        <v>0.18939393939393939</v>
      </c>
      <c r="AT8" s="68">
        <f t="shared" si="12"/>
        <v>0.17045454545454544</v>
      </c>
      <c r="AU8" s="68">
        <f t="shared" si="12"/>
        <v>0.20202020202020202</v>
      </c>
      <c r="AV8" s="68">
        <f t="shared" si="12"/>
        <v>0.18636363636363637</v>
      </c>
      <c r="AW8" s="68">
        <f t="shared" si="12"/>
        <v>0.16906565656565659</v>
      </c>
      <c r="AX8" s="68">
        <f t="shared" si="12"/>
        <v>0.19646464646464645</v>
      </c>
      <c r="AY8" s="68">
        <f t="shared" si="12"/>
        <v>0.20631313131313131</v>
      </c>
      <c r="AZ8" s="68">
        <f t="shared" si="12"/>
        <v>0.20643939393939395</v>
      </c>
      <c r="BA8" s="68">
        <f t="shared" si="12"/>
        <v>0.18939393939393939</v>
      </c>
      <c r="BB8" s="68">
        <f t="shared" si="12"/>
        <v>0.20441919191919192</v>
      </c>
      <c r="BC8" s="68">
        <f t="shared" si="12"/>
        <v>0.17601010101010101</v>
      </c>
      <c r="BD8" s="68">
        <f t="shared" si="12"/>
        <v>0.16805555555555554</v>
      </c>
      <c r="BE8" s="68">
        <f t="shared" si="12"/>
        <v>0.15517676767676769</v>
      </c>
      <c r="BF8" s="68">
        <f t="shared" si="12"/>
        <v>0.16212121212121214</v>
      </c>
      <c r="BG8" s="68">
        <f>IF(OR(AB8="",AB8="Sem monitoramento"),"VAZIO",IFERROR(AB8/($AG8*24),"-"))</f>
        <v>0.14835858585858586</v>
      </c>
      <c r="BH8" s="68" t="e">
        <f>IF(OR(#REF!="",#REF!="Sem monitoramento"),"VAZIO",IFERROR(#REF!/($AG8*24),"-"))</f>
        <v>#REF!</v>
      </c>
      <c r="BI8" s="68">
        <f t="shared" si="5"/>
        <v>0.14709595959595959</v>
      </c>
      <c r="BJ8" s="68">
        <f t="shared" si="6"/>
        <v>0.17840909090909093</v>
      </c>
      <c r="BK8" s="68" t="e">
        <f>IF(OR(#REF!="",#REF!="Sem monitoramento"),"VAZIO",IFERROR(#REF!/($AG8*24),"-"))</f>
        <v>#REF!</v>
      </c>
      <c r="BL8" s="68" t="e">
        <f>IF(OR(#REF!="",#REF!="Sem monitoramento"),"VAZIO",IFERROR(#REF!/($AG8*24),"-"))</f>
        <v>#REF!</v>
      </c>
      <c r="BM8" s="70">
        <f t="shared" si="7"/>
        <v>0.17717803030303031</v>
      </c>
      <c r="BN8" s="180">
        <f>'FCs estimados em PVsyst'!Y6</f>
        <v>0.18501683501683502</v>
      </c>
      <c r="BO8" s="72">
        <f t="shared" si="8"/>
        <v>6.1055555555555561</v>
      </c>
      <c r="BP8" s="73">
        <f t="shared" si="9"/>
        <v>3.6195286195286058E-3</v>
      </c>
      <c r="BQ8" s="74">
        <f t="shared" si="10"/>
        <v>-7.8388047138047146E-3</v>
      </c>
      <c r="BR8" s="15" t="s">
        <v>10</v>
      </c>
      <c r="BS8" s="3"/>
      <c r="BT8" s="2"/>
      <c r="BU8" s="2"/>
    </row>
    <row r="9" spans="2:73" x14ac:dyDescent="0.3">
      <c r="B9" s="771"/>
      <c r="C9" s="326" t="s">
        <v>11</v>
      </c>
      <c r="D9" s="572">
        <v>35</v>
      </c>
      <c r="E9" s="63">
        <v>46</v>
      </c>
      <c r="F9" s="63">
        <v>49</v>
      </c>
      <c r="G9" s="82">
        <v>54.9</v>
      </c>
      <c r="H9" s="82">
        <v>54.2</v>
      </c>
      <c r="I9" s="308">
        <v>25.8</v>
      </c>
      <c r="J9" s="316">
        <v>46</v>
      </c>
      <c r="K9" s="283">
        <v>48.9</v>
      </c>
      <c r="L9" s="63">
        <v>49.2</v>
      </c>
      <c r="M9" s="63">
        <v>47.2</v>
      </c>
      <c r="N9" s="63">
        <v>47.3</v>
      </c>
      <c r="O9" s="63">
        <v>39.799999999999997</v>
      </c>
      <c r="P9" s="316">
        <v>50.5</v>
      </c>
      <c r="Q9" s="283">
        <v>52.1</v>
      </c>
      <c r="R9" s="308">
        <v>52.1</v>
      </c>
      <c r="S9" s="63">
        <v>53</v>
      </c>
      <c r="T9" s="63">
        <v>53.2</v>
      </c>
      <c r="U9" s="511">
        <v>52.9</v>
      </c>
      <c r="V9" s="63">
        <v>47.7</v>
      </c>
      <c r="W9" s="283">
        <v>50.6</v>
      </c>
      <c r="X9" s="63">
        <v>50.1</v>
      </c>
      <c r="Y9" s="63">
        <v>48</v>
      </c>
      <c r="Z9" s="148">
        <v>39.6</v>
      </c>
      <c r="AA9" s="18">
        <v>41.2</v>
      </c>
      <c r="AB9" s="323">
        <v>38.799999999999997</v>
      </c>
      <c r="AC9" s="489">
        <v>49.2</v>
      </c>
      <c r="AD9" s="15">
        <v>39.9</v>
      </c>
      <c r="AE9" s="15">
        <v>44.3</v>
      </c>
      <c r="AF9" s="656">
        <f t="shared" si="0"/>
        <v>1306.5</v>
      </c>
      <c r="AG9" s="118">
        <v>12</v>
      </c>
      <c r="AH9" s="121">
        <f t="shared" si="1"/>
        <v>9.4521604938271608E-3</v>
      </c>
      <c r="AI9" s="67">
        <f>IF(OR(D10="",D10="Sem monitoramento"),"VAZIO",IFERROR(D10/($AG9*24),"-"))</f>
        <v>7.8472222222222221E-2</v>
      </c>
      <c r="AJ9" s="68">
        <f>IF(OR(E9="",E9="Sem monitoramento"),"VAZIO",IFERROR(E9/($AG9*24),"-"))</f>
        <v>0.15972222222222221</v>
      </c>
      <c r="AK9" s="68">
        <f>IF(OR(F9="",F9="Sem monitoramento"),"VAZIO",IFERROR(F9/($AG9*24),"-"))</f>
        <v>0.1701388888888889</v>
      </c>
      <c r="AL9" s="68">
        <f>IF(OR(G9="",G9="Sem monitoramento"),"VAZIO",IFERROR(G9/($AG9*24),"-"))</f>
        <v>0.19062499999999999</v>
      </c>
      <c r="AM9" s="68">
        <f>IF(OR(H9="",H9="Sem monitoramento"),"VAZIO",IFERROR(H9/($AG9*24),"-"))</f>
        <v>0.18819444444444444</v>
      </c>
      <c r="AN9" s="68">
        <f>IF(OR(I9="",I9="Sem monitoramento"),"VAZIO",IFERROR(I9/($AG9*24),"-"))</f>
        <v>8.9583333333333334E-2</v>
      </c>
      <c r="AO9" s="68">
        <f>IF(OR(J10="",J10="Sem monitoramento"),"VAZIO",IFERROR(J10/($AG9*24),"-"))</f>
        <v>0.12708333333333333</v>
      </c>
      <c r="AP9" s="68">
        <f t="shared" ref="AP9:AT10" si="13">IF(OR(K9="",K9="Sem monitoramento"),"VAZIO",IFERROR(K9/($AG9*24),"-"))</f>
        <v>0.16979166666666667</v>
      </c>
      <c r="AQ9" s="68">
        <f t="shared" si="13"/>
        <v>0.17083333333333334</v>
      </c>
      <c r="AR9" s="68">
        <f t="shared" si="13"/>
        <v>0.16388888888888889</v>
      </c>
      <c r="AS9" s="68">
        <f t="shared" si="13"/>
        <v>0.16423611111111111</v>
      </c>
      <c r="AT9" s="68">
        <f t="shared" si="13"/>
        <v>0.13819444444444443</v>
      </c>
      <c r="AU9" s="68">
        <f>IF(OR(P10="",P10="Sem monitoramento"),"VAZIO",IFERROR(P10/($AG9*24),"-"))</f>
        <v>0.11979166666666667</v>
      </c>
      <c r="AV9" s="68">
        <f t="shared" ref="AV9:AY15" si="14">IF(OR(Q9="",Q9="Sem monitoramento"),"VAZIO",IFERROR(Q9/($AG9*24),"-"))</f>
        <v>0.18090277777777777</v>
      </c>
      <c r="AW9" s="68">
        <f t="shared" si="14"/>
        <v>0.18090277777777777</v>
      </c>
      <c r="AX9" s="68">
        <f t="shared" si="14"/>
        <v>0.18402777777777779</v>
      </c>
      <c r="AY9" s="68">
        <f t="shared" si="14"/>
        <v>0.18472222222222223</v>
      </c>
      <c r="AZ9" s="68">
        <f>IF(OR(U7="",U7="Sem monitoramento"),"VAZIO",IFERROR(U7/($AG9*24),"-"))</f>
        <v>0.9927083333333333</v>
      </c>
      <c r="BA9" s="68">
        <f t="shared" ref="BA9:BD10" si="15">IF(OR(V9="",V9="Sem monitoramento"),"VAZIO",IFERROR(V9/($AG9*24),"-"))</f>
        <v>0.16562500000000002</v>
      </c>
      <c r="BB9" s="68">
        <f t="shared" si="15"/>
        <v>0.17569444444444446</v>
      </c>
      <c r="BC9" s="68">
        <f t="shared" si="15"/>
        <v>0.17395833333333333</v>
      </c>
      <c r="BD9" s="68">
        <f t="shared" si="15"/>
        <v>0.16666666666666666</v>
      </c>
      <c r="BE9" s="68">
        <f>IF(OR(Z10="",Z10="Sem monitoramento"),"VAZIO",IFERROR(Z10/($AG9*24),"-"))</f>
        <v>8.9583333333333334E-2</v>
      </c>
      <c r="BF9" s="68">
        <f>IF(OR(AA9="",AA9="Sem monitoramento"),"VAZIO",IFERROR(AA9/($AG9*24),"-"))</f>
        <v>0.14305555555555557</v>
      </c>
      <c r="BG9" s="68">
        <f>IF(OR(AB9="",AB9="Sem monitoramento"),"VAZIO",IFERROR(AB9/($AG9*24),"-"))</f>
        <v>0.13472222222222222</v>
      </c>
      <c r="BH9" s="68">
        <f>IF(OR(AC7="",AC7="Sem monitoramento"),"VAZIO",IFERROR(AC7/($AG9*24),"-"))</f>
        <v>0.93715277777777772</v>
      </c>
      <c r="BI9" s="68">
        <f t="shared" si="5"/>
        <v>0.13854166666666667</v>
      </c>
      <c r="BJ9" s="68">
        <f t="shared" si="6"/>
        <v>0.15381944444444443</v>
      </c>
      <c r="BK9" s="68" t="e">
        <f>IF(OR(#REF!="",#REF!="Sem monitoramento"),"VAZIO",IFERROR(#REF!/($AG9*24),"-"))</f>
        <v>#REF!</v>
      </c>
      <c r="BL9" s="68" t="e">
        <f>IF(OR(#REF!="",#REF!="Sem monitoramento"),"VAZIO",IFERROR(#REF!/($AG9*24),"-"))</f>
        <v>#REF!</v>
      </c>
      <c r="BM9" s="70">
        <f t="shared" si="7"/>
        <v>0.16201636904761904</v>
      </c>
      <c r="BN9" s="180">
        <f>'FCs estimados em PVsyst'!Y7</f>
        <v>0.18333333333333332</v>
      </c>
      <c r="BO9" s="72">
        <f t="shared" si="8"/>
        <v>2.1999999999999997</v>
      </c>
      <c r="BP9" s="73">
        <f t="shared" si="9"/>
        <v>-1.3194444444444425E-2</v>
      </c>
      <c r="BQ9" s="74">
        <f t="shared" si="10"/>
        <v>-2.1316964285714279E-2</v>
      </c>
      <c r="BR9" s="15" t="s">
        <v>11</v>
      </c>
      <c r="BS9" s="3"/>
      <c r="BT9" s="2"/>
      <c r="BU9" s="2"/>
    </row>
    <row r="10" spans="2:73" x14ac:dyDescent="0.3">
      <c r="B10" s="771"/>
      <c r="C10" s="326" t="s">
        <v>12</v>
      </c>
      <c r="D10" s="223">
        <v>22.6</v>
      </c>
      <c r="E10" s="63">
        <v>29.4</v>
      </c>
      <c r="F10" s="63">
        <v>30.7</v>
      </c>
      <c r="G10" s="82">
        <v>33.299999999999997</v>
      </c>
      <c r="H10" s="312">
        <v>32.6</v>
      </c>
      <c r="I10" s="519">
        <v>29</v>
      </c>
      <c r="J10" s="63">
        <v>36.6</v>
      </c>
      <c r="K10" s="283">
        <v>31.9</v>
      </c>
      <c r="L10" s="63">
        <v>32.5</v>
      </c>
      <c r="M10" s="63">
        <v>32</v>
      </c>
      <c r="N10" s="63">
        <v>32.200000000000003</v>
      </c>
      <c r="O10" s="63">
        <v>27.7</v>
      </c>
      <c r="P10" s="63">
        <v>34.5</v>
      </c>
      <c r="Q10" s="283">
        <v>35</v>
      </c>
      <c r="R10" s="308">
        <v>34.700000000000003</v>
      </c>
      <c r="S10" s="63">
        <v>35.5</v>
      </c>
      <c r="T10" s="63">
        <v>35.4</v>
      </c>
      <c r="U10" s="319">
        <v>35.5</v>
      </c>
      <c r="V10" s="63">
        <v>31.5</v>
      </c>
      <c r="W10" s="283">
        <v>33.700000000000003</v>
      </c>
      <c r="X10" s="63">
        <v>33.6</v>
      </c>
      <c r="Y10" s="63">
        <v>32.1</v>
      </c>
      <c r="Z10" s="15">
        <v>25.8</v>
      </c>
      <c r="AA10" s="18">
        <v>27.9</v>
      </c>
      <c r="AB10" s="323">
        <v>27.5</v>
      </c>
      <c r="AC10" s="489">
        <v>33.799999999999997</v>
      </c>
      <c r="AD10" s="15">
        <v>27.5</v>
      </c>
      <c r="AE10" s="15">
        <v>30.8</v>
      </c>
      <c r="AF10" s="335">
        <f t="shared" si="0"/>
        <v>885.3</v>
      </c>
      <c r="AG10" s="118">
        <v>25</v>
      </c>
      <c r="AH10" s="121">
        <f t="shared" si="1"/>
        <v>2.8425925925925927E-3</v>
      </c>
      <c r="AI10" s="67" t="e">
        <f>IF(OR(#REF!="",#REF!="Sem monitoramento"),"VAZIO",IFERROR(#REF!/($AG10*24),"-"))</f>
        <v>#REF!</v>
      </c>
      <c r="AJ10" s="68">
        <f t="shared" ref="AJ10:AJ25" si="16">IF(OR(E10="",E10="Sem monitoramento"),"VAZIO",IFERROR(E10/($AG10*24),"-"))</f>
        <v>4.8999999999999995E-2</v>
      </c>
      <c r="AK10" s="68">
        <f t="shared" ref="AK10:AK25" si="17">IF(OR(F10="",F10="Sem monitoramento"),"VAZIO",IFERROR(F10/($AG10*24),"-"))</f>
        <v>5.1166666666666666E-2</v>
      </c>
      <c r="AL10" s="68">
        <f t="shared" ref="AL10:AL25" si="18">IF(OR(G10="",G10="Sem monitoramento"),"VAZIO",IFERROR(G10/($AG10*24),"-"))</f>
        <v>5.5499999999999994E-2</v>
      </c>
      <c r="AM10" s="68">
        <f t="shared" ref="AM10:AM25" si="19">IF(OR(H10="",H10="Sem monitoramento"),"VAZIO",IFERROR(H10/($AG10*24),"-"))</f>
        <v>5.4333333333333338E-2</v>
      </c>
      <c r="AN10" s="68">
        <f>IF(OR(I8="",I8="Sem monitoramento"),"VAZIO",IFERROR(I8/($AG10*24),"-"))</f>
        <v>0.23449999999999999</v>
      </c>
      <c r="AO10" s="68" t="e">
        <f>IF(OR(#REF!="",#REF!="Sem monitoramento"),"VAZIO",IFERROR(#REF!/($AG10*24),"-"))</f>
        <v>#REF!</v>
      </c>
      <c r="AP10" s="68">
        <f t="shared" si="13"/>
        <v>5.3166666666666668E-2</v>
      </c>
      <c r="AQ10" s="68">
        <f t="shared" si="13"/>
        <v>5.4166666666666669E-2</v>
      </c>
      <c r="AR10" s="68">
        <f t="shared" si="13"/>
        <v>5.3333333333333337E-2</v>
      </c>
      <c r="AS10" s="68">
        <f t="shared" si="13"/>
        <v>5.3666666666666668E-2</v>
      </c>
      <c r="AT10" s="68">
        <f t="shared" si="13"/>
        <v>4.6166666666666668E-2</v>
      </c>
      <c r="AU10" s="68" t="e">
        <f>IF(OR(#REF!="",#REF!="Sem monitoramento"),"VAZIO",IFERROR(#REF!/($AG10*24),"-"))</f>
        <v>#REF!</v>
      </c>
      <c r="AV10" s="68">
        <f t="shared" si="14"/>
        <v>5.8333333333333334E-2</v>
      </c>
      <c r="AW10" s="68">
        <f t="shared" si="14"/>
        <v>5.7833333333333341E-2</v>
      </c>
      <c r="AX10" s="68">
        <f t="shared" si="14"/>
        <v>5.9166666666666666E-2</v>
      </c>
      <c r="AY10" s="68">
        <f t="shared" si="14"/>
        <v>5.8999999999999997E-2</v>
      </c>
      <c r="AZ10" s="68">
        <f>IF(OR(U8="",U8="Sem monitoramento"),"VAZIO",IFERROR(U8/($AG10*24),"-"))</f>
        <v>0.27250000000000002</v>
      </c>
      <c r="BA10" s="68">
        <f t="shared" si="15"/>
        <v>5.2499999999999998E-2</v>
      </c>
      <c r="BB10" s="68">
        <f t="shared" si="15"/>
        <v>5.616666666666667E-2</v>
      </c>
      <c r="BC10" s="68">
        <f t="shared" si="15"/>
        <v>5.6000000000000001E-2</v>
      </c>
      <c r="BD10" s="68">
        <f t="shared" si="15"/>
        <v>5.3499999999999999E-2</v>
      </c>
      <c r="BE10" s="68" t="e">
        <f>IF(OR(#REF!="",#REF!="Sem monitoramento"),"VAZIO",IFERROR(#REF!/($AG10*24),"-"))</f>
        <v>#REF!</v>
      </c>
      <c r="BF10" s="68">
        <f>IF(OR(AA10="",AA10="Sem monitoramento"),"VAZIO",IFERROR(AA10/($AG10*24),"-"))</f>
        <v>4.65E-2</v>
      </c>
      <c r="BG10" s="68">
        <f>IF(OR(AB10="",AB10="Sem monitoramento"),"VAZIO",IFERROR(AB10/($AG10*24),"-"))</f>
        <v>4.583333333333333E-2</v>
      </c>
      <c r="BH10" s="68">
        <f>IF(OR(AC8="",AC8="Sem monitoramento"),"VAZIO",IFERROR(AC8/($AG10*24),"-"))</f>
        <v>0.25583333333333336</v>
      </c>
      <c r="BI10" s="68">
        <f t="shared" si="5"/>
        <v>4.583333333333333E-2</v>
      </c>
      <c r="BJ10" s="68">
        <f t="shared" si="6"/>
        <v>5.1333333333333335E-2</v>
      </c>
      <c r="BK10" s="68" t="e">
        <f>IF(OR(#REF!="",#REF!="Sem monitoramento"),"VAZIO",IFERROR(#REF!/($AG10*24),"-"))</f>
        <v>#REF!</v>
      </c>
      <c r="BL10" s="68" t="e">
        <f>IF(OR(#REF!="",#REF!="Sem monitoramento"),"VAZIO",IFERROR(#REF!/($AG10*24),"-"))</f>
        <v>#REF!</v>
      </c>
      <c r="BM10" s="70">
        <f t="shared" si="7"/>
        <v>5.2696428571428568E-2</v>
      </c>
      <c r="BN10" s="180">
        <f>'FCs estimados em PVsyst'!Y8</f>
        <v>0.185</v>
      </c>
      <c r="BO10" s="72">
        <f t="shared" si="8"/>
        <v>4.625</v>
      </c>
      <c r="BP10" s="73">
        <f t="shared" si="9"/>
        <v>-0.13383333333333333</v>
      </c>
      <c r="BQ10" s="74">
        <f t="shared" si="10"/>
        <v>-0.13230357142857144</v>
      </c>
      <c r="BR10" s="15" t="s">
        <v>12</v>
      </c>
      <c r="BS10" s="3"/>
      <c r="BT10" s="2"/>
      <c r="BU10" s="2"/>
    </row>
    <row r="11" spans="2:73" x14ac:dyDescent="0.3">
      <c r="B11" s="771"/>
      <c r="C11" s="327" t="s">
        <v>13</v>
      </c>
      <c r="D11" s="62">
        <v>270.2</v>
      </c>
      <c r="E11" s="63">
        <v>301.39999999999998</v>
      </c>
      <c r="F11" s="63">
        <v>379.3</v>
      </c>
      <c r="G11" s="63">
        <v>412.7</v>
      </c>
      <c r="H11" s="63">
        <v>437.1</v>
      </c>
      <c r="I11" s="283">
        <v>394.3</v>
      </c>
      <c r="J11" s="283">
        <v>376.4</v>
      </c>
      <c r="K11" s="283">
        <v>443</v>
      </c>
      <c r="L11" s="63">
        <v>387.9</v>
      </c>
      <c r="M11" s="519">
        <v>341.9</v>
      </c>
      <c r="N11" s="63">
        <v>343.6</v>
      </c>
      <c r="O11" s="63">
        <v>327</v>
      </c>
      <c r="P11" s="63">
        <v>338.6</v>
      </c>
      <c r="Q11" s="283">
        <v>436.1</v>
      </c>
      <c r="R11" s="63">
        <v>360.3</v>
      </c>
      <c r="S11" s="63">
        <v>429.4</v>
      </c>
      <c r="T11" s="319">
        <v>452.4</v>
      </c>
      <c r="U11" s="319">
        <v>450.4</v>
      </c>
      <c r="V11" s="283">
        <v>387.8</v>
      </c>
      <c r="W11" s="519">
        <v>431.7</v>
      </c>
      <c r="X11" s="63">
        <v>430.2</v>
      </c>
      <c r="Y11" s="63">
        <v>432.3</v>
      </c>
      <c r="Z11" s="15">
        <v>302.7</v>
      </c>
      <c r="AA11" s="18">
        <v>301.60000000000002</v>
      </c>
      <c r="AB11" s="323">
        <v>339.7</v>
      </c>
      <c r="AC11" s="221">
        <v>423.3</v>
      </c>
      <c r="AD11" s="15">
        <v>319.3</v>
      </c>
      <c r="AE11" s="15">
        <v>358.7</v>
      </c>
      <c r="AF11" s="656">
        <f t="shared" si="0"/>
        <v>10609.300000000001</v>
      </c>
      <c r="AG11" s="118">
        <v>78</v>
      </c>
      <c r="AH11" s="121">
        <f t="shared" si="1"/>
        <v>1.1256528964862298E-2</v>
      </c>
      <c r="AI11" s="67">
        <f t="shared" ref="AI11:AI27" si="20">IF(OR(D11="",D11="Sem monitoramento"),"VAZIO",IFERROR(D11/($AG11*24),"-"))</f>
        <v>0.14433760683760682</v>
      </c>
      <c r="AJ11" s="68">
        <f t="shared" si="16"/>
        <v>0.16100427350427349</v>
      </c>
      <c r="AK11" s="68">
        <f t="shared" si="17"/>
        <v>0.20261752136752137</v>
      </c>
      <c r="AL11" s="68">
        <f t="shared" si="18"/>
        <v>0.2204594017094017</v>
      </c>
      <c r="AM11" s="68">
        <f t="shared" si="19"/>
        <v>0.23349358974358975</v>
      </c>
      <c r="AN11" s="68">
        <f t="shared" ref="AN11:AQ16" si="21">IF(OR(I11="",I11="Sem monitoramento"),"VAZIO",IFERROR(I11/($AG11*24),"-"))</f>
        <v>0.21063034188034188</v>
      </c>
      <c r="AO11" s="68">
        <f t="shared" si="21"/>
        <v>0.20106837606837605</v>
      </c>
      <c r="AP11" s="68">
        <f t="shared" si="21"/>
        <v>0.23664529914529914</v>
      </c>
      <c r="AQ11" s="68">
        <f t="shared" si="21"/>
        <v>0.20721153846153845</v>
      </c>
      <c r="AR11" s="68">
        <f>IF(OR(M12="",M12="Sem monitoramento"),"VAZIO",IFERROR(M12/($AG11*24),"-"))</f>
        <v>0.16025641025641027</v>
      </c>
      <c r="AS11" s="68">
        <f t="shared" ref="AS11:AU16" si="22">IF(OR(N11="",N11="Sem monitoramento"),"VAZIO",IFERROR(N11/($AG11*24),"-"))</f>
        <v>0.18354700854700856</v>
      </c>
      <c r="AT11" s="68">
        <f t="shared" si="22"/>
        <v>0.17467948717948717</v>
      </c>
      <c r="AU11" s="68">
        <f t="shared" si="22"/>
        <v>0.1808760683760684</v>
      </c>
      <c r="AV11" s="68">
        <f t="shared" si="14"/>
        <v>0.23295940170940171</v>
      </c>
      <c r="AW11" s="68">
        <f t="shared" si="14"/>
        <v>0.19246794871794873</v>
      </c>
      <c r="AX11" s="68">
        <f t="shared" si="14"/>
        <v>0.22938034188034187</v>
      </c>
      <c r="AY11" s="68">
        <f t="shared" si="14"/>
        <v>0.24166666666666664</v>
      </c>
      <c r="AZ11" s="68">
        <f t="shared" ref="AZ11:BA18" si="23">IF(OR(U11="",U11="Sem monitoramento"),"VAZIO",IFERROR(U11/($AG11*24),"-"))</f>
        <v>0.24059829059829058</v>
      </c>
      <c r="BA11" s="68">
        <f t="shared" si="23"/>
        <v>0.20715811965811967</v>
      </c>
      <c r="BB11" s="68">
        <f>IF(OR(W12="",W12="Sem monitoramento"),"VAZIO",IFERROR(W12/($AG11*24),"-"))</f>
        <v>0.21581196581196582</v>
      </c>
      <c r="BC11" s="68">
        <f>IF(OR(X11="",X11="Sem monitoramento"),"VAZIO",IFERROR(X11/($AG11*24),"-"))</f>
        <v>0.2298076923076923</v>
      </c>
      <c r="BD11" s="68">
        <f>IF(OR(Y11="",Y11="Sem monitoramento"),"VAZIO",IFERROR(Y11/($AG11*24),"-"))</f>
        <v>0.23092948717948719</v>
      </c>
      <c r="BE11" s="68">
        <f>IF(OR(Z11="",Z11="Sem monitoramento"),"VAZIO",IFERROR(Z11/($AG11*24),"-"))</f>
        <v>0.16169871794871793</v>
      </c>
      <c r="BF11" s="68" t="e">
        <f>IF(OR(#REF!="",#REF!="Sem monitoramento"),"VAZIO",IFERROR(#REF!/($AG11*24),"-"))</f>
        <v>#REF!</v>
      </c>
      <c r="BG11" s="68">
        <f>IF(OR(AB9="",AB9="Sem monitoramento"),"VAZIO",IFERROR(AB9/($AG11*24),"-"))</f>
        <v>2.0726495726495726E-2</v>
      </c>
      <c r="BH11" s="68">
        <f t="shared" ref="BH11:BH31" si="24">IF(OR(AC11="",AC11="Sem monitoramento"),"VAZIO",IFERROR(AC11/($AG11*24),"-"))</f>
        <v>0.22612179487179487</v>
      </c>
      <c r="BI11" s="68">
        <f t="shared" si="5"/>
        <v>0.17056623931623932</v>
      </c>
      <c r="BJ11" s="68">
        <f t="shared" si="6"/>
        <v>0.19161324786324785</v>
      </c>
      <c r="BK11" s="68" t="e">
        <f>IF(OR(#REF!="",#REF!="Sem monitoramento"),"VAZIO",IFERROR(#REF!/($AG11*24),"-"))</f>
        <v>#REF!</v>
      </c>
      <c r="BL11" s="68" t="e">
        <f>IF(OR(#REF!="",#REF!="Sem monitoramento"),"VAZIO",IFERROR(#REF!/($AG11*24),"-"))</f>
        <v>#REF!</v>
      </c>
      <c r="BM11" s="70">
        <f t="shared" si="7"/>
        <v>0.202405753968254</v>
      </c>
      <c r="BN11" s="198">
        <f>BN19</f>
        <v>0.168125</v>
      </c>
      <c r="BO11" s="72">
        <f t="shared" si="8"/>
        <v>13.11375</v>
      </c>
      <c r="BP11" s="73">
        <f t="shared" si="9"/>
        <v>3.4492521367521373E-2</v>
      </c>
      <c r="BQ11" s="74">
        <f t="shared" si="10"/>
        <v>3.4280753968254002E-2</v>
      </c>
      <c r="BR11" s="15" t="s">
        <v>13</v>
      </c>
      <c r="BS11" s="3"/>
      <c r="BT11" s="2"/>
      <c r="BU11" s="2"/>
    </row>
    <row r="12" spans="2:73" x14ac:dyDescent="0.3">
      <c r="B12" s="772"/>
      <c r="C12" s="326" t="s">
        <v>14</v>
      </c>
      <c r="D12" s="630">
        <v>275</v>
      </c>
      <c r="E12" s="508">
        <v>340</v>
      </c>
      <c r="F12" s="356">
        <v>390</v>
      </c>
      <c r="G12" s="356">
        <v>440</v>
      </c>
      <c r="H12" s="356">
        <v>450</v>
      </c>
      <c r="I12" s="508">
        <v>395</v>
      </c>
      <c r="J12" s="356">
        <v>350</v>
      </c>
      <c r="K12" s="508">
        <v>390</v>
      </c>
      <c r="L12" s="356">
        <v>360</v>
      </c>
      <c r="M12" s="355">
        <v>300</v>
      </c>
      <c r="N12" s="356">
        <v>315</v>
      </c>
      <c r="O12" s="356">
        <v>300</v>
      </c>
      <c r="P12" s="356">
        <v>370</v>
      </c>
      <c r="Q12" s="308">
        <v>400</v>
      </c>
      <c r="R12" s="308">
        <v>390</v>
      </c>
      <c r="S12" s="82">
        <v>420</v>
      </c>
      <c r="T12" s="356">
        <v>450</v>
      </c>
      <c r="U12" s="356">
        <v>440</v>
      </c>
      <c r="V12" s="82">
        <v>405</v>
      </c>
      <c r="W12" s="283">
        <v>404</v>
      </c>
      <c r="X12" s="82">
        <v>390</v>
      </c>
      <c r="Y12" s="63">
        <v>310</v>
      </c>
      <c r="Z12" s="16">
        <v>250</v>
      </c>
      <c r="AA12" s="17">
        <v>315</v>
      </c>
      <c r="AB12" s="324">
        <v>290</v>
      </c>
      <c r="AC12" s="489">
        <v>350</v>
      </c>
      <c r="AD12" s="16">
        <v>210</v>
      </c>
      <c r="AE12" s="16">
        <v>302</v>
      </c>
      <c r="AF12" s="335">
        <f t="shared" si="0"/>
        <v>10001</v>
      </c>
      <c r="AG12" s="123">
        <v>61</v>
      </c>
      <c r="AH12" s="121" t="s">
        <v>31</v>
      </c>
      <c r="AI12" s="67">
        <f t="shared" si="20"/>
        <v>0.1878415300546448</v>
      </c>
      <c r="AJ12" s="68">
        <f t="shared" si="16"/>
        <v>0.23224043715846995</v>
      </c>
      <c r="AK12" s="68">
        <f t="shared" si="17"/>
        <v>0.26639344262295084</v>
      </c>
      <c r="AL12" s="68">
        <f t="shared" si="18"/>
        <v>0.30054644808743169</v>
      </c>
      <c r="AM12" s="68">
        <f t="shared" si="19"/>
        <v>0.30737704918032788</v>
      </c>
      <c r="AN12" s="68">
        <f t="shared" si="21"/>
        <v>0.2698087431693989</v>
      </c>
      <c r="AO12" s="68">
        <f t="shared" si="21"/>
        <v>0.23907103825136611</v>
      </c>
      <c r="AP12" s="68">
        <f t="shared" si="21"/>
        <v>0.26639344262295084</v>
      </c>
      <c r="AQ12" s="68">
        <f t="shared" si="21"/>
        <v>0.24590163934426229</v>
      </c>
      <c r="AR12" s="68">
        <f>IF(OR(M13="",M13="Sem monitoramento"),"VAZIO",IFERROR(M13/($AG12*24),"-"))</f>
        <v>0.28278688524590162</v>
      </c>
      <c r="AS12" s="68">
        <f t="shared" si="22"/>
        <v>0.2151639344262295</v>
      </c>
      <c r="AT12" s="68">
        <f t="shared" si="22"/>
        <v>0.20491803278688525</v>
      </c>
      <c r="AU12" s="68">
        <f t="shared" si="22"/>
        <v>0.25273224043715847</v>
      </c>
      <c r="AV12" s="68">
        <f t="shared" si="14"/>
        <v>0.27322404371584702</v>
      </c>
      <c r="AW12" s="68">
        <f t="shared" si="14"/>
        <v>0.26639344262295084</v>
      </c>
      <c r="AX12" s="68">
        <f t="shared" si="14"/>
        <v>0.28688524590163933</v>
      </c>
      <c r="AY12" s="68">
        <f t="shared" si="14"/>
        <v>0.30737704918032788</v>
      </c>
      <c r="AZ12" s="68">
        <f t="shared" si="23"/>
        <v>0.30054644808743169</v>
      </c>
      <c r="BA12" s="68">
        <f t="shared" si="23"/>
        <v>0.27663934426229508</v>
      </c>
      <c r="BB12" s="68" t="e">
        <f>IF(OR(#REF!="",#REF!="Sem monitoramento"),"VAZIO",IFERROR(#REF!/($AG12*24),"-"))</f>
        <v>#REF!</v>
      </c>
      <c r="BC12" s="68">
        <f t="shared" ref="BC12:BC18" si="25">IF(OR(X12="",X12="Sem monitoramento"),"VAZIO",IFERROR(X12/($AG12*24),"-"))</f>
        <v>0.26639344262295084</v>
      </c>
      <c r="BD12" s="68" t="e">
        <f>IF(OR(#REF!="",#REF!="Sem monitoramento"),"VAZIO",IFERROR(#REF!/($AG12*24),"-"))</f>
        <v>#REF!</v>
      </c>
      <c r="BE12" s="68">
        <f t="shared" ref="BE12:BG14" si="26">IF(OR(Z12="",Z12="Sem monitoramento"),"VAZIO",IFERROR(Z12/($AG12*24),"-"))</f>
        <v>0.17076502732240437</v>
      </c>
      <c r="BF12" s="68">
        <f t="shared" si="26"/>
        <v>0.2151639344262295</v>
      </c>
      <c r="BG12" s="68">
        <f t="shared" si="26"/>
        <v>0.19808743169398907</v>
      </c>
      <c r="BH12" s="68">
        <f t="shared" si="24"/>
        <v>0.23907103825136611</v>
      </c>
      <c r="BI12" s="68">
        <f t="shared" si="5"/>
        <v>0.14344262295081966</v>
      </c>
      <c r="BJ12" s="68">
        <f t="shared" si="6"/>
        <v>0.20628415300546449</v>
      </c>
      <c r="BK12" s="68" t="e">
        <f>IF(OR(#REF!="",#REF!="Sem monitoramento"),"VAZIO",IFERROR(#REF!/($AG12*24),"-"))</f>
        <v>#REF!</v>
      </c>
      <c r="BL12" s="68" t="e">
        <f>IF(OR(#REF!="",#REF!="Sem monitoramento"),"VAZIO",IFERROR(#REF!/($AG12*24),"-"))</f>
        <v>#REF!</v>
      </c>
      <c r="BM12" s="70">
        <f t="shared" si="7"/>
        <v>0.24397443403590943</v>
      </c>
      <c r="BN12" s="180">
        <f>'FCs estimados em PVsyst'!Y10</f>
        <v>0.18465391621129326</v>
      </c>
      <c r="BO12" s="72" t="s">
        <v>31</v>
      </c>
      <c r="BP12" s="73" t="s">
        <v>31</v>
      </c>
      <c r="BQ12" s="74">
        <f t="shared" si="10"/>
        <v>5.932051782461617E-2</v>
      </c>
      <c r="BR12" s="15" t="s">
        <v>14</v>
      </c>
      <c r="BS12" s="3"/>
      <c r="BT12" s="2"/>
      <c r="BU12" s="2"/>
    </row>
    <row r="13" spans="2:73" x14ac:dyDescent="0.3">
      <c r="B13" s="773" t="s">
        <v>16</v>
      </c>
      <c r="C13" s="328" t="s">
        <v>17</v>
      </c>
      <c r="D13" s="223">
        <v>325.5</v>
      </c>
      <c r="E13" s="283">
        <v>433.1</v>
      </c>
      <c r="F13" s="283">
        <v>507.2</v>
      </c>
      <c r="G13" s="283">
        <v>539.29999999999995</v>
      </c>
      <c r="H13" s="283">
        <v>558</v>
      </c>
      <c r="I13" s="283">
        <v>522.29999999999995</v>
      </c>
      <c r="J13" s="63">
        <v>467.3</v>
      </c>
      <c r="K13" s="283">
        <v>521.6</v>
      </c>
      <c r="L13" s="63">
        <v>486.6</v>
      </c>
      <c r="M13" s="82">
        <v>414</v>
      </c>
      <c r="N13" s="283">
        <v>431.4</v>
      </c>
      <c r="O13" s="63">
        <v>419.3</v>
      </c>
      <c r="P13" s="63">
        <v>500.9</v>
      </c>
      <c r="Q13" s="283">
        <v>539.6</v>
      </c>
      <c r="R13" s="308">
        <v>526.1</v>
      </c>
      <c r="S13" s="63">
        <v>568.4</v>
      </c>
      <c r="T13" s="319">
        <v>583.70000000000005</v>
      </c>
      <c r="U13" s="319">
        <v>577.9</v>
      </c>
      <c r="V13" s="63">
        <v>522.4</v>
      </c>
      <c r="W13" s="283">
        <v>523.6</v>
      </c>
      <c r="X13" s="63">
        <v>511.7</v>
      </c>
      <c r="Y13" s="316">
        <v>468</v>
      </c>
      <c r="Z13" s="15">
        <v>380.6</v>
      </c>
      <c r="AA13" s="18">
        <v>426.1</v>
      </c>
      <c r="AB13" s="323">
        <v>387.6</v>
      </c>
      <c r="AC13" s="489">
        <v>520.70000000000005</v>
      </c>
      <c r="AD13" s="15">
        <v>357.1</v>
      </c>
      <c r="AE13" s="15">
        <v>416.2</v>
      </c>
      <c r="AF13" s="335">
        <f t="shared" si="0"/>
        <v>13436.200000000003</v>
      </c>
      <c r="AG13" s="118">
        <v>100</v>
      </c>
      <c r="AH13" s="121">
        <f t="shared" ref="AH13:AH30" si="27">F13/(AG13*432)</f>
        <v>1.1740740740740741E-2</v>
      </c>
      <c r="AI13" s="67">
        <f t="shared" si="20"/>
        <v>0.135625</v>
      </c>
      <c r="AJ13" s="68">
        <f t="shared" si="16"/>
        <v>0.18045833333333333</v>
      </c>
      <c r="AK13" s="68">
        <f t="shared" si="17"/>
        <v>0.21133333333333332</v>
      </c>
      <c r="AL13" s="68">
        <f t="shared" si="18"/>
        <v>0.22470833333333332</v>
      </c>
      <c r="AM13" s="68">
        <f t="shared" si="19"/>
        <v>0.23250000000000001</v>
      </c>
      <c r="AN13" s="68">
        <f t="shared" si="21"/>
        <v>0.21762499999999999</v>
      </c>
      <c r="AO13" s="68">
        <f t="shared" si="21"/>
        <v>0.19470833333333334</v>
      </c>
      <c r="AP13" s="68">
        <f t="shared" si="21"/>
        <v>0.21733333333333335</v>
      </c>
      <c r="AQ13" s="68">
        <f t="shared" si="21"/>
        <v>0.20275000000000001</v>
      </c>
      <c r="AR13" s="68" t="e">
        <f>IF(OR(#REF!="",#REF!="Sem monitoramento"),"VAZIO",IFERROR(#REF!/($AG13*24),"-"))</f>
        <v>#REF!</v>
      </c>
      <c r="AS13" s="68">
        <f t="shared" si="22"/>
        <v>0.17974999999999999</v>
      </c>
      <c r="AT13" s="68">
        <f t="shared" si="22"/>
        <v>0.17470833333333333</v>
      </c>
      <c r="AU13" s="68">
        <f t="shared" si="22"/>
        <v>0.20870833333333333</v>
      </c>
      <c r="AV13" s="68">
        <f t="shared" si="14"/>
        <v>0.22483333333333333</v>
      </c>
      <c r="AW13" s="68">
        <f t="shared" si="14"/>
        <v>0.21920833333333334</v>
      </c>
      <c r="AX13" s="68">
        <f t="shared" si="14"/>
        <v>0.23683333333333331</v>
      </c>
      <c r="AY13" s="68">
        <f t="shared" si="14"/>
        <v>0.24320833333333336</v>
      </c>
      <c r="AZ13" s="68">
        <f t="shared" si="23"/>
        <v>0.24079166666666665</v>
      </c>
      <c r="BA13" s="68">
        <f t="shared" si="23"/>
        <v>0.21766666666666665</v>
      </c>
      <c r="BB13" s="68">
        <f t="shared" ref="BB13:BB22" si="28">IF(OR(W13="",W13="Sem monitoramento"),"VAZIO",IFERROR(W13/($AG13*24),"-"))</f>
        <v>0.21816666666666668</v>
      </c>
      <c r="BC13" s="68">
        <f t="shared" si="25"/>
        <v>0.21320833333333333</v>
      </c>
      <c r="BD13" s="68">
        <f>IF(OR(Y12="",Y12="Sem monitoramento"),"VAZIO",IFERROR(Y12/($AG13*24),"-"))</f>
        <v>0.12916666666666668</v>
      </c>
      <c r="BE13" s="68">
        <f t="shared" si="26"/>
        <v>0.15858333333333335</v>
      </c>
      <c r="BF13" s="68">
        <f t="shared" si="26"/>
        <v>0.17754166666666668</v>
      </c>
      <c r="BG13" s="68">
        <f t="shared" si="26"/>
        <v>0.1615</v>
      </c>
      <c r="BH13" s="68">
        <f t="shared" si="24"/>
        <v>0.21695833333333336</v>
      </c>
      <c r="BI13" s="68">
        <f t="shared" si="5"/>
        <v>0.14879166666666668</v>
      </c>
      <c r="BJ13" s="68">
        <f t="shared" si="6"/>
        <v>0.17341666666666666</v>
      </c>
      <c r="BK13" s="68" t="e">
        <f>IF(OR(#REF!="",#REF!="Sem monitoramento"),"VAZIO",IFERROR(#REF!/($AG13*24),"-"))</f>
        <v>#REF!</v>
      </c>
      <c r="BL13" s="68" t="e">
        <f>IF(OR(#REF!="",#REF!="Sem monitoramento"),"VAZIO",IFERROR(#REF!/($AG13*24),"-"))</f>
        <v>#REF!</v>
      </c>
      <c r="BM13" s="70">
        <f t="shared" si="7"/>
        <v>0.19994345238095243</v>
      </c>
      <c r="BN13" s="198">
        <f>BN19</f>
        <v>0.168125</v>
      </c>
      <c r="BO13" s="72">
        <f t="shared" ref="BO13:BO30" si="29">AG13*BN13</f>
        <v>16.8125</v>
      </c>
      <c r="BP13" s="73">
        <f t="shared" ref="BP13:BP30" si="30">AK13-BN13</f>
        <v>4.3208333333333321E-2</v>
      </c>
      <c r="BQ13" s="74">
        <f t="shared" si="10"/>
        <v>3.1818452380952433E-2</v>
      </c>
      <c r="BR13" s="15" t="s">
        <v>17</v>
      </c>
      <c r="BS13" s="3"/>
      <c r="BT13" s="2"/>
      <c r="BU13" s="2"/>
    </row>
    <row r="14" spans="2:73" x14ac:dyDescent="0.3">
      <c r="B14" s="771"/>
      <c r="C14" s="326" t="s">
        <v>18</v>
      </c>
      <c r="D14" s="62">
        <v>362.6</v>
      </c>
      <c r="E14" s="63">
        <v>425.1</v>
      </c>
      <c r="F14" s="63">
        <v>508.5</v>
      </c>
      <c r="G14" s="63">
        <v>542.1</v>
      </c>
      <c r="H14" s="63">
        <v>592.20000000000005</v>
      </c>
      <c r="I14" s="283">
        <v>542.5</v>
      </c>
      <c r="J14" s="283">
        <v>503.9</v>
      </c>
      <c r="K14" s="283">
        <v>587.9</v>
      </c>
      <c r="L14" s="63">
        <v>535.4</v>
      </c>
      <c r="M14" s="283">
        <v>458.2</v>
      </c>
      <c r="N14" s="63">
        <v>454.5</v>
      </c>
      <c r="O14" s="63">
        <v>453.1</v>
      </c>
      <c r="P14" s="63">
        <v>450.8</v>
      </c>
      <c r="Q14" s="283">
        <v>579.6</v>
      </c>
      <c r="R14" s="63">
        <v>494.4</v>
      </c>
      <c r="S14" s="63">
        <v>580.20000000000005</v>
      </c>
      <c r="T14" s="282">
        <v>136.5</v>
      </c>
      <c r="U14" s="282">
        <v>0</v>
      </c>
      <c r="V14" s="282">
        <v>0</v>
      </c>
      <c r="W14" s="282">
        <v>0</v>
      </c>
      <c r="X14" s="282">
        <v>0</v>
      </c>
      <c r="Y14" s="282">
        <v>0</v>
      </c>
      <c r="Z14" s="354">
        <v>0</v>
      </c>
      <c r="AA14" s="321">
        <v>0</v>
      </c>
      <c r="AB14" s="366">
        <v>0</v>
      </c>
      <c r="AC14" s="354">
        <v>0</v>
      </c>
      <c r="AD14" s="354">
        <v>0</v>
      </c>
      <c r="AE14" s="354">
        <v>0</v>
      </c>
      <c r="AF14" s="656">
        <f t="shared" si="0"/>
        <v>8207.5</v>
      </c>
      <c r="AG14" s="118">
        <v>100</v>
      </c>
      <c r="AH14" s="121">
        <f t="shared" si="27"/>
        <v>1.1770833333333333E-2</v>
      </c>
      <c r="AI14" s="67">
        <f t="shared" si="20"/>
        <v>0.15108333333333335</v>
      </c>
      <c r="AJ14" s="68">
        <f t="shared" si="16"/>
        <v>0.177125</v>
      </c>
      <c r="AK14" s="68">
        <f t="shared" si="17"/>
        <v>0.21187500000000001</v>
      </c>
      <c r="AL14" s="68">
        <f t="shared" si="18"/>
        <v>0.22587500000000002</v>
      </c>
      <c r="AM14" s="68">
        <f t="shared" si="19"/>
        <v>0.24675000000000002</v>
      </c>
      <c r="AN14" s="68">
        <f t="shared" si="21"/>
        <v>0.22604166666666667</v>
      </c>
      <c r="AO14" s="68">
        <f t="shared" si="21"/>
        <v>0.20995833333333333</v>
      </c>
      <c r="AP14" s="68">
        <f t="shared" si="21"/>
        <v>0.24495833333333333</v>
      </c>
      <c r="AQ14" s="68">
        <f t="shared" si="21"/>
        <v>0.22308333333333333</v>
      </c>
      <c r="AR14" s="68">
        <f>IF(OR(M14="",M14="Sem monitoramento"),"VAZIO",IFERROR(M14/($AG14*24),"-"))</f>
        <v>0.19091666666666665</v>
      </c>
      <c r="AS14" s="68">
        <f t="shared" si="22"/>
        <v>0.18937499999999999</v>
      </c>
      <c r="AT14" s="68">
        <f t="shared" si="22"/>
        <v>0.18879166666666666</v>
      </c>
      <c r="AU14" s="68">
        <f t="shared" si="22"/>
        <v>0.18783333333333332</v>
      </c>
      <c r="AV14" s="68">
        <f t="shared" si="14"/>
        <v>0.24150000000000002</v>
      </c>
      <c r="AW14" s="68">
        <f t="shared" si="14"/>
        <v>0.20599999999999999</v>
      </c>
      <c r="AX14" s="68">
        <f t="shared" si="14"/>
        <v>0.24175000000000002</v>
      </c>
      <c r="AY14" s="68">
        <f t="shared" si="14"/>
        <v>5.6875000000000002E-2</v>
      </c>
      <c r="AZ14" s="68">
        <f t="shared" si="23"/>
        <v>0</v>
      </c>
      <c r="BA14" s="68">
        <f t="shared" si="23"/>
        <v>0</v>
      </c>
      <c r="BB14" s="68">
        <f t="shared" si="28"/>
        <v>0</v>
      </c>
      <c r="BC14" s="68">
        <f t="shared" si="25"/>
        <v>0</v>
      </c>
      <c r="BD14" s="68">
        <f>IF(OR(Y14="",Y14="Sem monitoramento"),"VAZIO",IFERROR(Y14/($AG14*24),"-"))</f>
        <v>0</v>
      </c>
      <c r="BE14" s="68">
        <f t="shared" si="26"/>
        <v>0</v>
      </c>
      <c r="BF14" s="68">
        <f t="shared" si="26"/>
        <v>0</v>
      </c>
      <c r="BG14" s="68">
        <f t="shared" si="26"/>
        <v>0</v>
      </c>
      <c r="BH14" s="68">
        <f t="shared" si="24"/>
        <v>0</v>
      </c>
      <c r="BI14" s="68">
        <f t="shared" si="5"/>
        <v>0</v>
      </c>
      <c r="BJ14" s="68">
        <f t="shared" si="6"/>
        <v>0</v>
      </c>
      <c r="BK14" s="68" t="e">
        <f>IF(OR(#REF!="",#REF!="Sem monitoramento"),"VAZIO",IFERROR(#REF!/($AG14*24),"-"))</f>
        <v>#REF!</v>
      </c>
      <c r="BL14" s="68" t="e">
        <f>IF(OR(#REF!="",#REF!="Sem monitoramento"),"VAZIO",IFERROR(#REF!/($AG14*24),"-"))</f>
        <v>#REF!</v>
      </c>
      <c r="BM14" s="70">
        <f t="shared" si="7"/>
        <v>0.12213541666666666</v>
      </c>
      <c r="BN14" s="198">
        <f>$BN$19</f>
        <v>0.168125</v>
      </c>
      <c r="BO14" s="72">
        <f t="shared" si="29"/>
        <v>16.8125</v>
      </c>
      <c r="BP14" s="73">
        <f t="shared" si="30"/>
        <v>4.3750000000000011E-2</v>
      </c>
      <c r="BQ14" s="74">
        <f t="shared" si="10"/>
        <v>-4.5989583333333334E-2</v>
      </c>
      <c r="BR14" s="15" t="s">
        <v>18</v>
      </c>
      <c r="BS14" s="3"/>
      <c r="BT14" s="2"/>
      <c r="BU14" s="2"/>
    </row>
    <row r="15" spans="2:73" x14ac:dyDescent="0.3">
      <c r="B15" s="771"/>
      <c r="C15" s="326" t="s">
        <v>110</v>
      </c>
      <c r="D15" s="62">
        <v>99.1</v>
      </c>
      <c r="E15" s="63">
        <v>115.7</v>
      </c>
      <c r="F15" s="63">
        <v>145.19999999999999</v>
      </c>
      <c r="G15" s="63">
        <v>154.6</v>
      </c>
      <c r="H15" s="63">
        <v>167.8</v>
      </c>
      <c r="I15" s="283">
        <v>147.30000000000001</v>
      </c>
      <c r="J15" s="283">
        <v>138.19999999999999</v>
      </c>
      <c r="K15" s="283">
        <v>163.19999999999999</v>
      </c>
      <c r="L15" s="63">
        <v>150.1</v>
      </c>
      <c r="M15" s="283">
        <v>133.69999999999999</v>
      </c>
      <c r="N15" s="63">
        <v>133.1</v>
      </c>
      <c r="O15" s="63">
        <v>120.5</v>
      </c>
      <c r="P15" s="63">
        <v>126.2</v>
      </c>
      <c r="Q15" s="316">
        <v>161.69999999999999</v>
      </c>
      <c r="R15" s="63">
        <v>137.9</v>
      </c>
      <c r="S15" s="63">
        <v>163.30000000000001</v>
      </c>
      <c r="T15" s="319">
        <v>164.7</v>
      </c>
      <c r="U15" s="319">
        <v>162.69999999999999</v>
      </c>
      <c r="V15" s="283">
        <v>145.5</v>
      </c>
      <c r="W15" s="283">
        <v>161</v>
      </c>
      <c r="X15" s="63">
        <v>157.5</v>
      </c>
      <c r="Y15" s="63">
        <v>159.5</v>
      </c>
      <c r="Z15" s="31">
        <v>120.2</v>
      </c>
      <c r="AA15" s="18">
        <v>123.6</v>
      </c>
      <c r="AB15" s="323">
        <v>136.6</v>
      </c>
      <c r="AC15" s="221">
        <v>160.80000000000001</v>
      </c>
      <c r="AD15" s="221">
        <v>120.7</v>
      </c>
      <c r="AE15" s="15">
        <v>145</v>
      </c>
      <c r="AF15" s="656">
        <f t="shared" si="0"/>
        <v>4015.3999999999996</v>
      </c>
      <c r="AG15" s="118">
        <v>29</v>
      </c>
      <c r="AH15" s="121">
        <f t="shared" si="27"/>
        <v>1.1590038314176244E-2</v>
      </c>
      <c r="AI15" s="67">
        <f t="shared" si="20"/>
        <v>0.14238505747126437</v>
      </c>
      <c r="AJ15" s="68">
        <f t="shared" si="16"/>
        <v>0.16623563218390805</v>
      </c>
      <c r="AK15" s="68">
        <f t="shared" si="17"/>
        <v>0.20862068965517239</v>
      </c>
      <c r="AL15" s="68">
        <f t="shared" si="18"/>
        <v>0.22212643678160918</v>
      </c>
      <c r="AM15" s="68">
        <f t="shared" si="19"/>
        <v>0.24109195402298852</v>
      </c>
      <c r="AN15" s="68">
        <f t="shared" si="21"/>
        <v>0.21163793103448278</v>
      </c>
      <c r="AO15" s="68">
        <f t="shared" si="21"/>
        <v>0.19856321839080457</v>
      </c>
      <c r="AP15" s="68">
        <f t="shared" si="21"/>
        <v>0.23448275862068965</v>
      </c>
      <c r="AQ15" s="68">
        <f t="shared" si="21"/>
        <v>0.21566091954022987</v>
      </c>
      <c r="AR15" s="68">
        <f>IF(OR(M15="",M15="Sem monitoramento"),"VAZIO",IFERROR(M15/($AG15*24),"-"))</f>
        <v>0.19209770114942526</v>
      </c>
      <c r="AS15" s="68">
        <f t="shared" si="22"/>
        <v>0.19123563218390804</v>
      </c>
      <c r="AT15" s="68">
        <f t="shared" si="22"/>
        <v>0.17313218390804597</v>
      </c>
      <c r="AU15" s="68">
        <f t="shared" si="22"/>
        <v>0.18132183908045976</v>
      </c>
      <c r="AV15" s="68">
        <f>IF(OR(Q16="",Q16="Sem monitoramento"),"VAZIO",IFERROR(Q16/($AG15*24),"-"))</f>
        <v>0.74353448275862066</v>
      </c>
      <c r="AW15" s="68">
        <f t="shared" si="14"/>
        <v>0.19813218390804599</v>
      </c>
      <c r="AX15" s="68">
        <f t="shared" si="14"/>
        <v>0.23462643678160922</v>
      </c>
      <c r="AY15" s="68">
        <f t="shared" si="14"/>
        <v>0.23663793103448275</v>
      </c>
      <c r="AZ15" s="68">
        <f t="shared" si="23"/>
        <v>0.23376436781609194</v>
      </c>
      <c r="BA15" s="68">
        <f t="shared" si="23"/>
        <v>0.20905172413793102</v>
      </c>
      <c r="BB15" s="68">
        <f t="shared" si="28"/>
        <v>0.23132183908045978</v>
      </c>
      <c r="BC15" s="68">
        <f t="shared" si="25"/>
        <v>0.22629310344827586</v>
      </c>
      <c r="BD15" s="68">
        <f>IF(OR(Y16="",Y16="Sem monitoramento"),"VAZIO",IFERROR(Y16/($AG15*24),"-"))</f>
        <v>0.74554597701149417</v>
      </c>
      <c r="BE15" s="68">
        <f>IF(OR(Z16="",Z16="Sem monitoramento"),"VAZIO",IFERROR(Z16/($AG15*24),"-"))</f>
        <v>0.6281609195402299</v>
      </c>
      <c r="BF15" s="68">
        <f>IF(OR(AA15="",AA15="Sem monitoramento"),"VAZIO",IFERROR(AA15/($AG15*24),"-"))</f>
        <v>0.17758620689655172</v>
      </c>
      <c r="BG15" s="68">
        <f>IF(OR(AB15="",AB15="Sem monitoramento"),"VAZIO",IFERROR(AB15/($AG15*24),"-"))</f>
        <v>0.19626436781609194</v>
      </c>
      <c r="BH15" s="68">
        <f t="shared" si="24"/>
        <v>0.23103448275862071</v>
      </c>
      <c r="BI15" s="68">
        <f t="shared" si="5"/>
        <v>0.17341954022988507</v>
      </c>
      <c r="BJ15" s="68">
        <f t="shared" si="6"/>
        <v>0.20833333333333334</v>
      </c>
      <c r="BK15" s="68" t="e">
        <f>IF(OR(#REF!="",#REF!="Sem monitoramento"),"VAZIO",IFERROR(#REF!/($AG15*24),"-"))</f>
        <v>#REF!</v>
      </c>
      <c r="BL15" s="68" t="e">
        <f>IF(OR(#REF!="",#REF!="Sem monitoramento"),"VAZIO",IFERROR(#REF!/($AG15*24),"-"))</f>
        <v>#REF!</v>
      </c>
      <c r="BM15" s="70">
        <f t="shared" si="7"/>
        <v>0.20604474548440063</v>
      </c>
      <c r="BN15" s="180">
        <f>'FCs estimados em PVsyst'!Y13</f>
        <v>0.1850095785440613</v>
      </c>
      <c r="BO15" s="72">
        <f t="shared" si="29"/>
        <v>5.365277777777778</v>
      </c>
      <c r="BP15" s="73">
        <f t="shared" si="30"/>
        <v>2.3611111111111083E-2</v>
      </c>
      <c r="BQ15" s="74">
        <f t="shared" si="10"/>
        <v>2.1035166940339328E-2</v>
      </c>
      <c r="BR15" s="15" t="s">
        <v>110</v>
      </c>
      <c r="BS15" s="3"/>
      <c r="BT15" s="2"/>
      <c r="BU15" s="2"/>
    </row>
    <row r="16" spans="2:73" x14ac:dyDescent="0.3">
      <c r="B16" s="774"/>
      <c r="C16" s="326" t="s">
        <v>20</v>
      </c>
      <c r="D16" s="62">
        <v>320</v>
      </c>
      <c r="E16" s="283">
        <v>316.3</v>
      </c>
      <c r="F16" s="283">
        <v>449.5</v>
      </c>
      <c r="G16" s="283">
        <v>545.6</v>
      </c>
      <c r="H16" s="63">
        <v>536.20000000000005</v>
      </c>
      <c r="I16" s="282">
        <v>0</v>
      </c>
      <c r="J16" s="282">
        <v>0</v>
      </c>
      <c r="K16" s="63">
        <v>116.2</v>
      </c>
      <c r="L16" s="63">
        <v>556.5</v>
      </c>
      <c r="M16" s="63">
        <v>457.8</v>
      </c>
      <c r="N16" s="63">
        <v>449</v>
      </c>
      <c r="O16" s="63">
        <v>435.9</v>
      </c>
      <c r="P16" s="283">
        <v>479</v>
      </c>
      <c r="Q16" s="283">
        <v>517.5</v>
      </c>
      <c r="R16" s="283">
        <v>500.9</v>
      </c>
      <c r="S16" s="283">
        <v>589.20000000000005</v>
      </c>
      <c r="T16" s="595">
        <v>589.29999999999995</v>
      </c>
      <c r="U16" s="355">
        <v>558</v>
      </c>
      <c r="V16" s="355">
        <v>578.20000000000005</v>
      </c>
      <c r="W16" s="283">
        <v>557.70000000000005</v>
      </c>
      <c r="X16" s="63">
        <v>543.79999999999995</v>
      </c>
      <c r="Y16" s="63">
        <v>518.9</v>
      </c>
      <c r="Z16" s="15">
        <v>437.2</v>
      </c>
      <c r="AA16" s="61">
        <v>466.5</v>
      </c>
      <c r="AB16" s="323">
        <v>342.1</v>
      </c>
      <c r="AC16" s="15">
        <v>536.9</v>
      </c>
      <c r="AD16" s="15">
        <v>416.9</v>
      </c>
      <c r="AE16" s="15">
        <v>454.8</v>
      </c>
      <c r="AF16" s="656">
        <f t="shared" si="0"/>
        <v>12269.899999999998</v>
      </c>
      <c r="AG16" s="118">
        <v>100</v>
      </c>
      <c r="AH16" s="121">
        <f t="shared" si="27"/>
        <v>1.0405092592592593E-2</v>
      </c>
      <c r="AI16" s="67">
        <f t="shared" si="20"/>
        <v>0.13333333333333333</v>
      </c>
      <c r="AJ16" s="68">
        <f t="shared" si="16"/>
        <v>0.13179166666666667</v>
      </c>
      <c r="AK16" s="68">
        <f t="shared" si="17"/>
        <v>0.18729166666666666</v>
      </c>
      <c r="AL16" s="68">
        <f t="shared" si="18"/>
        <v>0.22733333333333333</v>
      </c>
      <c r="AM16" s="68">
        <f t="shared" si="19"/>
        <v>0.22341666666666668</v>
      </c>
      <c r="AN16" s="68">
        <f t="shared" si="21"/>
        <v>0</v>
      </c>
      <c r="AO16" s="68">
        <f t="shared" si="21"/>
        <v>0</v>
      </c>
      <c r="AP16" s="68">
        <f t="shared" si="21"/>
        <v>4.841666666666667E-2</v>
      </c>
      <c r="AQ16" s="68">
        <f t="shared" si="21"/>
        <v>0.231875</v>
      </c>
      <c r="AR16" s="68">
        <f>IF(OR(M16="",M16="Sem monitoramento"),"VAZIO",IFERROR(M16/($AG16*24),"-"))</f>
        <v>0.19075</v>
      </c>
      <c r="AS16" s="68">
        <f t="shared" si="22"/>
        <v>0.18708333333333332</v>
      </c>
      <c r="AT16" s="68">
        <f t="shared" si="22"/>
        <v>0.18162499999999998</v>
      </c>
      <c r="AU16" s="68">
        <f t="shared" si="22"/>
        <v>0.19958333333333333</v>
      </c>
      <c r="AV16" s="68" t="e">
        <f>IF(OR(#REF!="",#REF!="Sem monitoramento"),"VAZIO",IFERROR(#REF!/($AG16*24),"-"))</f>
        <v>#REF!</v>
      </c>
      <c r="AW16" s="68">
        <f t="shared" ref="AV16:AX17" si="31">IF(OR(R16="",R16="Sem monitoramento"),"VAZIO",IFERROR(R16/($AG16*24),"-"))</f>
        <v>0.20870833333333333</v>
      </c>
      <c r="AX16" s="68">
        <f t="shared" si="31"/>
        <v>0.24550000000000002</v>
      </c>
      <c r="AY16" s="68">
        <f>IF(OR(T14="",T14="Sem monitoramento"),"VAZIO",IFERROR(T14/($AG16*24),"-"))</f>
        <v>5.6875000000000002E-2</v>
      </c>
      <c r="AZ16" s="68">
        <f t="shared" si="23"/>
        <v>0.23250000000000001</v>
      </c>
      <c r="BA16" s="68">
        <f t="shared" si="23"/>
        <v>0.2409166666666667</v>
      </c>
      <c r="BB16" s="68">
        <f t="shared" si="28"/>
        <v>0.23237500000000003</v>
      </c>
      <c r="BC16" s="68">
        <f t="shared" si="25"/>
        <v>0.2265833333333333</v>
      </c>
      <c r="BD16" s="68" t="e">
        <f>IF(OR(#REF!="",#REF!="Sem monitoramento"),"VAZIO",IFERROR(#REF!/($AG16*24),"-"))</f>
        <v>#REF!</v>
      </c>
      <c r="BE16" s="68" t="e">
        <f>IF(OR(#REF!="",#REF!="Sem monitoramento"),"VAZIO",IFERROR(#REF!/($AG16*24),"-"))</f>
        <v>#REF!</v>
      </c>
      <c r="BF16" s="68">
        <f>IF(OR(AA16="",AA16="Sem monitoramento"),"VAZIO",IFERROR(AA16/($AG16*24),"-"))</f>
        <v>0.19437499999999999</v>
      </c>
      <c r="BG16" s="68">
        <f>IF(OR(AB16="",AB16="Sem monitoramento"),"VAZIO",IFERROR(AB16/($AG16*24),"-"))</f>
        <v>0.14254166666666668</v>
      </c>
      <c r="BH16" s="68">
        <f t="shared" si="24"/>
        <v>0.22370833333333331</v>
      </c>
      <c r="BI16" s="68">
        <f t="shared" si="5"/>
        <v>0.17370833333333333</v>
      </c>
      <c r="BJ16" s="68">
        <f t="shared" si="6"/>
        <v>0.1895</v>
      </c>
      <c r="BK16" s="68" t="e">
        <f>IF(OR(#REF!="",#REF!="Sem monitoramento"),"VAZIO",IFERROR(#REF!/($AG16*24),"-"))</f>
        <v>#REF!</v>
      </c>
      <c r="BL16" s="68" t="e">
        <f>IF(OR(#REF!="",#REF!="Sem monitoramento"),"VAZIO",IFERROR(#REF!/($AG16*24),"-"))</f>
        <v>#REF!</v>
      </c>
      <c r="BM16" s="70">
        <f t="shared" si="7"/>
        <v>0.18258779761904759</v>
      </c>
      <c r="BN16" s="180">
        <f>'FCs estimados em PVsyst'!Y14</f>
        <v>0.16425000000000001</v>
      </c>
      <c r="BO16" s="72">
        <f t="shared" si="29"/>
        <v>16.425000000000001</v>
      </c>
      <c r="BP16" s="73">
        <f t="shared" si="30"/>
        <v>2.3041666666666655E-2</v>
      </c>
      <c r="BQ16" s="74">
        <f t="shared" si="10"/>
        <v>1.833779761904758E-2</v>
      </c>
      <c r="BR16" s="15" t="s">
        <v>20</v>
      </c>
      <c r="BS16" s="3"/>
      <c r="BT16" s="2"/>
      <c r="BU16" s="2"/>
    </row>
    <row r="17" spans="2:73" x14ac:dyDescent="0.3">
      <c r="B17" s="775" t="s">
        <v>21</v>
      </c>
      <c r="C17" s="326" t="s">
        <v>22</v>
      </c>
      <c r="D17" s="223">
        <v>428.5</v>
      </c>
      <c r="E17" s="63">
        <v>470.1</v>
      </c>
      <c r="F17" s="308">
        <v>506.2</v>
      </c>
      <c r="G17" s="283">
        <v>569.79999999999995</v>
      </c>
      <c r="H17" s="283">
        <v>574.9</v>
      </c>
      <c r="I17" s="82">
        <v>499</v>
      </c>
      <c r="J17" s="82">
        <v>486.7</v>
      </c>
      <c r="K17" s="63">
        <v>478.7</v>
      </c>
      <c r="L17" s="63">
        <v>514.5</v>
      </c>
      <c r="M17" s="63">
        <v>520.70000000000005</v>
      </c>
      <c r="N17" s="480">
        <v>475.5</v>
      </c>
      <c r="O17" s="283">
        <v>468.7</v>
      </c>
      <c r="P17" s="283">
        <v>505.9</v>
      </c>
      <c r="Q17" s="283">
        <v>519.29999999999995</v>
      </c>
      <c r="R17" s="63">
        <v>556.29999999999995</v>
      </c>
      <c r="S17" s="283">
        <v>543.4</v>
      </c>
      <c r="T17" s="319">
        <v>569.4</v>
      </c>
      <c r="U17" s="319">
        <v>564</v>
      </c>
      <c r="V17" s="319">
        <v>570.20000000000005</v>
      </c>
      <c r="W17" s="283">
        <v>542.4</v>
      </c>
      <c r="X17" s="283">
        <v>544.20000000000005</v>
      </c>
      <c r="Y17" s="519">
        <v>544.79999999999995</v>
      </c>
      <c r="Z17" s="15">
        <v>486.4</v>
      </c>
      <c r="AA17" s="18">
        <v>468.9</v>
      </c>
      <c r="AB17" s="20">
        <v>463.4</v>
      </c>
      <c r="AC17" s="221">
        <v>506.2</v>
      </c>
      <c r="AD17" s="221">
        <v>486.1</v>
      </c>
      <c r="AE17" s="15">
        <v>453.9</v>
      </c>
      <c r="AF17" s="656">
        <f t="shared" si="0"/>
        <v>14318.099999999999</v>
      </c>
      <c r="AG17" s="118">
        <v>100</v>
      </c>
      <c r="AH17" s="122">
        <f t="shared" si="27"/>
        <v>1.1717592592592592E-2</v>
      </c>
      <c r="AI17" s="67">
        <f t="shared" si="20"/>
        <v>0.17854166666666665</v>
      </c>
      <c r="AJ17" s="68">
        <f t="shared" si="16"/>
        <v>0.19587500000000002</v>
      </c>
      <c r="AK17" s="68">
        <f t="shared" si="17"/>
        <v>0.21091666666666667</v>
      </c>
      <c r="AL17" s="68">
        <f t="shared" si="18"/>
        <v>0.23741666666666664</v>
      </c>
      <c r="AM17" s="68">
        <f t="shared" si="19"/>
        <v>0.23954166666666665</v>
      </c>
      <c r="AN17" s="68">
        <f t="shared" ref="AN17:AO23" si="32">IF(OR(I17="",I17="Sem monitoramento"),"VAZIO",IFERROR(I17/($AG17*24),"-"))</f>
        <v>0.20791666666666667</v>
      </c>
      <c r="AO17" s="68">
        <f t="shared" si="32"/>
        <v>0.20279166666666668</v>
      </c>
      <c r="AP17" s="68" t="e">
        <f>IF(OR(#REF!="",#REF!="Sem monitoramento"),"VAZIO",IFERROR(#REF!/($AG17*24),"-"))</f>
        <v>#REF!</v>
      </c>
      <c r="AQ17" s="68">
        <f>IF(OR(L17="",L17="Sem monitoramento"),"VAZIO",IFERROR(L17/($AG17*24),"-"))</f>
        <v>0.21437500000000001</v>
      </c>
      <c r="AR17" s="68">
        <f>IF(OR(M17="",M17="Sem monitoramento"),"VAZIO",IFERROR(M17/($AG17*24),"-"))</f>
        <v>0.21695833333333336</v>
      </c>
      <c r="AS17" s="68">
        <f>IF(OR(N18="",N18="Sem monitoramento"),"VAZIO",IFERROR(N18/($AG17*24),"-"))</f>
        <v>0.20804166666666668</v>
      </c>
      <c r="AT17" s="68">
        <f t="shared" ref="AT17:AU22" si="33">IF(OR(O17="",O17="Sem monitoramento"),"VAZIO",IFERROR(O17/($AG17*24),"-"))</f>
        <v>0.19529166666666667</v>
      </c>
      <c r="AU17" s="68">
        <f t="shared" si="33"/>
        <v>0.21079166666666665</v>
      </c>
      <c r="AV17" s="68">
        <f t="shared" si="31"/>
        <v>0.21637499999999998</v>
      </c>
      <c r="AW17" s="68">
        <f t="shared" si="31"/>
        <v>0.23179166666666665</v>
      </c>
      <c r="AX17" s="68">
        <f t="shared" si="31"/>
        <v>0.22641666666666665</v>
      </c>
      <c r="AY17" s="68">
        <f t="shared" ref="AY17:AY24" si="34">IF(OR(T17="",T17="Sem monitoramento"),"VAZIO",IFERROR(T17/($AG17*24),"-"))</f>
        <v>0.23724999999999999</v>
      </c>
      <c r="AZ17" s="68">
        <f t="shared" si="23"/>
        <v>0.23499999999999999</v>
      </c>
      <c r="BA17" s="68">
        <f t="shared" si="23"/>
        <v>0.23758333333333334</v>
      </c>
      <c r="BB17" s="68">
        <f t="shared" si="28"/>
        <v>0.22599999999999998</v>
      </c>
      <c r="BC17" s="68">
        <f t="shared" si="25"/>
        <v>0.22675000000000001</v>
      </c>
      <c r="BD17" s="68" t="e">
        <f>IF(OR(#REF!="",#REF!="Sem monitoramento"),"VAZIO",IFERROR(#REF!/($AG17*24),"-"))</f>
        <v>#REF!</v>
      </c>
      <c r="BE17" s="68">
        <f t="shared" ref="BE17:BF24" si="35">IF(OR(Z17="",Z17="Sem monitoramento"),"VAZIO",IFERROR(Z17/($AG17*24),"-"))</f>
        <v>0.20266666666666666</v>
      </c>
      <c r="BF17" s="68">
        <f t="shared" si="35"/>
        <v>0.19537499999999999</v>
      </c>
      <c r="BG17" s="68" t="e">
        <f>IF(OR(#REF!="",#REF!="Sem monitoramento"),"VAZIO",IFERROR(#REF!/($AG17*24),"-"))</f>
        <v>#REF!</v>
      </c>
      <c r="BH17" s="68">
        <f t="shared" si="24"/>
        <v>0.21091666666666667</v>
      </c>
      <c r="BI17" s="68">
        <f t="shared" si="5"/>
        <v>0.20254166666666668</v>
      </c>
      <c r="BJ17" s="68">
        <f t="shared" si="6"/>
        <v>0.18912499999999999</v>
      </c>
      <c r="BK17" s="68" t="e">
        <f>IF(OR(#REF!="",#REF!="Sem monitoramento"),"VAZIO",IFERROR(#REF!/($AG17*24),"-"))</f>
        <v>#REF!</v>
      </c>
      <c r="BL17" s="68" t="e">
        <f>IF(OR(#REF!="",#REF!="Sem monitoramento"),"VAZIO",IFERROR(#REF!/($AG17*24),"-"))</f>
        <v>#REF!</v>
      </c>
      <c r="BM17" s="70">
        <f t="shared" si="7"/>
        <v>0.21306696428571426</v>
      </c>
      <c r="BN17" s="198">
        <f>$BN$19</f>
        <v>0.168125</v>
      </c>
      <c r="BO17" s="90">
        <f t="shared" si="29"/>
        <v>16.8125</v>
      </c>
      <c r="BP17" s="73">
        <f t="shared" si="30"/>
        <v>4.2791666666666672E-2</v>
      </c>
      <c r="BQ17" s="74">
        <f t="shared" si="10"/>
        <v>4.4941964285714259E-2</v>
      </c>
      <c r="BR17" s="15" t="s">
        <v>22</v>
      </c>
      <c r="BS17" s="3"/>
      <c r="BT17" s="2"/>
      <c r="BU17" s="2"/>
    </row>
    <row r="18" spans="2:73" x14ac:dyDescent="0.3">
      <c r="B18" s="775"/>
      <c r="C18" s="326" t="s">
        <v>23</v>
      </c>
      <c r="D18" s="223">
        <v>455.6</v>
      </c>
      <c r="E18" s="63">
        <v>497.1</v>
      </c>
      <c r="F18" s="308">
        <v>521.20000000000005</v>
      </c>
      <c r="G18" s="283">
        <v>597.4</v>
      </c>
      <c r="H18" s="63">
        <v>601.6</v>
      </c>
      <c r="I18" s="63">
        <v>536.5</v>
      </c>
      <c r="J18" s="63">
        <v>513.20000000000005</v>
      </c>
      <c r="K18" s="63">
        <v>510</v>
      </c>
      <c r="L18" s="63">
        <v>533.4</v>
      </c>
      <c r="M18" s="316">
        <v>548</v>
      </c>
      <c r="N18" s="283">
        <v>499.3</v>
      </c>
      <c r="O18" s="283">
        <v>493.9</v>
      </c>
      <c r="P18" s="63">
        <v>550.5</v>
      </c>
      <c r="Q18" s="519">
        <v>533.5</v>
      </c>
      <c r="R18" s="63">
        <v>593.20000000000005</v>
      </c>
      <c r="S18" s="283">
        <v>572.5</v>
      </c>
      <c r="T18" s="319">
        <v>605.5</v>
      </c>
      <c r="U18" s="355">
        <v>600.79999999999995</v>
      </c>
      <c r="V18" s="355">
        <v>605.1</v>
      </c>
      <c r="W18" s="283">
        <v>586.29999999999995</v>
      </c>
      <c r="X18" s="283">
        <v>568.79999999999995</v>
      </c>
      <c r="Y18" s="283">
        <v>570.6</v>
      </c>
      <c r="Z18" s="221">
        <v>522.20000000000005</v>
      </c>
      <c r="AA18" s="18">
        <v>493.8</v>
      </c>
      <c r="AB18" s="628">
        <v>484.7</v>
      </c>
      <c r="AC18" s="221">
        <v>541.1</v>
      </c>
      <c r="AD18" s="221">
        <v>513.9</v>
      </c>
      <c r="AE18" s="15">
        <v>486.5</v>
      </c>
      <c r="AF18" s="656">
        <f t="shared" si="0"/>
        <v>15136.199999999999</v>
      </c>
      <c r="AG18" s="118">
        <v>100</v>
      </c>
      <c r="AH18" s="122">
        <f t="shared" si="27"/>
        <v>1.2064814814814816E-2</v>
      </c>
      <c r="AI18" s="67">
        <f t="shared" si="20"/>
        <v>0.18983333333333335</v>
      </c>
      <c r="AJ18" s="68">
        <f t="shared" si="16"/>
        <v>0.207125</v>
      </c>
      <c r="AK18" s="68">
        <f t="shared" si="17"/>
        <v>0.21716666666666667</v>
      </c>
      <c r="AL18" s="68">
        <f t="shared" si="18"/>
        <v>0.24891666666666665</v>
      </c>
      <c r="AM18" s="68">
        <f t="shared" si="19"/>
        <v>0.25066666666666665</v>
      </c>
      <c r="AN18" s="68">
        <f t="shared" si="32"/>
        <v>0.22354166666666667</v>
      </c>
      <c r="AO18" s="68">
        <f t="shared" si="32"/>
        <v>0.21383333333333335</v>
      </c>
      <c r="AP18" s="68">
        <f>IF(OR(K18="",K18="Sem monitoramento"),"VAZIO",IFERROR(K18/($AG18*24),"-"))</f>
        <v>0.21249999999999999</v>
      </c>
      <c r="AQ18" s="68">
        <f>IF(OR(L18="",L18="Sem monitoramento"),"VAZIO",IFERROR(L18/($AG18*24),"-"))</f>
        <v>0.22225</v>
      </c>
      <c r="AR18" s="68">
        <f>IF(OR(M19="",M19="Sem monitoramento"),"VAZIO",IFERROR(M19/($AG18*24),"-"))</f>
        <v>0.17762500000000001</v>
      </c>
      <c r="AS18" s="68" t="e">
        <f>IF(OR(#REF!="",#REF!="Sem monitoramento"),"VAZIO",IFERROR(#REF!/($AG18*24),"-"))</f>
        <v>#REF!</v>
      </c>
      <c r="AT18" s="68">
        <f t="shared" si="33"/>
        <v>0.20579166666666665</v>
      </c>
      <c r="AU18" s="68">
        <f t="shared" si="33"/>
        <v>0.229375</v>
      </c>
      <c r="AV18" s="68">
        <f>IF(OR(Q19="",Q19="Sem monitoramento"),"VAZIO",IFERROR(Q19/($AG18*24),"-"))</f>
        <v>0.16991666666666666</v>
      </c>
      <c r="AW18" s="68" t="e">
        <f>IF(OR(#REF!="",#REF!="Sem monitoramento"),"VAZIO",IFERROR(#REF!/($AG18*24),"-"))</f>
        <v>#REF!</v>
      </c>
      <c r="AX18" s="68">
        <f>IF(OR(S18="",S18="Sem monitoramento"),"VAZIO",IFERROR(S18/($AG18*24),"-"))</f>
        <v>0.23854166666666668</v>
      </c>
      <c r="AY18" s="68">
        <f t="shared" si="34"/>
        <v>0.25229166666666669</v>
      </c>
      <c r="AZ18" s="68">
        <f t="shared" si="23"/>
        <v>0.2503333333333333</v>
      </c>
      <c r="BA18" s="68">
        <f t="shared" si="23"/>
        <v>0.25212499999999999</v>
      </c>
      <c r="BB18" s="68">
        <f t="shared" si="28"/>
        <v>0.24429166666666666</v>
      </c>
      <c r="BC18" s="68">
        <f t="shared" si="25"/>
        <v>0.23699999999999999</v>
      </c>
      <c r="BD18" s="68">
        <f>IF(OR(Y18="",Y18="Sem monitoramento"),"VAZIO",IFERROR(Y18/($AG18*24),"-"))</f>
        <v>0.23775000000000002</v>
      </c>
      <c r="BE18" s="68">
        <f t="shared" si="35"/>
        <v>0.21758333333333335</v>
      </c>
      <c r="BF18" s="68">
        <f t="shared" si="35"/>
        <v>0.20575000000000002</v>
      </c>
      <c r="BG18" s="68">
        <f>IF(OR(AB17="",AB17="Sem monitoramento"),"VAZIO",IFERROR(AB17/($AG18*24),"-"))</f>
        <v>0.19308333333333333</v>
      </c>
      <c r="BH18" s="68">
        <f t="shared" si="24"/>
        <v>0.22545833333333334</v>
      </c>
      <c r="BI18" s="68">
        <f t="shared" si="5"/>
        <v>0.21412499999999998</v>
      </c>
      <c r="BJ18" s="68">
        <f t="shared" si="6"/>
        <v>0.20270833333333332</v>
      </c>
      <c r="BK18" s="68" t="e">
        <f>IF(OR(#REF!="",#REF!="Sem monitoramento"),"VAZIO",IFERROR(#REF!/($AG18*24),"-"))</f>
        <v>#REF!</v>
      </c>
      <c r="BL18" s="68" t="e">
        <f>IF(OR(#REF!="",#REF!="Sem monitoramento"),"VAZIO",IFERROR(#REF!/($AG18*24),"-"))</f>
        <v>#REF!</v>
      </c>
      <c r="BM18" s="70">
        <f t="shared" si="7"/>
        <v>0.22524107142857142</v>
      </c>
      <c r="BN18" s="198">
        <f>$BN$19</f>
        <v>0.168125</v>
      </c>
      <c r="BO18" s="90">
        <f t="shared" si="29"/>
        <v>16.8125</v>
      </c>
      <c r="BP18" s="73">
        <f t="shared" si="30"/>
        <v>4.9041666666666678E-2</v>
      </c>
      <c r="BQ18" s="74">
        <f t="shared" si="10"/>
        <v>5.7116071428571419E-2</v>
      </c>
      <c r="BR18" s="15" t="s">
        <v>23</v>
      </c>
      <c r="BS18" s="3"/>
      <c r="BT18" s="2"/>
      <c r="BU18" s="2"/>
    </row>
    <row r="19" spans="2:73" x14ac:dyDescent="0.3">
      <c r="B19" s="775"/>
      <c r="C19" s="326" t="s">
        <v>24</v>
      </c>
      <c r="D19" s="62">
        <v>327.60000000000002</v>
      </c>
      <c r="E19" s="63">
        <v>445</v>
      </c>
      <c r="F19" s="63">
        <v>397.5</v>
      </c>
      <c r="G19" s="283">
        <v>483.7</v>
      </c>
      <c r="H19" s="283">
        <v>491.4</v>
      </c>
      <c r="I19" s="63">
        <v>417.3</v>
      </c>
      <c r="J19" s="283">
        <v>429.4</v>
      </c>
      <c r="K19" s="63">
        <v>403.4</v>
      </c>
      <c r="L19" s="63">
        <v>431.3</v>
      </c>
      <c r="M19" s="283">
        <v>426.3</v>
      </c>
      <c r="N19" s="283">
        <v>416.3</v>
      </c>
      <c r="O19" s="283">
        <v>391.2</v>
      </c>
      <c r="P19" s="283">
        <v>434.1</v>
      </c>
      <c r="Q19" s="283">
        <v>407.8</v>
      </c>
      <c r="R19" s="63">
        <v>464.8</v>
      </c>
      <c r="S19" s="63">
        <v>444.7</v>
      </c>
      <c r="T19" s="319">
        <v>475.9</v>
      </c>
      <c r="U19" s="319">
        <v>471.2</v>
      </c>
      <c r="V19" s="355">
        <v>474.7</v>
      </c>
      <c r="W19" s="283">
        <v>460.2</v>
      </c>
      <c r="X19" s="316">
        <v>458.7</v>
      </c>
      <c r="Y19" s="283">
        <v>435</v>
      </c>
      <c r="Z19" s="63">
        <v>410.7</v>
      </c>
      <c r="AA19" s="18">
        <v>401</v>
      </c>
      <c r="AB19" s="323">
        <v>425.4</v>
      </c>
      <c r="AC19" s="15">
        <v>470.7</v>
      </c>
      <c r="AD19" s="283">
        <v>404.8</v>
      </c>
      <c r="AE19" s="221">
        <v>407.5</v>
      </c>
      <c r="AF19" s="656">
        <f t="shared" si="0"/>
        <v>12107.600000000002</v>
      </c>
      <c r="AG19" s="118">
        <v>80</v>
      </c>
      <c r="AH19" s="121">
        <f t="shared" si="27"/>
        <v>1.1501736111111112E-2</v>
      </c>
      <c r="AI19" s="67">
        <f t="shared" si="20"/>
        <v>0.170625</v>
      </c>
      <c r="AJ19" s="68">
        <f t="shared" si="16"/>
        <v>0.23177083333333334</v>
      </c>
      <c r="AK19" s="68">
        <f t="shared" si="17"/>
        <v>0.20703125</v>
      </c>
      <c r="AL19" s="68">
        <f t="shared" si="18"/>
        <v>0.2519270833333333</v>
      </c>
      <c r="AM19" s="68">
        <f t="shared" si="19"/>
        <v>0.25593749999999998</v>
      </c>
      <c r="AN19" s="68">
        <f t="shared" si="32"/>
        <v>0.21734375</v>
      </c>
      <c r="AO19" s="68">
        <f t="shared" si="32"/>
        <v>0.22364583333333332</v>
      </c>
      <c r="AP19" s="68">
        <f>IF(OR(K19="",K19="Sem monitoramento"),"VAZIO",IFERROR(K19/($AG19*24),"-"))</f>
        <v>0.21010416666666665</v>
      </c>
      <c r="AQ19" s="68">
        <f>IF(OR(L21="",L21="Sem monitoramento"),"VAZIO",IFERROR(L21/($AG19*24),"-"))</f>
        <v>0.22296875000000002</v>
      </c>
      <c r="AR19" s="68" t="e">
        <f>IF(OR(#REF!="",#REF!="Sem monitoramento"),"VAZIO",IFERROR(#REF!/($AG19*24),"-"))</f>
        <v>#REF!</v>
      </c>
      <c r="AS19" s="68">
        <f>IF(OR(N19="",N19="Sem monitoramento"),"VAZIO",IFERROR(N19/($AG19*24),"-"))</f>
        <v>0.21682291666666667</v>
      </c>
      <c r="AT19" s="68">
        <f t="shared" si="33"/>
        <v>0.20374999999999999</v>
      </c>
      <c r="AU19" s="68">
        <f t="shared" si="33"/>
        <v>0.22609375000000001</v>
      </c>
      <c r="AV19" s="68" t="e">
        <f>IF(OR(#REF!="",#REF!="Sem monitoramento"),"VAZIO",IFERROR(#REF!/($AG19*24),"-"))</f>
        <v>#REF!</v>
      </c>
      <c r="AW19" s="68">
        <f>IF(OR(R19="",R19="Sem monitoramento"),"VAZIO",IFERROR(R19/($AG19*24),"-"))</f>
        <v>0.24208333333333334</v>
      </c>
      <c r="AX19" s="68">
        <f>IF(OR(S19="",S19="Sem monitoramento"),"VAZIO",IFERROR(S19/($AG19*24),"-"))</f>
        <v>0.23161458333333332</v>
      </c>
      <c r="AY19" s="68">
        <f t="shared" si="34"/>
        <v>0.24786458333333333</v>
      </c>
      <c r="AZ19" s="68">
        <f t="shared" ref="AZ19:AZ24" si="36">IF(OR(U19="",U19="Sem monitoramento"),"VAZIO",IFERROR(U19/($AG19*24),"-"))</f>
        <v>0.24541666666666667</v>
      </c>
      <c r="BA19" s="68" t="e">
        <f>IF(OR(#REF!="",#REF!="Sem monitoramento"),"VAZIO",IFERROR(#REF!/($AG19*24),"-"))</f>
        <v>#REF!</v>
      </c>
      <c r="BB19" s="68">
        <f t="shared" si="28"/>
        <v>0.2396875</v>
      </c>
      <c r="BC19" s="68">
        <f>IF(OR(X21="",X21="Sem monitoramento"),"VAZIO",IFERROR(X21/($AG19*24),"-"))</f>
        <v>0.22703124999999999</v>
      </c>
      <c r="BD19" s="68" t="e">
        <f>IF(OR(#REF!="",#REF!="Sem monitoramento"),"VAZIO",IFERROR(#REF!/($AG19*24),"-"))</f>
        <v>#REF!</v>
      </c>
      <c r="BE19" s="68">
        <f t="shared" si="35"/>
        <v>0.21390624999999999</v>
      </c>
      <c r="BF19" s="68">
        <f t="shared" si="35"/>
        <v>0.20885416666666667</v>
      </c>
      <c r="BG19" s="68">
        <f>IF(OR(AB19="",AB19="Sem monitoramento"),"VAZIO",IFERROR(AB19/($AG19*24),"-"))</f>
        <v>0.2215625</v>
      </c>
      <c r="BH19" s="68">
        <f t="shared" si="24"/>
        <v>0.24515624999999999</v>
      </c>
      <c r="BI19" s="68">
        <f t="shared" si="5"/>
        <v>0.21083333333333334</v>
      </c>
      <c r="BJ19" s="68">
        <f t="shared" si="6"/>
        <v>0.21223958333333334</v>
      </c>
      <c r="BK19" s="68" t="e">
        <f>IF(OR(#REF!="",#REF!="Sem monitoramento"),"VAZIO",IFERROR(#REF!/($AG19*24),"-"))</f>
        <v>#REF!</v>
      </c>
      <c r="BL19" s="68" t="e">
        <f>IF(OR(#REF!="",#REF!="Sem monitoramento"),"VAZIO",IFERROR(#REF!/($AG19*24),"-"))</f>
        <v>#REF!</v>
      </c>
      <c r="BM19" s="70">
        <f t="shared" si="7"/>
        <v>0.22521577380952384</v>
      </c>
      <c r="BN19" s="180">
        <f>'FCs estimados em PVsyst'!Y17</f>
        <v>0.168125</v>
      </c>
      <c r="BO19" s="72">
        <f t="shared" si="29"/>
        <v>13.45</v>
      </c>
      <c r="BP19" s="73">
        <f t="shared" si="30"/>
        <v>3.8906250000000003E-2</v>
      </c>
      <c r="BQ19" s="74">
        <f t="shared" si="10"/>
        <v>5.7090773809523848E-2</v>
      </c>
      <c r="BR19" s="15" t="s">
        <v>24</v>
      </c>
      <c r="BS19" s="3"/>
      <c r="BT19" s="2"/>
      <c r="BU19" s="2"/>
    </row>
    <row r="20" spans="2:73" x14ac:dyDescent="0.3">
      <c r="B20" s="775"/>
      <c r="C20" s="326" t="s">
        <v>25</v>
      </c>
      <c r="D20" s="223">
        <v>386.1</v>
      </c>
      <c r="E20" s="63">
        <v>515.4</v>
      </c>
      <c r="F20" s="63">
        <v>474.4</v>
      </c>
      <c r="G20" s="63">
        <v>581.29999999999995</v>
      </c>
      <c r="H20" s="283">
        <v>582.29999999999995</v>
      </c>
      <c r="I20" s="63">
        <v>515.70000000000005</v>
      </c>
      <c r="J20" s="283">
        <v>531.9</v>
      </c>
      <c r="K20" s="316">
        <v>495.1</v>
      </c>
      <c r="L20" s="63">
        <v>523.1</v>
      </c>
      <c r="M20" s="63">
        <v>501.2</v>
      </c>
      <c r="N20" s="519">
        <v>470.9</v>
      </c>
      <c r="O20" s="283">
        <v>476.1</v>
      </c>
      <c r="P20" s="283">
        <v>503.2</v>
      </c>
      <c r="Q20" s="283">
        <v>493</v>
      </c>
      <c r="R20" s="316">
        <v>552.9</v>
      </c>
      <c r="S20" s="63">
        <v>524.9</v>
      </c>
      <c r="T20" s="319">
        <v>578.20000000000005</v>
      </c>
      <c r="U20" s="319">
        <v>575.79999999999995</v>
      </c>
      <c r="V20" s="561">
        <v>574.70000000000005</v>
      </c>
      <c r="W20" s="283">
        <v>547.20000000000005</v>
      </c>
      <c r="X20" s="283">
        <v>555.29999999999995</v>
      </c>
      <c r="Y20" s="283">
        <v>511.9</v>
      </c>
      <c r="Z20" s="316">
        <v>465.1</v>
      </c>
      <c r="AA20" s="18">
        <v>471.8</v>
      </c>
      <c r="AB20" s="323">
        <v>503.1</v>
      </c>
      <c r="AC20" s="283">
        <v>549.79999999999995</v>
      </c>
      <c r="AD20" s="283">
        <v>453.6</v>
      </c>
      <c r="AE20" s="283">
        <v>483.7</v>
      </c>
      <c r="AF20" s="656">
        <f t="shared" si="0"/>
        <v>14397.699999999999</v>
      </c>
      <c r="AG20" s="118">
        <v>100</v>
      </c>
      <c r="AH20" s="121">
        <f t="shared" si="27"/>
        <v>1.0981481481481481E-2</v>
      </c>
      <c r="AI20" s="67">
        <f t="shared" si="20"/>
        <v>0.16087500000000002</v>
      </c>
      <c r="AJ20" s="68">
        <f t="shared" si="16"/>
        <v>0.21475</v>
      </c>
      <c r="AK20" s="68">
        <f t="shared" si="17"/>
        <v>0.19766666666666666</v>
      </c>
      <c r="AL20" s="68">
        <f t="shared" si="18"/>
        <v>0.2422083333333333</v>
      </c>
      <c r="AM20" s="68">
        <f t="shared" si="19"/>
        <v>0.24262499999999998</v>
      </c>
      <c r="AN20" s="68">
        <f t="shared" si="32"/>
        <v>0.21487500000000001</v>
      </c>
      <c r="AO20" s="68">
        <f t="shared" si="32"/>
        <v>0.22162499999999999</v>
      </c>
      <c r="AP20" s="68">
        <f>IF(OR(K17="",K17="Sem monitoramento"),"VAZIO",IFERROR(K17/($AG20*24),"-"))</f>
        <v>0.19945833333333332</v>
      </c>
      <c r="AQ20" s="68">
        <f>IF(OR(L20="",L20="Sem monitoramento"),"VAZIO",IFERROR(L20/($AG20*24),"-"))</f>
        <v>0.21795833333333334</v>
      </c>
      <c r="AR20" s="68">
        <f>IF(OR(M20="",M20="Sem monitoramento"),"VAZIO",IFERROR(M20/($AG20*24),"-"))</f>
        <v>0.20883333333333332</v>
      </c>
      <c r="AS20" s="68">
        <f>IF(OR(N21="",N21="Sem monitoramento"),"VAZIO",IFERROR(N21/($AG20*24),"-"))</f>
        <v>0.1585</v>
      </c>
      <c r="AT20" s="68">
        <f t="shared" si="33"/>
        <v>0.198375</v>
      </c>
      <c r="AU20" s="68">
        <f t="shared" si="33"/>
        <v>0.20966666666666667</v>
      </c>
      <c r="AV20" s="68">
        <f t="shared" ref="AV20:AV31" si="37">IF(OR(Q20="",Q20="Sem monitoramento"),"VAZIO",IFERROR(Q20/($AG20*24),"-"))</f>
        <v>0.20541666666666666</v>
      </c>
      <c r="AW20" s="68">
        <f>IF(OR(R18="",R18="Sem monitoramento"),"VAZIO",IFERROR(R18/($AG20*24),"-"))</f>
        <v>0.24716666666666667</v>
      </c>
      <c r="AX20" s="68">
        <f>IF(OR(S21="",S21="Sem monitoramento"),"VAZIO",IFERROR(S21/($AG20*24),"-"))</f>
        <v>0.17766666666666667</v>
      </c>
      <c r="AY20" s="68">
        <f t="shared" si="34"/>
        <v>0.2409166666666667</v>
      </c>
      <c r="AZ20" s="68">
        <f t="shared" si="36"/>
        <v>0.23991666666666664</v>
      </c>
      <c r="BA20" s="68">
        <f>IF(OR(V19="",V19="Sem monitoramento"),"VAZIO",IFERROR(V19/($AG20*24),"-"))</f>
        <v>0.19779166666666667</v>
      </c>
      <c r="BB20" s="68">
        <f t="shared" si="28"/>
        <v>0.22800000000000001</v>
      </c>
      <c r="BC20" s="68">
        <f>IF(OR(X22="",X22="Sem monitoramento"),"VAZIO",IFERROR(X22/($AG20*24),"-"))</f>
        <v>0.22283333333333333</v>
      </c>
      <c r="BD20" s="68">
        <f>IF(OR(Y18="",Y18="Sem monitoramento"),"VAZIO",IFERROR(Y18/($AG20*24),"-"))</f>
        <v>0.23775000000000002</v>
      </c>
      <c r="BE20" s="68">
        <f t="shared" si="35"/>
        <v>0.19379166666666667</v>
      </c>
      <c r="BF20" s="68">
        <f t="shared" si="35"/>
        <v>0.19658333333333333</v>
      </c>
      <c r="BG20" s="68">
        <f>IF(OR(AB20="",AB20="Sem monitoramento"),"VAZIO",IFERROR(AB20/($AG20*24),"-"))</f>
        <v>0.20962500000000001</v>
      </c>
      <c r="BH20" s="68">
        <f t="shared" si="24"/>
        <v>0.22908333333333331</v>
      </c>
      <c r="BI20" s="68">
        <f>IF(OR(AD21="",AD21="Sem monitoramento"),"VAZIO",IFERROR(AD21/($AG20*24),"-"))</f>
        <v>0.15025000000000002</v>
      </c>
      <c r="BJ20" s="68">
        <f t="shared" ref="BJ20:BJ31" si="38">IF(OR(AE20="",AE20="Sem monitoramento"),"VAZIO",IFERROR(AE20/($AG20*24),"-"))</f>
        <v>0.20154166666666667</v>
      </c>
      <c r="BK20" s="68" t="e">
        <f>IF(OR(#REF!="",#REF!="Sem monitoramento"),"VAZIO",IFERROR(#REF!/($AG20*24),"-"))</f>
        <v>#REF!</v>
      </c>
      <c r="BL20" s="68" t="e">
        <f>IF(OR(#REF!="",#REF!="Sem monitoramento"),"VAZIO",IFERROR(#REF!/($AG20*24),"-"))</f>
        <v>#REF!</v>
      </c>
      <c r="BM20" s="70">
        <f t="shared" si="7"/>
        <v>0.21425148809523809</v>
      </c>
      <c r="BN20" s="198">
        <f t="shared" ref="BN20:BN30" si="39">$BN$19</f>
        <v>0.168125</v>
      </c>
      <c r="BO20" s="72">
        <f t="shared" si="29"/>
        <v>16.8125</v>
      </c>
      <c r="BP20" s="73">
        <f t="shared" si="30"/>
        <v>2.9541666666666661E-2</v>
      </c>
      <c r="BQ20" s="74">
        <f t="shared" si="10"/>
        <v>4.6126488095238088E-2</v>
      </c>
      <c r="BR20" s="15" t="s">
        <v>25</v>
      </c>
      <c r="BS20" s="3"/>
      <c r="BT20" s="2"/>
      <c r="BU20" s="2"/>
    </row>
    <row r="21" spans="2:73" x14ac:dyDescent="0.3">
      <c r="B21" s="775"/>
      <c r="C21" s="326" t="s">
        <v>26</v>
      </c>
      <c r="D21" s="223">
        <v>303.7</v>
      </c>
      <c r="E21" s="283">
        <v>428.3</v>
      </c>
      <c r="F21" s="283">
        <v>394.8</v>
      </c>
      <c r="G21" s="283">
        <v>464.7</v>
      </c>
      <c r="H21" s="283">
        <v>475.3</v>
      </c>
      <c r="I21" s="63">
        <v>404.4</v>
      </c>
      <c r="J21" s="283">
        <v>425.5</v>
      </c>
      <c r="K21" s="63">
        <v>392.9</v>
      </c>
      <c r="L21" s="283">
        <v>428.1</v>
      </c>
      <c r="M21" s="316">
        <v>410.9</v>
      </c>
      <c r="N21" s="283">
        <v>380.4</v>
      </c>
      <c r="O21" s="283">
        <v>378.1</v>
      </c>
      <c r="P21" s="63">
        <v>401.1</v>
      </c>
      <c r="Q21" s="283">
        <v>397.2</v>
      </c>
      <c r="R21" s="63">
        <v>442.5</v>
      </c>
      <c r="S21" s="63">
        <v>426.4</v>
      </c>
      <c r="T21" s="355">
        <v>454.8</v>
      </c>
      <c r="U21" s="355">
        <v>449.7</v>
      </c>
      <c r="V21" s="355">
        <v>451</v>
      </c>
      <c r="W21" s="283">
        <v>430.2</v>
      </c>
      <c r="X21" s="283">
        <v>435.9</v>
      </c>
      <c r="Y21" s="283">
        <v>406.8</v>
      </c>
      <c r="Z21" s="63">
        <v>371.9</v>
      </c>
      <c r="AA21" s="320">
        <v>384.8</v>
      </c>
      <c r="AB21" s="323">
        <v>403</v>
      </c>
      <c r="AC21" s="221">
        <v>441.5</v>
      </c>
      <c r="AD21" s="283">
        <v>360.6</v>
      </c>
      <c r="AE21" s="221">
        <v>385.8</v>
      </c>
      <c r="AF21" s="656">
        <f t="shared" si="0"/>
        <v>11530.299999999997</v>
      </c>
      <c r="AG21" s="118">
        <v>100</v>
      </c>
      <c r="AH21" s="121">
        <f t="shared" si="27"/>
        <v>9.1388888888888891E-3</v>
      </c>
      <c r="AI21" s="67">
        <f t="shared" si="20"/>
        <v>0.12654166666666666</v>
      </c>
      <c r="AJ21" s="68">
        <f t="shared" si="16"/>
        <v>0.17845833333333333</v>
      </c>
      <c r="AK21" s="68">
        <f t="shared" si="17"/>
        <v>0.16450000000000001</v>
      </c>
      <c r="AL21" s="68">
        <f t="shared" si="18"/>
        <v>0.19362499999999999</v>
      </c>
      <c r="AM21" s="68">
        <f t="shared" si="19"/>
        <v>0.19804166666666667</v>
      </c>
      <c r="AN21" s="68">
        <f t="shared" si="32"/>
        <v>0.16849999999999998</v>
      </c>
      <c r="AO21" s="68">
        <f t="shared" si="32"/>
        <v>0.17729166666666665</v>
      </c>
      <c r="AP21" s="68">
        <f t="shared" ref="AP21:AP31" si="40">IF(OR(K21="",K21="Sem monitoramento"),"VAZIO",IFERROR(K21/($AG21*24),"-"))</f>
        <v>0.16370833333333332</v>
      </c>
      <c r="AQ21" s="68">
        <f t="shared" ref="AQ21:AQ31" si="41">IF(OR(L21="",L21="Sem monitoramento"),"VAZIO",IFERROR(L21/($AG21*24),"-"))</f>
        <v>0.17837500000000001</v>
      </c>
      <c r="AR21" s="68">
        <f>IF(OR(M19="",M19="Sem monitoramento"),"VAZIO",IFERROR(M19/($AG21*24),"-"))</f>
        <v>0.17762500000000001</v>
      </c>
      <c r="AS21" s="68">
        <f>IF(OR(N22="",N22="Sem monitoramento"),"VAZIO",IFERROR(N22/($AG21*24),"-"))</f>
        <v>0.22087500000000002</v>
      </c>
      <c r="AT21" s="68">
        <f t="shared" si="33"/>
        <v>0.15754166666666666</v>
      </c>
      <c r="AU21" s="68">
        <f t="shared" si="33"/>
        <v>0.167125</v>
      </c>
      <c r="AV21" s="68">
        <f t="shared" si="37"/>
        <v>0.16550000000000001</v>
      </c>
      <c r="AW21" s="68">
        <f t="shared" ref="AW21:AW31" si="42">IF(OR(R21="",R21="Sem monitoramento"),"VAZIO",IFERROR(R21/($AG21*24),"-"))</f>
        <v>0.18437500000000001</v>
      </c>
      <c r="AX21" s="68">
        <f>IF(OR(S22="",S22="Sem monitoramento"),"VAZIO",IFERROR(S22/($AG21*24),"-"))</f>
        <v>0.25395833333333334</v>
      </c>
      <c r="AY21" s="68">
        <f t="shared" si="34"/>
        <v>0.1895</v>
      </c>
      <c r="AZ21" s="68">
        <f t="shared" si="36"/>
        <v>0.18737499999999999</v>
      </c>
      <c r="BA21" s="68">
        <f>IF(OR(V21="",V21="Sem monitoramento"),"VAZIO",IFERROR(V21/($AG21*24),"-"))</f>
        <v>0.18791666666666668</v>
      </c>
      <c r="BB21" s="68">
        <f t="shared" si="28"/>
        <v>0.17924999999999999</v>
      </c>
      <c r="BC21" s="68">
        <f>IF(OR(X23="",X23="Sem monitoramento"),"VAZIO",IFERROR(X23/($AG21*24),"-"))</f>
        <v>0.15212500000000001</v>
      </c>
      <c r="BD21" s="68">
        <f>IF(OR(Y21="",Y21="Sem monitoramento"),"VAZIO",IFERROR(Y21/($AG21*24),"-"))</f>
        <v>0.16950000000000001</v>
      </c>
      <c r="BE21" s="68">
        <f t="shared" si="35"/>
        <v>0.15495833333333334</v>
      </c>
      <c r="BF21" s="68">
        <f t="shared" si="35"/>
        <v>0.16033333333333333</v>
      </c>
      <c r="BG21" s="68">
        <f>IF(OR(AB20="",AB20="Sem monitoramento"),"VAZIO",IFERROR(AB20/($AG21*24),"-"))</f>
        <v>0.20962500000000001</v>
      </c>
      <c r="BH21" s="68">
        <f t="shared" si="24"/>
        <v>0.18395833333333333</v>
      </c>
      <c r="BI21" s="68" t="e">
        <f>IF(OR(#REF!="",#REF!="Sem monitoramento"),"VAZIO",IFERROR(#REF!/($AG21*24),"-"))</f>
        <v>#REF!</v>
      </c>
      <c r="BJ21" s="68">
        <f t="shared" si="38"/>
        <v>0.16075</v>
      </c>
      <c r="BK21" s="68" t="e">
        <f>IF(OR(#REF!="",#REF!="Sem monitoramento"),"VAZIO",IFERROR(#REF!/($AG21*24),"-"))</f>
        <v>#REF!</v>
      </c>
      <c r="BL21" s="68" t="e">
        <f>IF(OR(#REF!="",#REF!="Sem monitoramento"),"VAZIO",IFERROR(#REF!/($AG21*24),"-"))</f>
        <v>#REF!</v>
      </c>
      <c r="BM21" s="70">
        <f t="shared" si="7"/>
        <v>0.17158184523809519</v>
      </c>
      <c r="BN21" s="198">
        <f t="shared" si="39"/>
        <v>0.168125</v>
      </c>
      <c r="BO21" s="72">
        <f t="shared" si="29"/>
        <v>16.8125</v>
      </c>
      <c r="BP21" s="73">
        <f t="shared" si="30"/>
        <v>-3.6249999999999893E-3</v>
      </c>
      <c r="BQ21" s="74">
        <f t="shared" si="10"/>
        <v>3.4568452380951964E-3</v>
      </c>
      <c r="BR21" s="15" t="s">
        <v>26</v>
      </c>
      <c r="BS21" s="3"/>
      <c r="BT21" s="2"/>
      <c r="BU21" s="2"/>
    </row>
    <row r="22" spans="2:73" x14ac:dyDescent="0.3">
      <c r="B22" s="775"/>
      <c r="C22" s="326" t="s">
        <v>28</v>
      </c>
      <c r="D22" s="223">
        <v>398.6</v>
      </c>
      <c r="E22" s="283">
        <v>423</v>
      </c>
      <c r="F22" s="283">
        <v>536.5</v>
      </c>
      <c r="G22" s="283">
        <v>573.20000000000005</v>
      </c>
      <c r="H22" s="283">
        <v>589.4</v>
      </c>
      <c r="I22" s="283">
        <v>552.9</v>
      </c>
      <c r="J22" s="283">
        <v>521.9</v>
      </c>
      <c r="K22" s="63">
        <v>585.70000000000005</v>
      </c>
      <c r="L22" s="63">
        <v>557</v>
      </c>
      <c r="M22" s="63">
        <v>528.6</v>
      </c>
      <c r="N22" s="63">
        <v>530.1</v>
      </c>
      <c r="O22" s="283">
        <v>448.5</v>
      </c>
      <c r="P22" s="283">
        <v>543.70000000000005</v>
      </c>
      <c r="Q22" s="283">
        <v>570.20000000000005</v>
      </c>
      <c r="R22" s="283">
        <v>578.9</v>
      </c>
      <c r="S22" s="283">
        <v>609.5</v>
      </c>
      <c r="T22" s="319">
        <v>609.9</v>
      </c>
      <c r="U22" s="63">
        <v>550.6</v>
      </c>
      <c r="V22" s="319">
        <v>599.20000000000005</v>
      </c>
      <c r="W22" s="283">
        <v>595.5</v>
      </c>
      <c r="X22" s="63">
        <v>534.79999999999995</v>
      </c>
      <c r="Y22" s="519">
        <v>600.6</v>
      </c>
      <c r="Z22" s="15">
        <v>537.70000000000005</v>
      </c>
      <c r="AA22" s="18">
        <v>559.6</v>
      </c>
      <c r="AB22" s="20">
        <v>521.70000000000005</v>
      </c>
      <c r="AC22" s="354">
        <v>239.9</v>
      </c>
      <c r="AD22" s="221">
        <v>432.4</v>
      </c>
      <c r="AE22" s="15">
        <v>554.5</v>
      </c>
      <c r="AF22" s="656">
        <f t="shared" si="0"/>
        <v>14884.100000000002</v>
      </c>
      <c r="AG22" s="118">
        <v>100</v>
      </c>
      <c r="AH22" s="121">
        <f t="shared" si="27"/>
        <v>1.2418981481481482E-2</v>
      </c>
      <c r="AI22" s="67">
        <f t="shared" si="20"/>
        <v>0.16608333333333333</v>
      </c>
      <c r="AJ22" s="68">
        <f t="shared" si="16"/>
        <v>0.17624999999999999</v>
      </c>
      <c r="AK22" s="68">
        <f t="shared" si="17"/>
        <v>0.22354166666666667</v>
      </c>
      <c r="AL22" s="68">
        <f t="shared" si="18"/>
        <v>0.23883333333333334</v>
      </c>
      <c r="AM22" s="68">
        <f t="shared" si="19"/>
        <v>0.24558333333333332</v>
      </c>
      <c r="AN22" s="68">
        <f t="shared" si="32"/>
        <v>0.230375</v>
      </c>
      <c r="AO22" s="68">
        <f t="shared" si="32"/>
        <v>0.21745833333333334</v>
      </c>
      <c r="AP22" s="68">
        <f t="shared" si="40"/>
        <v>0.24404166666666668</v>
      </c>
      <c r="AQ22" s="68">
        <f t="shared" si="41"/>
        <v>0.23208333333333334</v>
      </c>
      <c r="AR22" s="68" t="e">
        <f>IF(OR(#REF!="",#REF!="Sem monitoramento"),"VAZIO",IFERROR(#REF!/($AG22*24),"-"))</f>
        <v>#REF!</v>
      </c>
      <c r="AS22" s="68">
        <f>IF(OR(N22="",N22="Sem monitoramento"),"VAZIO",IFERROR(N22/($AG22*24),"-"))</f>
        <v>0.22087500000000002</v>
      </c>
      <c r="AT22" s="68">
        <f t="shared" si="33"/>
        <v>0.18687500000000001</v>
      </c>
      <c r="AU22" s="68">
        <f t="shared" si="33"/>
        <v>0.2265416666666667</v>
      </c>
      <c r="AV22" s="68">
        <f t="shared" si="37"/>
        <v>0.23758333333333334</v>
      </c>
      <c r="AW22" s="68">
        <f t="shared" si="42"/>
        <v>0.24120833333333333</v>
      </c>
      <c r="AX22" s="68">
        <f t="shared" ref="AX22:AX31" si="43">IF(OR(S22="",S22="Sem monitoramento"),"VAZIO",IFERROR(S22/($AG22*24),"-"))</f>
        <v>0.25395833333333334</v>
      </c>
      <c r="AY22" s="68">
        <f t="shared" si="34"/>
        <v>0.25412499999999999</v>
      </c>
      <c r="AZ22" s="68">
        <f t="shared" si="36"/>
        <v>0.22941666666666669</v>
      </c>
      <c r="BA22" s="68">
        <f>IF(OR(V22="",V22="Sem monitoramento"),"VAZIO",IFERROR(V22/($AG22*24),"-"))</f>
        <v>0.24966666666666668</v>
      </c>
      <c r="BB22" s="68">
        <f t="shared" si="28"/>
        <v>0.24812500000000001</v>
      </c>
      <c r="BC22" s="68">
        <f>IF(OR(X22="",X22="Sem monitoramento"),"VAZIO",IFERROR(X22/($AG22*24),"-"))</f>
        <v>0.22283333333333333</v>
      </c>
      <c r="BD22" s="68">
        <f>IF(OR(Y19="",Y19="Sem monitoramento"),"VAZIO",IFERROR(Y19/($AG22*24),"-"))</f>
        <v>0.18124999999999999</v>
      </c>
      <c r="BE22" s="68">
        <f t="shared" si="35"/>
        <v>0.22404166666666669</v>
      </c>
      <c r="BF22" s="68">
        <f t="shared" si="35"/>
        <v>0.23316666666666669</v>
      </c>
      <c r="BG22" s="68">
        <f>IF(OR(AB21="",AB21="Sem monitoramento"),"VAZIO",IFERROR(AB21/($AG22*24),"-"))</f>
        <v>0.16791666666666666</v>
      </c>
      <c r="BH22" s="68">
        <f t="shared" si="24"/>
        <v>9.995833333333333E-2</v>
      </c>
      <c r="BI22" s="68">
        <f t="shared" ref="BI22:BI31" si="44">IF(OR(AD22="",AD22="Sem monitoramento"),"VAZIO",IFERROR(AD22/($AG22*24),"-"))</f>
        <v>0.18016666666666667</v>
      </c>
      <c r="BJ22" s="68">
        <f t="shared" si="38"/>
        <v>0.23104166666666667</v>
      </c>
      <c r="BK22" s="68" t="e">
        <f>IF(OR(#REF!="",#REF!="Sem monitoramento"),"VAZIO",IFERROR(#REF!/($AG22*24),"-"))</f>
        <v>#REF!</v>
      </c>
      <c r="BL22" s="68" t="e">
        <f>IF(OR(#REF!="",#REF!="Sem monitoramento"),"VAZIO",IFERROR(#REF!/($AG22*24),"-"))</f>
        <v>#REF!</v>
      </c>
      <c r="BM22" s="70">
        <f t="shared" si="7"/>
        <v>0.22148958333333338</v>
      </c>
      <c r="BN22" s="198">
        <f t="shared" si="39"/>
        <v>0.168125</v>
      </c>
      <c r="BO22" s="72">
        <f t="shared" si="29"/>
        <v>16.8125</v>
      </c>
      <c r="BP22" s="73">
        <f t="shared" si="30"/>
        <v>5.541666666666667E-2</v>
      </c>
      <c r="BQ22" s="74">
        <f t="shared" si="10"/>
        <v>5.3364583333333382E-2</v>
      </c>
      <c r="BR22" s="15" t="s">
        <v>27</v>
      </c>
      <c r="BS22" s="3"/>
      <c r="BT22" s="2"/>
      <c r="BU22" s="2"/>
    </row>
    <row r="23" spans="2:73" x14ac:dyDescent="0.3">
      <c r="B23" s="775"/>
      <c r="C23" s="326" t="s">
        <v>29</v>
      </c>
      <c r="D23" s="223">
        <v>358.1</v>
      </c>
      <c r="E23" s="63">
        <v>379.5</v>
      </c>
      <c r="F23" s="283">
        <v>484.2</v>
      </c>
      <c r="G23" s="63">
        <v>519.6</v>
      </c>
      <c r="H23" s="283">
        <v>535.1</v>
      </c>
      <c r="I23" s="63">
        <v>486.5</v>
      </c>
      <c r="J23" s="63">
        <v>465</v>
      </c>
      <c r="K23" s="63">
        <v>530.9</v>
      </c>
      <c r="L23" s="63">
        <v>504.8</v>
      </c>
      <c r="M23" s="316">
        <v>469.3</v>
      </c>
      <c r="N23" s="519">
        <v>488.7</v>
      </c>
      <c r="O23" s="519">
        <v>390.2</v>
      </c>
      <c r="P23" s="283">
        <v>487.8</v>
      </c>
      <c r="Q23" s="283">
        <v>521</v>
      </c>
      <c r="R23" s="63">
        <v>519.70000000000005</v>
      </c>
      <c r="S23" s="63">
        <v>552.79999999999995</v>
      </c>
      <c r="T23" s="319">
        <v>546.6</v>
      </c>
      <c r="U23" s="282">
        <v>375.3</v>
      </c>
      <c r="V23" s="319">
        <v>504</v>
      </c>
      <c r="W23" s="282">
        <v>350.6</v>
      </c>
      <c r="X23" s="63">
        <v>365.1</v>
      </c>
      <c r="Y23" s="63">
        <v>345.1</v>
      </c>
      <c r="Z23" s="15">
        <v>445.8</v>
      </c>
      <c r="AA23" s="18">
        <v>447.3</v>
      </c>
      <c r="AB23" s="20">
        <v>450.3</v>
      </c>
      <c r="AC23" s="354">
        <v>205.3</v>
      </c>
      <c r="AD23" s="354">
        <v>228.2</v>
      </c>
      <c r="AE23" s="15">
        <v>370.1</v>
      </c>
      <c r="AF23" s="656">
        <f t="shared" si="0"/>
        <v>12326.899999999998</v>
      </c>
      <c r="AG23" s="118">
        <v>100</v>
      </c>
      <c r="AH23" s="121">
        <f t="shared" si="27"/>
        <v>1.1208333333333332E-2</v>
      </c>
      <c r="AI23" s="67">
        <f t="shared" si="20"/>
        <v>0.14920833333333333</v>
      </c>
      <c r="AJ23" s="68">
        <f t="shared" si="16"/>
        <v>0.15812499999999999</v>
      </c>
      <c r="AK23" s="68">
        <f t="shared" si="17"/>
        <v>0.20174999999999998</v>
      </c>
      <c r="AL23" s="68">
        <f t="shared" si="18"/>
        <v>0.2165</v>
      </c>
      <c r="AM23" s="68">
        <f t="shared" si="19"/>
        <v>0.22295833333333334</v>
      </c>
      <c r="AN23" s="68">
        <f t="shared" si="32"/>
        <v>0.20270833333333332</v>
      </c>
      <c r="AO23" s="68">
        <f t="shared" si="32"/>
        <v>0.19375000000000001</v>
      </c>
      <c r="AP23" s="68">
        <f t="shared" si="40"/>
        <v>0.22120833333333331</v>
      </c>
      <c r="AQ23" s="68">
        <f t="shared" si="41"/>
        <v>0.21033333333333334</v>
      </c>
      <c r="AR23" s="68">
        <f>IF(OR(M22="",M22="Sem monitoramento"),"VAZIO",IFERROR(M22/($AG23*24),"-"))</f>
        <v>0.22025</v>
      </c>
      <c r="AS23" s="68">
        <f>IF(OR(N24="",N24="Sem monitoramento"),"VAZIO",IFERROR(N24/($AG23*24),"-"))</f>
        <v>0.76679166666666665</v>
      </c>
      <c r="AT23" s="68">
        <f>IF(OR(O20="",O20="Sem monitoramento"),"VAZIO",IFERROR(O20/($AG23*24),"-"))</f>
        <v>0.198375</v>
      </c>
      <c r="AU23" s="68">
        <f t="shared" ref="AU23:AU31" si="45">IF(OR(P23="",P23="Sem monitoramento"),"VAZIO",IFERROR(P23/($AG23*24),"-"))</f>
        <v>0.20325000000000001</v>
      </c>
      <c r="AV23" s="68">
        <f t="shared" si="37"/>
        <v>0.21708333333333332</v>
      </c>
      <c r="AW23" s="68">
        <f t="shared" si="42"/>
        <v>0.21654166666666669</v>
      </c>
      <c r="AX23" s="68">
        <f t="shared" si="43"/>
        <v>0.23033333333333331</v>
      </c>
      <c r="AY23" s="68">
        <f t="shared" si="34"/>
        <v>0.22775000000000001</v>
      </c>
      <c r="AZ23" s="68">
        <f t="shared" si="36"/>
        <v>0.15637500000000001</v>
      </c>
      <c r="BA23" s="68">
        <f>IF(OR(V23="",V23="Sem monitoramento"),"VAZIO",IFERROR(V23/($AG23*24),"-"))</f>
        <v>0.21</v>
      </c>
      <c r="BB23" s="68" t="e">
        <f>IF(OR(#REF!="",#REF!="Sem monitoramento"),"VAZIO",IFERROR(#REF!/($AG23*24),"-"))</f>
        <v>#REF!</v>
      </c>
      <c r="BC23" s="68">
        <f>IF(OR(X23="",X23="Sem monitoramento"),"VAZIO",IFERROR(X23/($AG23*24),"-"))</f>
        <v>0.15212500000000001</v>
      </c>
      <c r="BD23" s="68">
        <f t="shared" ref="BD23:BD31" si="46">IF(OR(Y23="",Y23="Sem monitoramento"),"VAZIO",IFERROR(Y23/($AG23*24),"-"))</f>
        <v>0.14379166666666668</v>
      </c>
      <c r="BE23" s="68">
        <f t="shared" si="35"/>
        <v>0.18575</v>
      </c>
      <c r="BF23" s="68">
        <f t="shared" si="35"/>
        <v>0.18637500000000001</v>
      </c>
      <c r="BG23" s="68">
        <f t="shared" ref="BG23:BG31" si="47">IF(OR(AB23="",AB23="Sem monitoramento"),"VAZIO",IFERROR(AB23/($AG23*24),"-"))</f>
        <v>0.18762500000000001</v>
      </c>
      <c r="BH23" s="68">
        <f t="shared" si="24"/>
        <v>8.5541666666666669E-2</v>
      </c>
      <c r="BI23" s="68">
        <f t="shared" si="44"/>
        <v>9.5083333333333325E-2</v>
      </c>
      <c r="BJ23" s="68">
        <f t="shared" si="38"/>
        <v>0.15420833333333334</v>
      </c>
      <c r="BK23" s="68" t="e">
        <f>IF(OR(#REF!="",#REF!="Sem monitoramento"),"VAZIO",IFERROR(#REF!/($AG23*24),"-"))</f>
        <v>#REF!</v>
      </c>
      <c r="BL23" s="68" t="e">
        <f>IF(OR(#REF!="",#REF!="Sem monitoramento"),"VAZIO",IFERROR(#REF!/($AG23*24),"-"))</f>
        <v>#REF!</v>
      </c>
      <c r="BM23" s="70">
        <f t="shared" si="7"/>
        <v>0.18343601190476186</v>
      </c>
      <c r="BN23" s="198">
        <f t="shared" si="39"/>
        <v>0.168125</v>
      </c>
      <c r="BO23" s="72">
        <f t="shared" si="29"/>
        <v>16.8125</v>
      </c>
      <c r="BP23" s="73">
        <f t="shared" si="30"/>
        <v>3.3624999999999988E-2</v>
      </c>
      <c r="BQ23" s="74">
        <f t="shared" si="10"/>
        <v>1.5311011904761862E-2</v>
      </c>
      <c r="BR23" s="15" t="s">
        <v>28</v>
      </c>
      <c r="BS23" s="3"/>
      <c r="BT23" s="2"/>
      <c r="BU23" s="2"/>
    </row>
    <row r="24" spans="2:73" x14ac:dyDescent="0.3">
      <c r="B24" s="775"/>
      <c r="C24" s="326" t="s">
        <v>30</v>
      </c>
      <c r="D24" s="223">
        <v>1407.2</v>
      </c>
      <c r="E24" s="63">
        <v>1474</v>
      </c>
      <c r="F24" s="63">
        <v>1887.7</v>
      </c>
      <c r="G24" s="63">
        <v>1949</v>
      </c>
      <c r="H24" s="283">
        <f>764.1+552.7+751.6</f>
        <v>2068.4</v>
      </c>
      <c r="I24" s="63">
        <v>1899</v>
      </c>
      <c r="J24" s="316">
        <v>1799</v>
      </c>
      <c r="K24" s="63">
        <v>2013.2</v>
      </c>
      <c r="L24" s="63">
        <v>1929.1</v>
      </c>
      <c r="M24" s="63">
        <v>1839</v>
      </c>
      <c r="N24" s="63">
        <v>1840.3</v>
      </c>
      <c r="O24" s="283">
        <v>1544.8</v>
      </c>
      <c r="P24" s="283">
        <v>1865.8</v>
      </c>
      <c r="Q24" s="283">
        <v>1999.1</v>
      </c>
      <c r="R24" s="63">
        <v>1966.7</v>
      </c>
      <c r="S24" s="63">
        <v>2111.5</v>
      </c>
      <c r="T24" s="319">
        <v>2063.1999999999998</v>
      </c>
      <c r="U24" s="63">
        <v>1856.8</v>
      </c>
      <c r="V24" s="487">
        <v>2012.1</v>
      </c>
      <c r="W24" s="316">
        <v>2008.6</v>
      </c>
      <c r="X24" s="316">
        <v>1809.8</v>
      </c>
      <c r="Y24" s="63">
        <v>2036.5</v>
      </c>
      <c r="Z24" s="15">
        <f>641.8+504.3+678</f>
        <v>1824.1</v>
      </c>
      <c r="AA24" s="18">
        <v>1959.4</v>
      </c>
      <c r="AB24" s="323">
        <v>1814.7</v>
      </c>
      <c r="AC24" s="354">
        <v>855.8</v>
      </c>
      <c r="AD24" s="15">
        <v>1470</v>
      </c>
      <c r="AE24" s="15">
        <f>679.7+514.5+703.6</f>
        <v>1897.8000000000002</v>
      </c>
      <c r="AF24" s="656">
        <f t="shared" si="0"/>
        <v>51202.6</v>
      </c>
      <c r="AG24" s="118">
        <v>383</v>
      </c>
      <c r="AH24" s="121">
        <f t="shared" si="27"/>
        <v>1.1409075524610773E-2</v>
      </c>
      <c r="AI24" s="67">
        <f t="shared" si="20"/>
        <v>0.15308964316797216</v>
      </c>
      <c r="AJ24" s="68">
        <f t="shared" si="16"/>
        <v>0.16035683202785031</v>
      </c>
      <c r="AK24" s="68">
        <f t="shared" si="17"/>
        <v>0.20536335944299391</v>
      </c>
      <c r="AL24" s="68">
        <f t="shared" si="18"/>
        <v>0.21203220191470845</v>
      </c>
      <c r="AM24" s="68">
        <f t="shared" si="19"/>
        <v>0.22502175805047869</v>
      </c>
      <c r="AN24" s="68">
        <f t="shared" ref="AN24:AN31" si="48">IF(OR(I24="",I24="Sem monitoramento"),"VAZIO",IFERROR(I24/($AG24*24),"-"))</f>
        <v>0.20659268929503916</v>
      </c>
      <c r="AO24" s="68">
        <f>IF(OR(J29="",J29="Sem monitoramento"),"VAZIO",IFERROR(J29/($AG24*24),"-"))</f>
        <v>4.4821583986074845E-2</v>
      </c>
      <c r="AP24" s="68">
        <f t="shared" si="40"/>
        <v>0.2190165361183638</v>
      </c>
      <c r="AQ24" s="68">
        <f t="shared" si="41"/>
        <v>0.20986727589208007</v>
      </c>
      <c r="AR24" s="68">
        <f t="shared" ref="AR24:AR31" si="49">IF(OR(M24="",M24="Sem monitoramento"),"VAZIO",IFERROR(M24/($AG24*24),"-"))</f>
        <v>0.20006527415143602</v>
      </c>
      <c r="AS24" s="68" t="e">
        <f>IF(OR(#REF!="",#REF!="Sem monitoramento"),"VAZIO",IFERROR(#REF!/($AG24*24),"-"))</f>
        <v>#REF!</v>
      </c>
      <c r="AT24" s="68">
        <f t="shared" ref="AT24:AT31" si="50">IF(OR(O24="",O24="Sem monitoramento"),"VAZIO",IFERROR(O24/($AG24*24),"-"))</f>
        <v>0.16805918189730198</v>
      </c>
      <c r="AU24" s="68">
        <f t="shared" si="45"/>
        <v>0.20298085291557877</v>
      </c>
      <c r="AV24" s="68">
        <f t="shared" si="37"/>
        <v>0.21748259355961705</v>
      </c>
      <c r="AW24" s="68">
        <f t="shared" si="42"/>
        <v>0.21395778938207138</v>
      </c>
      <c r="AX24" s="68">
        <f t="shared" si="43"/>
        <v>0.22971061792863359</v>
      </c>
      <c r="AY24" s="68">
        <f t="shared" si="34"/>
        <v>0.22445604873803304</v>
      </c>
      <c r="AZ24" s="68">
        <f t="shared" si="36"/>
        <v>0.20200174064403828</v>
      </c>
      <c r="BA24" s="68" t="e">
        <f>IF(OR(#REF!="",#REF!="Sem monitoramento"),"VAZIO",IFERROR(#REF!/($AG24*24),"-"))</f>
        <v>#REF!</v>
      </c>
      <c r="BB24" s="68" t="e">
        <f>IF(OR(#REF!="",#REF!="Sem monitoramento"),"VAZIO",IFERROR(#REF!/($AG24*24),"-"))</f>
        <v>#REF!</v>
      </c>
      <c r="BC24" s="68" t="e">
        <f>IF(OR(#REF!="",#REF!="Sem monitoramento"),"VAZIO",IFERROR(#REF!/($AG24*24),"-"))</f>
        <v>#REF!</v>
      </c>
      <c r="BD24" s="68">
        <f t="shared" si="46"/>
        <v>0.22155134899912968</v>
      </c>
      <c r="BE24" s="68">
        <f t="shared" si="35"/>
        <v>0.19844429939077457</v>
      </c>
      <c r="BF24" s="68">
        <f t="shared" si="35"/>
        <v>0.21316362053959967</v>
      </c>
      <c r="BG24" s="68">
        <f t="shared" si="47"/>
        <v>0.19742167101827676</v>
      </c>
      <c r="BH24" s="68">
        <f t="shared" si="24"/>
        <v>9.3102697998259348E-2</v>
      </c>
      <c r="BI24" s="68">
        <f t="shared" si="44"/>
        <v>0.15992167101827676</v>
      </c>
      <c r="BJ24" s="68">
        <f t="shared" si="38"/>
        <v>0.20646214099216711</v>
      </c>
      <c r="BK24" s="68" t="e">
        <f>IF(OR(#REF!="",#REF!="Sem monitoramento"),"VAZIO",IFERROR(#REF!/($AG24*24),"-"))</f>
        <v>#REF!</v>
      </c>
      <c r="BL24" s="68" t="e">
        <f>IF(OR(#REF!="",#REF!="Sem monitoramento"),"VAZIO",IFERROR(#REF!/($AG24*24),"-"))</f>
        <v>#REF!</v>
      </c>
      <c r="BM24" s="70">
        <f t="shared" si="7"/>
        <v>0.19894084918562724</v>
      </c>
      <c r="BN24" s="198">
        <f t="shared" si="39"/>
        <v>0.168125</v>
      </c>
      <c r="BO24" s="72">
        <f>AG24*BN24</f>
        <v>64.391874999999999</v>
      </c>
      <c r="BP24" s="73">
        <f t="shared" si="30"/>
        <v>3.7238359442993918E-2</v>
      </c>
      <c r="BQ24" s="74">
        <f t="shared" si="10"/>
        <v>3.0815849185627242E-2</v>
      </c>
      <c r="BR24" s="15" t="s">
        <v>29</v>
      </c>
      <c r="BS24" s="3"/>
      <c r="BT24" s="2"/>
      <c r="BU24" s="2"/>
    </row>
    <row r="25" spans="2:73" x14ac:dyDescent="0.3">
      <c r="B25" s="775"/>
      <c r="C25" s="326" t="s">
        <v>111</v>
      </c>
      <c r="D25" s="223">
        <v>310</v>
      </c>
      <c r="E25" s="63">
        <v>339.8</v>
      </c>
      <c r="F25" s="63">
        <v>547.70000000000005</v>
      </c>
      <c r="G25" s="63">
        <v>604.79999999999995</v>
      </c>
      <c r="H25" s="319">
        <v>620.20000000000005</v>
      </c>
      <c r="I25" s="319">
        <v>632.79999999999995</v>
      </c>
      <c r="J25" s="63">
        <v>542.79999999999995</v>
      </c>
      <c r="K25" s="63">
        <v>594.20000000000005</v>
      </c>
      <c r="L25" s="63">
        <v>603.4</v>
      </c>
      <c r="M25" s="63">
        <v>603.5</v>
      </c>
      <c r="N25" s="63">
        <v>541.79999999999995</v>
      </c>
      <c r="O25" s="63">
        <v>579.29999999999995</v>
      </c>
      <c r="P25" s="63">
        <v>600.9</v>
      </c>
      <c r="Q25" s="283">
        <v>484.6</v>
      </c>
      <c r="R25" s="63">
        <v>600.9</v>
      </c>
      <c r="S25" s="63">
        <v>618.6</v>
      </c>
      <c r="T25" s="511">
        <v>626.1</v>
      </c>
      <c r="U25" s="316">
        <v>594.4</v>
      </c>
      <c r="V25" s="283">
        <v>603.70000000000005</v>
      </c>
      <c r="W25" s="283">
        <v>546</v>
      </c>
      <c r="X25" s="63">
        <v>238</v>
      </c>
      <c r="Y25" s="282">
        <v>174.6</v>
      </c>
      <c r="Z25" s="148">
        <v>510.3</v>
      </c>
      <c r="AA25" s="18">
        <v>602.5</v>
      </c>
      <c r="AB25" s="20">
        <v>546.20000000000005</v>
      </c>
      <c r="AC25" s="15">
        <v>546.20000000000005</v>
      </c>
      <c r="AD25" s="15">
        <v>524.4</v>
      </c>
      <c r="AE25" s="15">
        <v>596.4</v>
      </c>
      <c r="AF25" s="656">
        <f t="shared" si="0"/>
        <v>14934.100000000002</v>
      </c>
      <c r="AG25" s="118">
        <v>100</v>
      </c>
      <c r="AH25" s="121">
        <f t="shared" si="27"/>
        <v>1.2678240740740742E-2</v>
      </c>
      <c r="AI25" s="67">
        <f t="shared" si="20"/>
        <v>0.12916666666666668</v>
      </c>
      <c r="AJ25" s="68">
        <f t="shared" si="16"/>
        <v>0.14158333333333334</v>
      </c>
      <c r="AK25" s="68">
        <f t="shared" si="17"/>
        <v>0.22820833333333335</v>
      </c>
      <c r="AL25" s="68">
        <f t="shared" si="18"/>
        <v>0.252</v>
      </c>
      <c r="AM25" s="68">
        <f t="shared" si="19"/>
        <v>0.25841666666666668</v>
      </c>
      <c r="AN25" s="68">
        <f t="shared" si="48"/>
        <v>0.26366666666666666</v>
      </c>
      <c r="AO25" s="68">
        <f>IF(OR(J25="",J25="Sem monitoramento"),"VAZIO",IFERROR(J25/($AG25*24),"-"))</f>
        <v>0.22616666666666665</v>
      </c>
      <c r="AP25" s="68">
        <f t="shared" si="40"/>
        <v>0.24758333333333335</v>
      </c>
      <c r="AQ25" s="68">
        <f t="shared" si="41"/>
        <v>0.25141666666666668</v>
      </c>
      <c r="AR25" s="68">
        <f t="shared" si="49"/>
        <v>0.25145833333333334</v>
      </c>
      <c r="AS25" s="68" t="e">
        <f>IF(OR(#REF!="",#REF!="Sem monitoramento"),"VAZIO",IFERROR(#REF!/($AG25*24),"-"))</f>
        <v>#REF!</v>
      </c>
      <c r="AT25" s="68">
        <f t="shared" si="50"/>
        <v>0.24137499999999998</v>
      </c>
      <c r="AU25" s="68">
        <f t="shared" si="45"/>
        <v>0.25037500000000001</v>
      </c>
      <c r="AV25" s="68">
        <f t="shared" si="37"/>
        <v>0.20191666666666669</v>
      </c>
      <c r="AW25" s="68">
        <f t="shared" si="42"/>
        <v>0.25037500000000001</v>
      </c>
      <c r="AX25" s="68">
        <f t="shared" si="43"/>
        <v>0.25775000000000003</v>
      </c>
      <c r="AY25" s="68">
        <f>IF(OR(T26="",T26="Sem monitoramento"),"VAZIO",IFERROR(T26/($AG25*24),"-"))</f>
        <v>0.23204166666666665</v>
      </c>
      <c r="AZ25" s="68">
        <f>IF(OR(U26="",U26="Sem monitoramento"),"VAZIO",IFERROR(U26/($AG25*24),"-"))</f>
        <v>0.230625</v>
      </c>
      <c r="BA25" s="68">
        <f t="shared" ref="BA25:BA31" si="51">IF(OR(V25="",V25="Sem monitoramento"),"VAZIO",IFERROR(V25/($AG25*24),"-"))</f>
        <v>0.25154166666666666</v>
      </c>
      <c r="BB25" s="68" t="e">
        <f>IF(OR(#REF!="",#REF!="Sem monitoramento"),"VAZIO",IFERROR(#REF!/($AG25*24),"-"))</f>
        <v>#REF!</v>
      </c>
      <c r="BC25" s="68">
        <f>IF(OR(X25="",X25="Sem monitoramento"),"VAZIO",IFERROR(X25/($AG25*24),"-"))</f>
        <v>9.9166666666666667E-2</v>
      </c>
      <c r="BD25" s="68">
        <f t="shared" si="46"/>
        <v>7.2749999999999995E-2</v>
      </c>
      <c r="BE25" s="68">
        <f>IF(OR(Z26="",Z26="Sem monitoramento"),"VAZIO",IFERROR(Z26/($AG25*24),"-"))</f>
        <v>0.21608333333333335</v>
      </c>
      <c r="BF25" s="68">
        <f>IF(OR(AA25="",AA25="Sem monitoramento"),"VAZIO",IFERROR(AA25/($AG25*24),"-"))</f>
        <v>0.25104166666666666</v>
      </c>
      <c r="BG25" s="68">
        <f t="shared" si="47"/>
        <v>0.22758333333333336</v>
      </c>
      <c r="BH25" s="68">
        <f t="shared" si="24"/>
        <v>0.22758333333333336</v>
      </c>
      <c r="BI25" s="68">
        <f t="shared" si="44"/>
        <v>0.2185</v>
      </c>
      <c r="BJ25" s="68">
        <f t="shared" si="38"/>
        <v>0.2485</v>
      </c>
      <c r="BK25" s="68" t="e">
        <f>IF(OR(#REF!="",#REF!="Sem monitoramento"),"VAZIO",IFERROR(#REF!/($AG25*24),"-"))</f>
        <v>#REF!</v>
      </c>
      <c r="BL25" s="68" t="e">
        <f>IF(OR(#REF!="",#REF!="Sem monitoramento"),"VAZIO",IFERROR(#REF!/($AG25*24),"-"))</f>
        <v>#REF!</v>
      </c>
      <c r="BM25" s="70">
        <f t="shared" si="7"/>
        <v>0.22223363095238099</v>
      </c>
      <c r="BN25" s="198">
        <f t="shared" si="39"/>
        <v>0.168125</v>
      </c>
      <c r="BO25" s="72">
        <f t="shared" si="29"/>
        <v>16.8125</v>
      </c>
      <c r="BP25" s="73">
        <f t="shared" si="30"/>
        <v>6.008333333333335E-2</v>
      </c>
      <c r="BQ25" s="74">
        <f t="shared" si="10"/>
        <v>5.4108630952380998E-2</v>
      </c>
      <c r="BR25" s="15" t="s">
        <v>30</v>
      </c>
      <c r="BS25" s="3"/>
      <c r="BT25" s="2"/>
      <c r="BU25" s="2"/>
    </row>
    <row r="26" spans="2:73" x14ac:dyDescent="0.3">
      <c r="B26" s="775"/>
      <c r="C26" s="326" t="s">
        <v>32</v>
      </c>
      <c r="D26" s="62">
        <v>302.5</v>
      </c>
      <c r="E26" s="283">
        <v>282.5</v>
      </c>
      <c r="F26" s="63">
        <v>409</v>
      </c>
      <c r="G26" s="63">
        <v>570.4</v>
      </c>
      <c r="H26" s="63">
        <v>545.29999999999995</v>
      </c>
      <c r="I26" s="283">
        <v>492.6</v>
      </c>
      <c r="J26" s="63">
        <v>506.1</v>
      </c>
      <c r="K26" s="63">
        <v>518.6</v>
      </c>
      <c r="L26" s="316">
        <v>523.20000000000005</v>
      </c>
      <c r="M26" s="283">
        <v>488.8</v>
      </c>
      <c r="N26" s="519">
        <v>507.7</v>
      </c>
      <c r="O26" s="63">
        <v>398.5</v>
      </c>
      <c r="P26" s="63">
        <v>544.79999999999995</v>
      </c>
      <c r="Q26" s="283">
        <v>537.79999999999995</v>
      </c>
      <c r="R26" s="283">
        <v>544.6</v>
      </c>
      <c r="S26" s="63">
        <v>550.79999999999995</v>
      </c>
      <c r="T26" s="319">
        <v>556.9</v>
      </c>
      <c r="U26" s="319">
        <v>553.5</v>
      </c>
      <c r="V26" s="283">
        <v>544.20000000000005</v>
      </c>
      <c r="W26" s="283">
        <v>554.29999999999995</v>
      </c>
      <c r="X26" s="63">
        <v>465.9</v>
      </c>
      <c r="Y26" s="63">
        <v>553.20000000000005</v>
      </c>
      <c r="Z26" s="221">
        <v>518.6</v>
      </c>
      <c r="AA26" s="320">
        <v>532.29999999999995</v>
      </c>
      <c r="AB26" s="387">
        <v>46.6</v>
      </c>
      <c r="AC26" s="354">
        <v>64.400000000000006</v>
      </c>
      <c r="AD26" s="221">
        <v>488.5</v>
      </c>
      <c r="AE26" s="354">
        <v>292.2</v>
      </c>
      <c r="AF26" s="656">
        <f t="shared" si="0"/>
        <v>12893.800000000001</v>
      </c>
      <c r="AG26" s="118">
        <v>100</v>
      </c>
      <c r="AH26" s="121">
        <f t="shared" si="27"/>
        <v>9.4675925925925934E-3</v>
      </c>
      <c r="AI26" s="67">
        <f t="shared" si="20"/>
        <v>0.12604166666666666</v>
      </c>
      <c r="AJ26" s="68">
        <f t="shared" ref="AJ26:AL27" si="52">IF(OR(E26="",E26="Sem monitoramento"),"VAZIO",IFERROR(E26/($AG26*24),"-"))</f>
        <v>0.11770833333333333</v>
      </c>
      <c r="AK26" s="68">
        <f t="shared" si="52"/>
        <v>0.17041666666666666</v>
      </c>
      <c r="AL26" s="68">
        <f t="shared" si="52"/>
        <v>0.23766666666666666</v>
      </c>
      <c r="AM26" s="68" t="e">
        <f>IF(OR(#REF!="",#REF!="Sem monitoramento"),"VAZIO",IFERROR(#REF!/($AG26*24),"-"))</f>
        <v>#REF!</v>
      </c>
      <c r="AN26" s="68">
        <f t="shared" si="48"/>
        <v>0.20525000000000002</v>
      </c>
      <c r="AO26" s="68">
        <f>IF(OR(J26="",J26="Sem monitoramento"),"VAZIO",IFERROR(J26/($AG26*24),"-"))</f>
        <v>0.21087500000000001</v>
      </c>
      <c r="AP26" s="68">
        <f t="shared" si="40"/>
        <v>0.21608333333333335</v>
      </c>
      <c r="AQ26" s="68">
        <f>IF(OR(L27="",L27="Sem monitoramento"),"VAZIO",IFERROR(L27/($AG26*24),"-"))</f>
        <v>0.21433333333333332</v>
      </c>
      <c r="AR26" s="68">
        <f t="shared" si="49"/>
        <v>0.20366666666666666</v>
      </c>
      <c r="AS26" s="68">
        <f>IF(OR(N25="",N25="Sem monitoramento"),"VAZIO",IFERROR(N25/($AG26*24),"-"))</f>
        <v>0.22574999999999998</v>
      </c>
      <c r="AT26" s="68">
        <f t="shared" si="50"/>
        <v>0.16604166666666667</v>
      </c>
      <c r="AU26" s="68">
        <f t="shared" si="45"/>
        <v>0.22699999999999998</v>
      </c>
      <c r="AV26" s="68">
        <f t="shared" si="37"/>
        <v>0.2240833333333333</v>
      </c>
      <c r="AW26" s="68">
        <f t="shared" si="42"/>
        <v>0.22691666666666668</v>
      </c>
      <c r="AX26" s="68">
        <f t="shared" si="43"/>
        <v>0.22949999999999998</v>
      </c>
      <c r="AY26" s="68" t="e">
        <f>IF(OR(#REF!="",#REF!="Sem monitoramento"),"VAZIO",IFERROR(#REF!/($AG26*24),"-"))</f>
        <v>#REF!</v>
      </c>
      <c r="AZ26" s="68" t="e">
        <f>IF(OR(#REF!="",#REF!="Sem monitoramento"),"VAZIO",IFERROR(#REF!/($AG26*24),"-"))</f>
        <v>#REF!</v>
      </c>
      <c r="BA26" s="68">
        <f t="shared" si="51"/>
        <v>0.22675000000000001</v>
      </c>
      <c r="BB26" s="68">
        <f>IF(OR(W25="",W25="Sem monitoramento"),"VAZIO",IFERROR(W25/($AG26*24),"-"))</f>
        <v>0.22750000000000001</v>
      </c>
      <c r="BC26" s="68">
        <f>IF(OR(X26="",X26="Sem monitoramento"),"VAZIO",IFERROR(X26/($AG26*24),"-"))</f>
        <v>0.19412499999999999</v>
      </c>
      <c r="BD26" s="68">
        <f t="shared" si="46"/>
        <v>0.23050000000000001</v>
      </c>
      <c r="BE26" s="68" t="e">
        <f>IF(OR(#REF!="",#REF!="Sem monitoramento"),"VAZIO",IFERROR(#REF!/($AG26*24),"-"))</f>
        <v>#REF!</v>
      </c>
      <c r="BF26" s="68">
        <f>IF(OR(AA26="",AA26="Sem monitoramento"),"VAZIO",IFERROR(AA26/($AG26*24),"-"))</f>
        <v>0.22179166666666664</v>
      </c>
      <c r="BG26" s="68">
        <f t="shared" si="47"/>
        <v>1.9416666666666669E-2</v>
      </c>
      <c r="BH26" s="68">
        <f t="shared" si="24"/>
        <v>2.6833333333333334E-2</v>
      </c>
      <c r="BI26" s="68">
        <f t="shared" si="44"/>
        <v>0.20354166666666668</v>
      </c>
      <c r="BJ26" s="68">
        <f t="shared" si="38"/>
        <v>0.12175</v>
      </c>
      <c r="BK26" s="68" t="e">
        <f>IF(OR(#REF!="",#REF!="Sem monitoramento"),"VAZIO",IFERROR(#REF!/($AG26*24),"-"))</f>
        <v>#REF!</v>
      </c>
      <c r="BL26" s="68" t="e">
        <f>IF(OR(#REF!="",#REF!="Sem monitoramento"),"VAZIO",IFERROR(#REF!/($AG26*24),"-"))</f>
        <v>#REF!</v>
      </c>
      <c r="BM26" s="70">
        <f t="shared" si="7"/>
        <v>0.19187202380952384</v>
      </c>
      <c r="BN26" s="198">
        <f t="shared" si="39"/>
        <v>0.168125</v>
      </c>
      <c r="BO26" s="72">
        <f t="shared" si="29"/>
        <v>16.8125</v>
      </c>
      <c r="BP26" s="73">
        <f t="shared" si="30"/>
        <v>2.2916666666666641E-3</v>
      </c>
      <c r="BQ26" s="74">
        <f t="shared" si="10"/>
        <v>2.3747023809523843E-2</v>
      </c>
      <c r="BR26" s="15" t="s">
        <v>111</v>
      </c>
      <c r="BS26" s="3"/>
      <c r="BT26" s="2"/>
      <c r="BU26" s="2"/>
    </row>
    <row r="27" spans="2:73" x14ac:dyDescent="0.3">
      <c r="B27" s="775"/>
      <c r="C27" s="326" t="s">
        <v>288</v>
      </c>
      <c r="D27" s="223">
        <v>339</v>
      </c>
      <c r="E27" s="63">
        <v>379.6</v>
      </c>
      <c r="F27" s="63">
        <v>393.4</v>
      </c>
      <c r="G27" s="308">
        <v>528</v>
      </c>
      <c r="H27" s="316">
        <v>516.1</v>
      </c>
      <c r="I27" s="283">
        <v>552.4</v>
      </c>
      <c r="J27" s="283">
        <v>503.4</v>
      </c>
      <c r="K27" s="283">
        <v>519.20000000000005</v>
      </c>
      <c r="L27" s="63">
        <v>514.4</v>
      </c>
      <c r="M27" s="355">
        <v>342.7</v>
      </c>
      <c r="N27" s="283">
        <v>529</v>
      </c>
      <c r="O27" s="283">
        <v>423.3</v>
      </c>
      <c r="P27" s="63">
        <v>504.4</v>
      </c>
      <c r="Q27" s="283">
        <v>436</v>
      </c>
      <c r="R27" s="283">
        <v>492</v>
      </c>
      <c r="S27" s="63">
        <v>541.1</v>
      </c>
      <c r="T27" s="355">
        <v>547.6</v>
      </c>
      <c r="U27" s="283">
        <v>455.9</v>
      </c>
      <c r="V27" s="282">
        <v>435.4</v>
      </c>
      <c r="W27" s="282">
        <v>126.9</v>
      </c>
      <c r="X27" s="283">
        <v>533</v>
      </c>
      <c r="Y27" s="283">
        <v>547.5</v>
      </c>
      <c r="Z27" s="221">
        <v>484.6</v>
      </c>
      <c r="AA27" s="283">
        <v>444.3</v>
      </c>
      <c r="AB27" s="323">
        <v>444.3</v>
      </c>
      <c r="AC27" s="283">
        <v>498.5</v>
      </c>
      <c r="AD27" s="283">
        <v>497</v>
      </c>
      <c r="AE27" s="283">
        <v>536.4</v>
      </c>
      <c r="AF27" s="656">
        <f t="shared" si="0"/>
        <v>13065.399999999998</v>
      </c>
      <c r="AG27" s="118">
        <v>100</v>
      </c>
      <c r="AH27" s="121">
        <f t="shared" si="27"/>
        <v>9.106481481481481E-3</v>
      </c>
      <c r="AI27" s="67">
        <f t="shared" si="20"/>
        <v>0.14124999999999999</v>
      </c>
      <c r="AJ27" s="68">
        <f t="shared" si="52"/>
        <v>0.15816666666666668</v>
      </c>
      <c r="AK27" s="68">
        <f t="shared" si="52"/>
        <v>0.16391666666666665</v>
      </c>
      <c r="AL27" s="68">
        <f t="shared" si="52"/>
        <v>0.22</v>
      </c>
      <c r="AM27" s="68">
        <f>IF(OR(H26="",H26="Sem monitoramento"),"VAZIO",IFERROR(H26/($AG27*24),"-"))</f>
        <v>0.22720833333333332</v>
      </c>
      <c r="AN27" s="68">
        <f t="shared" si="48"/>
        <v>0.23016666666666666</v>
      </c>
      <c r="AO27" s="68">
        <f>IF(OR(J27="",J27="Sem monitoramento"),"VAZIO",IFERROR(J27/($AG27*24),"-"))</f>
        <v>0.20974999999999999</v>
      </c>
      <c r="AP27" s="68">
        <f t="shared" si="40"/>
        <v>0.21633333333333335</v>
      </c>
      <c r="AQ27" s="68" t="e">
        <f>IF(OR(#REF!="",#REF!="Sem monitoramento"),"VAZIO",IFERROR(#REF!/($AG27*24),"-"))</f>
        <v>#REF!</v>
      </c>
      <c r="AR27" s="68">
        <f t="shared" si="49"/>
        <v>0.14279166666666665</v>
      </c>
      <c r="AS27" s="68">
        <f>IF(OR(N27="",N27="Sem monitoramento"),"VAZIO",IFERROR(N27/($AG27*24),"-"))</f>
        <v>0.22041666666666668</v>
      </c>
      <c r="AT27" s="68">
        <f t="shared" si="50"/>
        <v>0.176375</v>
      </c>
      <c r="AU27" s="68">
        <f t="shared" si="45"/>
        <v>0.21016666666666667</v>
      </c>
      <c r="AV27" s="68">
        <f t="shared" si="37"/>
        <v>0.18166666666666667</v>
      </c>
      <c r="AW27" s="68">
        <f t="shared" si="42"/>
        <v>0.20499999999999999</v>
      </c>
      <c r="AX27" s="68">
        <f t="shared" si="43"/>
        <v>0.22545833333333334</v>
      </c>
      <c r="AY27" s="68">
        <f t="shared" ref="AY27:AZ31" si="53">IF(OR(T27="",T27="Sem monitoramento"),"VAZIO",IFERROR(T27/($AG27*24),"-"))</f>
        <v>0.22816666666666668</v>
      </c>
      <c r="AZ27" s="68">
        <f t="shared" si="53"/>
        <v>0.18995833333333331</v>
      </c>
      <c r="BA27" s="68">
        <f t="shared" si="51"/>
        <v>0.18141666666666667</v>
      </c>
      <c r="BB27" s="68">
        <f>IF(OR(W27="",W27="Sem monitoramento"),"VAZIO",IFERROR(W27/($AG27*24),"-"))</f>
        <v>5.2875000000000005E-2</v>
      </c>
      <c r="BC27" s="68">
        <f>IF(OR(X27="",X27="Sem monitoramento"),"VAZIO",IFERROR(X27/($AG27*24),"-"))</f>
        <v>0.22208333333333333</v>
      </c>
      <c r="BD27" s="68">
        <f t="shared" si="46"/>
        <v>0.22812499999999999</v>
      </c>
      <c r="BE27" s="68">
        <f>IF(OR(Z27="",Z27="Sem monitoramento"),"VAZIO",IFERROR(Z27/($AG27*24),"-"))</f>
        <v>0.20191666666666669</v>
      </c>
      <c r="BF27" s="68" t="e">
        <f>IF(OR(#REF!="",#REF!="Sem monitoramento"),"VAZIO",IFERROR(#REF!/($AG27*24),"-"))</f>
        <v>#REF!</v>
      </c>
      <c r="BG27" s="68">
        <f t="shared" si="47"/>
        <v>0.18512500000000001</v>
      </c>
      <c r="BH27" s="68">
        <f t="shared" si="24"/>
        <v>0.20770833333333333</v>
      </c>
      <c r="BI27" s="68">
        <f t="shared" si="44"/>
        <v>0.20708333333333334</v>
      </c>
      <c r="BJ27" s="68">
        <f t="shared" si="38"/>
        <v>0.2235</v>
      </c>
      <c r="BK27" s="68" t="e">
        <f>IF(OR(#REF!="",#REF!="Sem monitoramento"),"VAZIO",IFERROR(#REF!/($AG27*24),"-"))</f>
        <v>#REF!</v>
      </c>
      <c r="BL27" s="68" t="e">
        <f>IF(OR(#REF!="",#REF!="Sem monitoramento"),"VAZIO",IFERROR(#REF!/($AG27*24),"-"))</f>
        <v>#REF!</v>
      </c>
      <c r="BM27" s="70">
        <f t="shared" si="7"/>
        <v>0.19442559523809522</v>
      </c>
      <c r="BN27" s="198">
        <f t="shared" si="39"/>
        <v>0.168125</v>
      </c>
      <c r="BO27" s="72">
        <f t="shared" si="29"/>
        <v>16.8125</v>
      </c>
      <c r="BP27" s="73">
        <f t="shared" si="30"/>
        <v>-4.2083333333333417E-3</v>
      </c>
      <c r="BQ27" s="74">
        <f t="shared" si="10"/>
        <v>2.630059523809522E-2</v>
      </c>
      <c r="BR27" s="15" t="s">
        <v>32</v>
      </c>
      <c r="BS27" s="3"/>
      <c r="BT27" s="2"/>
      <c r="BU27" s="2"/>
    </row>
    <row r="28" spans="2:73" x14ac:dyDescent="0.3">
      <c r="B28" s="775"/>
      <c r="C28" s="326" t="s">
        <v>112</v>
      </c>
      <c r="D28" s="223">
        <v>283.39999999999998</v>
      </c>
      <c r="E28" s="223">
        <v>373</v>
      </c>
      <c r="F28" s="63">
        <v>404.3</v>
      </c>
      <c r="G28" s="308">
        <v>485.7</v>
      </c>
      <c r="H28" s="283">
        <v>451.3</v>
      </c>
      <c r="I28" s="283">
        <v>529.70000000000005</v>
      </c>
      <c r="J28" s="283">
        <v>445.8</v>
      </c>
      <c r="K28" s="355">
        <v>192</v>
      </c>
      <c r="L28" s="355">
        <v>163.30000000000001</v>
      </c>
      <c r="M28" s="355">
        <v>77</v>
      </c>
      <c r="N28" s="63">
        <v>299.7</v>
      </c>
      <c r="O28" s="283">
        <v>411.2</v>
      </c>
      <c r="P28" s="283">
        <v>461.3</v>
      </c>
      <c r="Q28" s="283">
        <v>418.8</v>
      </c>
      <c r="R28" s="283">
        <v>469.7</v>
      </c>
      <c r="S28" s="283">
        <v>512.9</v>
      </c>
      <c r="T28" s="355">
        <v>518.5</v>
      </c>
      <c r="U28" s="283">
        <v>446.6</v>
      </c>
      <c r="V28" s="282">
        <v>409.2</v>
      </c>
      <c r="W28" s="282">
        <v>146.1</v>
      </c>
      <c r="X28" s="283">
        <v>501.8</v>
      </c>
      <c r="Y28" s="283">
        <v>522.6</v>
      </c>
      <c r="Z28" s="283">
        <v>435.3</v>
      </c>
      <c r="AA28" s="519">
        <v>402.6</v>
      </c>
      <c r="AB28" s="323">
        <v>355.1</v>
      </c>
      <c r="AC28" s="283">
        <v>470.6</v>
      </c>
      <c r="AD28" s="283">
        <v>467.2</v>
      </c>
      <c r="AE28" s="221">
        <v>520.70000000000005</v>
      </c>
      <c r="AF28" s="656">
        <f t="shared" si="0"/>
        <v>11175.400000000003</v>
      </c>
      <c r="AG28" s="301">
        <v>100</v>
      </c>
      <c r="AH28" s="121">
        <f t="shared" si="27"/>
        <v>9.3587962962962973E-3</v>
      </c>
      <c r="AI28" s="302" t="e">
        <f>IF(OR(#REF!="",#REF!="Sem monitoramento"),"VAZIO",IFERROR(#REF!/($AG28*24),"-"))</f>
        <v>#REF!</v>
      </c>
      <c r="AJ28" s="303" t="e">
        <f>IF(OR(#REF!="",#REF!="Sem monitoramento"),"VAZIO",IFERROR(#REF!/($AG28*24),"-"))</f>
        <v>#REF!</v>
      </c>
      <c r="AK28" s="303">
        <f t="shared" ref="AK28:AM31" si="54">IF(OR(F28="",F28="Sem monitoramento"),"VAZIO",IFERROR(F28/($AG28*24),"-"))</f>
        <v>0.16845833333333335</v>
      </c>
      <c r="AL28" s="303">
        <f t="shared" si="54"/>
        <v>0.202375</v>
      </c>
      <c r="AM28" s="303">
        <f t="shared" si="54"/>
        <v>0.18804166666666666</v>
      </c>
      <c r="AN28" s="303">
        <f t="shared" si="48"/>
        <v>0.22070833333333334</v>
      </c>
      <c r="AO28" s="303">
        <f>IF(OR(J28="",J28="Sem monitoramento"),"VAZIO",IFERROR(J28/($AG28*24),"-"))</f>
        <v>0.18575</v>
      </c>
      <c r="AP28" s="303">
        <f t="shared" si="40"/>
        <v>0.08</v>
      </c>
      <c r="AQ28" s="303">
        <f t="shared" si="41"/>
        <v>6.8041666666666667E-2</v>
      </c>
      <c r="AR28" s="303">
        <f t="shared" si="49"/>
        <v>3.2083333333333332E-2</v>
      </c>
      <c r="AS28" s="303">
        <f>IF(OR(N28="",N28="Sem monitoramento"),"VAZIO",IFERROR(N28/($AG28*24),"-"))</f>
        <v>0.124875</v>
      </c>
      <c r="AT28" s="303">
        <f t="shared" si="50"/>
        <v>0.17133333333333334</v>
      </c>
      <c r="AU28" s="303">
        <f t="shared" si="45"/>
        <v>0.19220833333333334</v>
      </c>
      <c r="AV28" s="303">
        <f t="shared" si="37"/>
        <v>0.17450000000000002</v>
      </c>
      <c r="AW28" s="303">
        <f t="shared" si="42"/>
        <v>0.19570833333333332</v>
      </c>
      <c r="AX28" s="303">
        <f t="shared" si="43"/>
        <v>0.21370833333333333</v>
      </c>
      <c r="AY28" s="303">
        <f t="shared" si="53"/>
        <v>0.21604166666666666</v>
      </c>
      <c r="AZ28" s="303">
        <f t="shared" si="53"/>
        <v>0.18608333333333335</v>
      </c>
      <c r="BA28" s="303">
        <f t="shared" si="51"/>
        <v>0.17049999999999998</v>
      </c>
      <c r="BB28" s="303">
        <f>IF(OR(X28="",X28="Sem monitoramento"),"VAZIO",IFERROR(X28/($AG28*24),"-"))</f>
        <v>0.20908333333333334</v>
      </c>
      <c r="BC28" s="303" t="e">
        <f>IF(OR(#REF!="",#REF!="Sem monitoramento"),"VAZIO",IFERROR(#REF!/($AG28*24),"-"))</f>
        <v>#REF!</v>
      </c>
      <c r="BD28" s="303">
        <f t="shared" si="46"/>
        <v>0.21775</v>
      </c>
      <c r="BE28" s="303">
        <f>IF(OR(Z28="",Z28="Sem monitoramento"),"VAZIO",IFERROR(Z28/($AG28*24),"-"))</f>
        <v>0.18137500000000001</v>
      </c>
      <c r="BF28" s="303">
        <f>IF(OR(AA27="",AA27="Sem monitoramento"),"VAZIO",IFERROR(AA27/($AG28*24),"-"))</f>
        <v>0.18512500000000001</v>
      </c>
      <c r="BG28" s="303">
        <f t="shared" si="47"/>
        <v>0.14795833333333333</v>
      </c>
      <c r="BH28" s="303">
        <f t="shared" si="24"/>
        <v>0.19608333333333333</v>
      </c>
      <c r="BI28" s="303">
        <f t="shared" si="44"/>
        <v>0.19466666666666665</v>
      </c>
      <c r="BJ28" s="303">
        <f t="shared" si="38"/>
        <v>0.21695833333333336</v>
      </c>
      <c r="BK28" s="303" t="e">
        <f>IF(OR(#REF!="",#REF!="Sem monitoramento"),"VAZIO",IFERROR(#REF!/($AG28*24),"-"))</f>
        <v>#REF!</v>
      </c>
      <c r="BL28" s="303" t="e">
        <f>IF(OR(#REF!="",#REF!="Sem monitoramento"),"VAZIO",IFERROR(#REF!/($AG28*24),"-"))</f>
        <v>#REF!</v>
      </c>
      <c r="BM28" s="304">
        <f t="shared" si="7"/>
        <v>0.16630059523809529</v>
      </c>
      <c r="BN28" s="198">
        <f t="shared" si="39"/>
        <v>0.168125</v>
      </c>
      <c r="BO28" s="72">
        <f t="shared" si="29"/>
        <v>16.8125</v>
      </c>
      <c r="BP28" s="73">
        <f t="shared" si="30"/>
        <v>3.3333333333335213E-4</v>
      </c>
      <c r="BQ28" s="74">
        <f>BM28-BN28</f>
        <v>-1.8244047619047077E-3</v>
      </c>
      <c r="BR28" s="15" t="s">
        <v>440</v>
      </c>
      <c r="BS28" s="3"/>
      <c r="BT28" s="2"/>
      <c r="BU28" s="2"/>
    </row>
    <row r="29" spans="2:73" ht="15" thickBot="1" x14ac:dyDescent="0.35">
      <c r="B29" s="775"/>
      <c r="C29" s="326" t="s">
        <v>289</v>
      </c>
      <c r="D29" s="223">
        <v>297.5</v>
      </c>
      <c r="E29" s="283">
        <v>332.8</v>
      </c>
      <c r="F29" s="283">
        <v>350.7</v>
      </c>
      <c r="G29" s="308">
        <v>443.9</v>
      </c>
      <c r="H29" s="283">
        <v>441.8</v>
      </c>
      <c r="I29" s="308">
        <v>457.2</v>
      </c>
      <c r="J29" s="63">
        <v>412</v>
      </c>
      <c r="K29" s="283">
        <v>419.9</v>
      </c>
      <c r="L29" s="283">
        <v>419.9</v>
      </c>
      <c r="M29" s="355">
        <v>307.89999999999998</v>
      </c>
      <c r="N29" s="316">
        <v>428.1</v>
      </c>
      <c r="O29" s="283">
        <v>353.1</v>
      </c>
      <c r="P29" s="283">
        <v>403.5</v>
      </c>
      <c r="Q29" s="283">
        <v>369.6</v>
      </c>
      <c r="R29" s="283">
        <v>408.7</v>
      </c>
      <c r="S29" s="283">
        <v>440.3</v>
      </c>
      <c r="T29" s="355">
        <v>442.1</v>
      </c>
      <c r="U29" s="283">
        <v>383.8</v>
      </c>
      <c r="V29" s="282">
        <v>340.5</v>
      </c>
      <c r="W29" s="282">
        <v>113.9</v>
      </c>
      <c r="X29" s="283">
        <v>421.8</v>
      </c>
      <c r="Y29" s="283">
        <v>438.6</v>
      </c>
      <c r="Z29" s="221">
        <v>408.2</v>
      </c>
      <c r="AA29" s="320">
        <v>481.5</v>
      </c>
      <c r="AB29" s="323">
        <v>361.4</v>
      </c>
      <c r="AC29" s="283">
        <v>414.7</v>
      </c>
      <c r="AD29" s="283">
        <v>405.1</v>
      </c>
      <c r="AE29" s="221">
        <v>440</v>
      </c>
      <c r="AF29" s="656">
        <f t="shared" si="0"/>
        <v>10938.500000000004</v>
      </c>
      <c r="AG29" s="119">
        <v>100</v>
      </c>
      <c r="AH29" s="121">
        <f t="shared" si="27"/>
        <v>8.1180555555555554E-3</v>
      </c>
      <c r="AI29" s="98">
        <f>IF(OR(D28="",D28="Sem monitoramento"),"VAZIO",IFERROR(D28/($AG29*24),"-"))</f>
        <v>0.11808333333333332</v>
      </c>
      <c r="AJ29" s="99">
        <f>IF(OR(E29="",E29="Sem monitoramento"),"VAZIO",IFERROR(E29/($AG29*24),"-"))</f>
        <v>0.13866666666666666</v>
      </c>
      <c r="AK29" s="99">
        <f t="shared" si="54"/>
        <v>0.146125</v>
      </c>
      <c r="AL29" s="99">
        <f t="shared" si="54"/>
        <v>0.18495833333333334</v>
      </c>
      <c r="AM29" s="99">
        <f t="shared" si="54"/>
        <v>0.18408333333333335</v>
      </c>
      <c r="AN29" s="99">
        <f t="shared" si="48"/>
        <v>0.1905</v>
      </c>
      <c r="AO29" s="99">
        <f>IF(OR(J30="",J30="Sem monitoramento"),"VAZIO",IFERROR(J30/($AG29*24),"-"))</f>
        <v>0.19462500000000002</v>
      </c>
      <c r="AP29" s="99">
        <f t="shared" si="40"/>
        <v>0.17495833333333333</v>
      </c>
      <c r="AQ29" s="99">
        <f t="shared" si="41"/>
        <v>0.17495833333333333</v>
      </c>
      <c r="AR29" s="99">
        <f t="shared" si="49"/>
        <v>0.12829166666666666</v>
      </c>
      <c r="AS29" s="99">
        <f>IF(OR(N30="",N30="Sem monitoramento"),"VAZIO",IFERROR(N30/($AG29*24),"-"))</f>
        <v>0.19054166666666666</v>
      </c>
      <c r="AT29" s="99">
        <f t="shared" si="50"/>
        <v>0.14712500000000001</v>
      </c>
      <c r="AU29" s="99">
        <f t="shared" si="45"/>
        <v>0.168125</v>
      </c>
      <c r="AV29" s="99">
        <f t="shared" si="37"/>
        <v>0.154</v>
      </c>
      <c r="AW29" s="99">
        <f t="shared" si="42"/>
        <v>0.17029166666666667</v>
      </c>
      <c r="AX29" s="99">
        <f t="shared" si="43"/>
        <v>0.18345833333333333</v>
      </c>
      <c r="AY29" s="99">
        <f t="shared" si="53"/>
        <v>0.18420833333333334</v>
      </c>
      <c r="AZ29" s="99">
        <f t="shared" si="53"/>
        <v>0.15991666666666668</v>
      </c>
      <c r="BA29" s="99">
        <f t="shared" si="51"/>
        <v>0.141875</v>
      </c>
      <c r="BB29" s="99">
        <f>IF(OR(X29="",X29="Sem monitoramento"),"VAZIO",IFERROR(X29/($AG29*24),"-"))</f>
        <v>0.17575000000000002</v>
      </c>
      <c r="BC29" s="99" t="e">
        <f>IF(OR(#REF!="",#REF!="Sem monitoramento"),"VAZIO",IFERROR(#REF!/($AG29*24),"-"))</f>
        <v>#REF!</v>
      </c>
      <c r="BD29" s="99">
        <f t="shared" si="46"/>
        <v>0.18275</v>
      </c>
      <c r="BE29" s="99">
        <f>IF(OR(Z29="",Z29="Sem monitoramento"),"VAZIO",IFERROR(Z29/($AG29*24),"-"))</f>
        <v>0.17008333333333334</v>
      </c>
      <c r="BF29" s="99">
        <f>IF(OR(AA29="",AA29="Sem monitoramento"),"VAZIO",IFERROR(AA29/($AG29*24),"-"))</f>
        <v>0.200625</v>
      </c>
      <c r="BG29" s="99">
        <f t="shared" si="47"/>
        <v>0.15058333333333332</v>
      </c>
      <c r="BH29" s="99">
        <f t="shared" si="24"/>
        <v>0.17279166666666665</v>
      </c>
      <c r="BI29" s="99">
        <f t="shared" si="44"/>
        <v>0.16879166666666667</v>
      </c>
      <c r="BJ29" s="99">
        <f t="shared" si="38"/>
        <v>0.18333333333333332</v>
      </c>
      <c r="BK29" s="99" t="e">
        <f>IF(OR(#REF!="",#REF!="Sem monitoramento"),"VAZIO",IFERROR(#REF!/($AG29*24),"-"))</f>
        <v>#REF!</v>
      </c>
      <c r="BL29" s="99" t="e">
        <f>IF(OR(#REF!="",#REF!="Sem monitoramento"),"VAZIO",IFERROR(#REF!/($AG29*24),"-"))</f>
        <v>#REF!</v>
      </c>
      <c r="BM29" s="101">
        <f t="shared" si="7"/>
        <v>0.16277529761904766</v>
      </c>
      <c r="BN29" s="198">
        <f t="shared" si="39"/>
        <v>0.168125</v>
      </c>
      <c r="BO29" s="72">
        <f t="shared" si="29"/>
        <v>16.8125</v>
      </c>
      <c r="BP29" s="73">
        <f t="shared" si="30"/>
        <v>-2.1999999999999992E-2</v>
      </c>
      <c r="BQ29" s="74">
        <f t="shared" si="10"/>
        <v>-5.349702380952337E-3</v>
      </c>
      <c r="BR29" s="15" t="s">
        <v>112</v>
      </c>
      <c r="BS29" s="3"/>
      <c r="BT29" s="2"/>
      <c r="BU29" s="2"/>
    </row>
    <row r="30" spans="2:73" ht="15" thickBot="1" x14ac:dyDescent="0.35">
      <c r="B30" s="773" t="s">
        <v>290</v>
      </c>
      <c r="C30" s="326" t="s">
        <v>291</v>
      </c>
      <c r="D30" s="223">
        <v>337.5</v>
      </c>
      <c r="E30" s="31">
        <v>285.10000000000002</v>
      </c>
      <c r="F30" s="63">
        <v>488</v>
      </c>
      <c r="G30" s="63">
        <v>509.9</v>
      </c>
      <c r="H30" s="283">
        <v>529.5</v>
      </c>
      <c r="I30" s="470">
        <v>494.5</v>
      </c>
      <c r="J30" s="308">
        <v>467.1</v>
      </c>
      <c r="K30" s="283">
        <v>460.8</v>
      </c>
      <c r="L30" s="283">
        <v>476.8</v>
      </c>
      <c r="M30" s="283">
        <v>487.8</v>
      </c>
      <c r="N30" s="283">
        <v>457.3</v>
      </c>
      <c r="O30" s="283">
        <v>406.4</v>
      </c>
      <c r="P30" s="283">
        <v>502.3</v>
      </c>
      <c r="Q30" s="283">
        <v>458.4</v>
      </c>
      <c r="R30" s="283">
        <v>515.1</v>
      </c>
      <c r="S30" s="283">
        <v>496.9</v>
      </c>
      <c r="T30" s="355">
        <v>521.5</v>
      </c>
      <c r="U30" s="355">
        <v>510.1</v>
      </c>
      <c r="V30" s="355">
        <v>521.5</v>
      </c>
      <c r="W30" s="283">
        <v>512.9</v>
      </c>
      <c r="X30" s="283">
        <v>460.8</v>
      </c>
      <c r="Y30" s="320">
        <v>520</v>
      </c>
      <c r="Z30" s="320">
        <v>466.9</v>
      </c>
      <c r="AA30" s="320">
        <v>485.9</v>
      </c>
      <c r="AB30" s="323">
        <v>431.5</v>
      </c>
      <c r="AC30" s="15">
        <v>472</v>
      </c>
      <c r="AD30" s="221">
        <v>382.7</v>
      </c>
      <c r="AE30" s="221">
        <v>512</v>
      </c>
      <c r="AF30" s="656">
        <f t="shared" si="0"/>
        <v>13171.199999999999</v>
      </c>
      <c r="AG30" s="2">
        <v>100</v>
      </c>
      <c r="AH30" s="285">
        <f t="shared" si="27"/>
        <v>1.1296296296296296E-2</v>
      </c>
      <c r="AI30" s="98">
        <f>IF(OR(D30="",D30="Sem monitoramento"),"VAZIO",IFERROR(D30/($AG30*24),"-"))</f>
        <v>0.140625</v>
      </c>
      <c r="AJ30" s="99">
        <f>IF(OR(E28="",E28="Sem monitoramento"),"VAZIO",IFERROR(E28/($AG30*24),"-"))</f>
        <v>0.15541666666666668</v>
      </c>
      <c r="AK30" s="99">
        <f t="shared" si="54"/>
        <v>0.20333333333333334</v>
      </c>
      <c r="AL30" s="99">
        <f t="shared" si="54"/>
        <v>0.21245833333333333</v>
      </c>
      <c r="AM30" s="99">
        <f t="shared" si="54"/>
        <v>0.22062499999999999</v>
      </c>
      <c r="AN30" s="99">
        <f t="shared" si="48"/>
        <v>0.20604166666666668</v>
      </c>
      <c r="AO30" s="99" t="e">
        <f>IF(OR(#REF!="",#REF!="Sem monitoramento"),"VAZIO",IFERROR(#REF!/($AG30*24),"-"))</f>
        <v>#REF!</v>
      </c>
      <c r="AP30" s="99">
        <f t="shared" si="40"/>
        <v>0.192</v>
      </c>
      <c r="AQ30" s="99">
        <f t="shared" si="41"/>
        <v>0.19866666666666666</v>
      </c>
      <c r="AR30" s="99">
        <f t="shared" si="49"/>
        <v>0.20325000000000001</v>
      </c>
      <c r="AS30" s="99" t="e">
        <f>IF(OR(#REF!="",#REF!="Sem monitoramento"),"VAZIO",IFERROR(#REF!/($AG30*24),"-"))</f>
        <v>#REF!</v>
      </c>
      <c r="AT30" s="99">
        <f t="shared" si="50"/>
        <v>0.16933333333333334</v>
      </c>
      <c r="AU30" s="99">
        <f t="shared" si="45"/>
        <v>0.20929166666666668</v>
      </c>
      <c r="AV30" s="99">
        <f t="shared" si="37"/>
        <v>0.191</v>
      </c>
      <c r="AW30" s="99">
        <f t="shared" si="42"/>
        <v>0.21462500000000001</v>
      </c>
      <c r="AX30" s="99">
        <f t="shared" si="43"/>
        <v>0.20704166666666665</v>
      </c>
      <c r="AY30" s="99">
        <f t="shared" si="53"/>
        <v>0.21729166666666666</v>
      </c>
      <c r="AZ30" s="99">
        <f t="shared" si="53"/>
        <v>0.21254166666666668</v>
      </c>
      <c r="BA30" s="99">
        <f t="shared" si="51"/>
        <v>0.21729166666666666</v>
      </c>
      <c r="BB30" s="99">
        <f>IF(OR(W30="",W30="Sem monitoramento"),"VAZIO",IFERROR(W30/($AG30*24),"-"))</f>
        <v>0.21370833333333333</v>
      </c>
      <c r="BC30" s="99">
        <f>IF(OR(X30="",X30="Sem monitoramento"),"VAZIO",IFERROR(X30/($AG30*24),"-"))</f>
        <v>0.192</v>
      </c>
      <c r="BD30" s="99">
        <f t="shared" si="46"/>
        <v>0.21666666666666667</v>
      </c>
      <c r="BE30" s="99">
        <f>IF(OR(Z30="",Z30="Sem monitoramento"),"VAZIO",IFERROR(Z30/($AG30*24),"-"))</f>
        <v>0.19454166666666667</v>
      </c>
      <c r="BF30" s="99">
        <f>IF(OR(AA30="",AA30="Sem monitoramento"),"VAZIO",IFERROR(AA30/($AG30*24),"-"))</f>
        <v>0.20245833333333332</v>
      </c>
      <c r="BG30" s="99">
        <f t="shared" si="47"/>
        <v>0.17979166666666666</v>
      </c>
      <c r="BH30" s="99">
        <f t="shared" si="24"/>
        <v>0.19666666666666666</v>
      </c>
      <c r="BI30" s="99">
        <f t="shared" si="44"/>
        <v>0.15945833333333334</v>
      </c>
      <c r="BJ30" s="99">
        <f t="shared" si="38"/>
        <v>0.21333333333333335</v>
      </c>
      <c r="BK30" s="286" t="e">
        <f>IF(OR(#REF!="",#REF!="Sem monitoramento"),"VAZIO",IFERROR(#REF!/($AG30*24),"-"))</f>
        <v>#REF!</v>
      </c>
      <c r="BL30" s="286" t="e">
        <f>IF(OR(#REF!="",#REF!="Sem monitoramento"),"VAZIO",IFERROR(#REF!/($AG30*24),"-"))</f>
        <v>#REF!</v>
      </c>
      <c r="BM30" s="286">
        <f t="shared" si="7"/>
        <v>0.19599999999999998</v>
      </c>
      <c r="BN30" s="198">
        <f t="shared" si="39"/>
        <v>0.168125</v>
      </c>
      <c r="BO30" s="72">
        <f t="shared" si="29"/>
        <v>16.8125</v>
      </c>
      <c r="BP30" s="73">
        <f t="shared" si="30"/>
        <v>3.5208333333333341E-2</v>
      </c>
      <c r="BQ30" s="74">
        <f t="shared" si="10"/>
        <v>2.7874999999999983E-2</v>
      </c>
      <c r="BR30" s="2"/>
      <c r="BS30" s="3"/>
      <c r="BT30" s="2"/>
      <c r="BU30" s="2"/>
    </row>
    <row r="31" spans="2:73" ht="15" thickBot="1" x14ac:dyDescent="0.35">
      <c r="B31" s="777"/>
      <c r="C31" s="329" t="s">
        <v>563</v>
      </c>
      <c r="D31" s="224">
        <v>202.4</v>
      </c>
      <c r="E31" s="93">
        <v>197.7</v>
      </c>
      <c r="F31" s="93">
        <v>294.7</v>
      </c>
      <c r="G31" s="115">
        <v>299.5</v>
      </c>
      <c r="H31" s="532">
        <v>259.2</v>
      </c>
      <c r="I31" s="115">
        <v>302.7</v>
      </c>
      <c r="J31" s="115">
        <v>280.3</v>
      </c>
      <c r="K31" s="93">
        <v>299.2</v>
      </c>
      <c r="L31" s="93">
        <v>291.60000000000002</v>
      </c>
      <c r="M31" s="93">
        <v>308.5</v>
      </c>
      <c r="N31" s="93">
        <v>280.10000000000002</v>
      </c>
      <c r="O31" s="318">
        <v>261.23</v>
      </c>
      <c r="P31" s="93">
        <v>404.28</v>
      </c>
      <c r="Q31" s="318">
        <v>438.8</v>
      </c>
      <c r="R31" s="318">
        <v>456.3</v>
      </c>
      <c r="S31" s="318">
        <v>487.1</v>
      </c>
      <c r="T31" s="318">
        <v>452.5</v>
      </c>
      <c r="U31" s="560">
        <v>508.5</v>
      </c>
      <c r="V31" s="560">
        <v>501.1</v>
      </c>
      <c r="W31" s="318">
        <v>459.6</v>
      </c>
      <c r="X31" s="277">
        <v>449.9</v>
      </c>
      <c r="Y31" s="318">
        <v>455.7</v>
      </c>
      <c r="Z31" s="318">
        <v>408.3</v>
      </c>
      <c r="AA31" s="318">
        <v>439.2</v>
      </c>
      <c r="AB31" s="655">
        <v>431.3</v>
      </c>
      <c r="AC31" s="22">
        <v>413.1</v>
      </c>
      <c r="AD31" s="277">
        <v>356.1</v>
      </c>
      <c r="AE31" s="93">
        <v>445.8</v>
      </c>
      <c r="AF31" s="335">
        <f t="shared" si="0"/>
        <v>10384.710000000001</v>
      </c>
      <c r="AG31" s="2"/>
      <c r="AH31" s="285"/>
      <c r="AI31" s="286" t="str">
        <f>IF(OR(D31="",D31="Sem monitoramento"),"VAZIO",IFERROR(D31/($AG31*24),"-"))</f>
        <v>-</v>
      </c>
      <c r="AJ31" s="286" t="str">
        <f>IF(OR(E31="",E31="Sem monitoramento"),"VAZIO",IFERROR(E31/($AG31*24),"-"))</f>
        <v>-</v>
      </c>
      <c r="AK31" s="286" t="str">
        <f t="shared" si="54"/>
        <v>-</v>
      </c>
      <c r="AL31" s="286" t="str">
        <f t="shared" si="54"/>
        <v>-</v>
      </c>
      <c r="AM31" s="286" t="str">
        <f t="shared" si="54"/>
        <v>-</v>
      </c>
      <c r="AN31" s="286" t="str">
        <f t="shared" si="48"/>
        <v>-</v>
      </c>
      <c r="AO31" s="286" t="str">
        <f>IF(OR(J31="",J31="Sem monitoramento"),"VAZIO",IFERROR(J31/($AG31*24),"-"))</f>
        <v>-</v>
      </c>
      <c r="AP31" s="286" t="str">
        <f t="shared" si="40"/>
        <v>-</v>
      </c>
      <c r="AQ31" s="286" t="str">
        <f t="shared" si="41"/>
        <v>-</v>
      </c>
      <c r="AR31" s="286" t="str">
        <f t="shared" si="49"/>
        <v>-</v>
      </c>
      <c r="AS31" s="286" t="str">
        <f>IF(OR(N31="",N31="Sem monitoramento"),"VAZIO",IFERROR(N31/($AG31*24),"-"))</f>
        <v>-</v>
      </c>
      <c r="AT31" s="286" t="str">
        <f t="shared" si="50"/>
        <v>-</v>
      </c>
      <c r="AU31" s="286" t="str">
        <f t="shared" si="45"/>
        <v>-</v>
      </c>
      <c r="AV31" s="286" t="str">
        <f t="shared" si="37"/>
        <v>-</v>
      </c>
      <c r="AW31" s="286" t="str">
        <f t="shared" si="42"/>
        <v>-</v>
      </c>
      <c r="AX31" s="286" t="str">
        <f t="shared" si="43"/>
        <v>-</v>
      </c>
      <c r="AY31" s="286" t="str">
        <f t="shared" si="53"/>
        <v>-</v>
      </c>
      <c r="AZ31" s="286" t="str">
        <f t="shared" si="53"/>
        <v>-</v>
      </c>
      <c r="BA31" s="286" t="str">
        <f t="shared" si="51"/>
        <v>-</v>
      </c>
      <c r="BB31" s="286" t="str">
        <f>IF(OR(W31="",W31="Sem monitoramento"),"VAZIO",IFERROR(W31/($AG31*24),"-"))</f>
        <v>-</v>
      </c>
      <c r="BC31" s="286" t="str">
        <f>IF(OR(X31="",X31="Sem monitoramento"),"VAZIO",IFERROR(X31/($AG31*24),"-"))</f>
        <v>-</v>
      </c>
      <c r="BD31" s="286" t="str">
        <f t="shared" si="46"/>
        <v>-</v>
      </c>
      <c r="BE31" s="286" t="str">
        <f>IF(OR(Z31="",Z31="Sem monitoramento"),"VAZIO",IFERROR(Z31/($AG31*24),"-"))</f>
        <v>-</v>
      </c>
      <c r="BF31" s="286" t="str">
        <f>IF(OR(AA31="",AA31="Sem monitoramento"),"VAZIO",IFERROR(AA31/($AG31*24),"-"))</f>
        <v>-</v>
      </c>
      <c r="BG31" s="286" t="str">
        <f t="shared" si="47"/>
        <v>-</v>
      </c>
      <c r="BH31" s="286" t="str">
        <f t="shared" si="24"/>
        <v>-</v>
      </c>
      <c r="BI31" s="286" t="str">
        <f t="shared" si="44"/>
        <v>-</v>
      </c>
      <c r="BJ31" s="286" t="str">
        <f t="shared" si="38"/>
        <v>-</v>
      </c>
      <c r="BK31" s="286" t="e">
        <f>IF(OR(#REF!="",#REF!="Sem monitoramento"),"VAZIO",IFERROR(#REF!/($AG31*24),"-"))</f>
        <v>#REF!</v>
      </c>
      <c r="BL31" s="286" t="e">
        <f>IF(OR(#REF!="",#REF!="Sem monitoramento"),"VAZIO",IFERROR(#REF!/($AG31*24),"-"))</f>
        <v>#REF!</v>
      </c>
      <c r="BM31" s="286" t="e">
        <f t="shared" si="7"/>
        <v>#DIV/0!</v>
      </c>
      <c r="BN31" s="198"/>
      <c r="BO31" s="287"/>
      <c r="BP31" s="288"/>
      <c r="BQ31" s="289"/>
      <c r="BR31" s="2"/>
      <c r="BS31" s="3"/>
      <c r="BT31" s="2"/>
      <c r="BU31" s="2"/>
    </row>
    <row r="32" spans="2:73" ht="18" x14ac:dyDescent="0.3">
      <c r="B32" s="776" t="s">
        <v>113</v>
      </c>
      <c r="C32" s="776"/>
      <c r="D32" s="103">
        <f>SUM(D5:D31)</f>
        <v>8233.2999999999993</v>
      </c>
      <c r="E32" s="103">
        <f>SUM(E5:E31)</f>
        <v>9323.3000000000011</v>
      </c>
      <c r="F32" s="103">
        <f>SUM(F5:F31)</f>
        <v>11103.7</v>
      </c>
      <c r="G32" s="103">
        <f>SUM(G5:G31)</f>
        <v>12554.799999999997</v>
      </c>
      <c r="H32" s="103">
        <f t="shared" ref="H32:AE32" si="55">SUM(H5:H31)</f>
        <v>12776</v>
      </c>
      <c r="I32" s="103">
        <f t="shared" si="55"/>
        <v>11419.6</v>
      </c>
      <c r="J32" s="103">
        <f t="shared" si="55"/>
        <v>10762.799999999997</v>
      </c>
      <c r="K32" s="103">
        <f t="shared" si="55"/>
        <v>11308.7</v>
      </c>
      <c r="L32" s="103">
        <f t="shared" si="55"/>
        <v>11552.3</v>
      </c>
      <c r="M32" s="103">
        <f t="shared" si="55"/>
        <v>10550.6</v>
      </c>
      <c r="N32" s="103">
        <f t="shared" si="55"/>
        <v>10981.1</v>
      </c>
      <c r="O32" s="103">
        <f t="shared" si="55"/>
        <v>10015.630000000001</v>
      </c>
      <c r="P32" s="103">
        <f t="shared" si="55"/>
        <v>11708.779999999999</v>
      </c>
      <c r="Q32" s="103">
        <f t="shared" si="55"/>
        <v>12020.199999999997</v>
      </c>
      <c r="R32" s="103">
        <f t="shared" si="55"/>
        <v>12463.400000000001</v>
      </c>
      <c r="S32" s="103">
        <f t="shared" si="55"/>
        <v>13059.099999999997</v>
      </c>
      <c r="T32" s="103">
        <f>SUM(T5:T31)</f>
        <v>12918.400000000001</v>
      </c>
      <c r="U32" s="103">
        <f>SUM(U5:U31)</f>
        <v>12059.099999999999</v>
      </c>
      <c r="V32" s="103">
        <f t="shared" si="55"/>
        <v>12028.500000000002</v>
      </c>
      <c r="W32" s="103">
        <f t="shared" si="55"/>
        <v>11021.099999999999</v>
      </c>
      <c r="X32" s="103">
        <f t="shared" si="55"/>
        <v>11218.099999999999</v>
      </c>
      <c r="Y32" s="103">
        <f t="shared" si="55"/>
        <v>11358.900000000001</v>
      </c>
      <c r="Z32" s="103">
        <f t="shared" si="55"/>
        <v>10484.4</v>
      </c>
      <c r="AA32" s="103">
        <f t="shared" si="55"/>
        <v>11013.5</v>
      </c>
      <c r="AB32" s="103">
        <f>SUM(AB5:AB31)</f>
        <v>9900.3999999999978</v>
      </c>
      <c r="AC32" s="103">
        <f t="shared" si="55"/>
        <v>9623.3000000000011</v>
      </c>
      <c r="AD32" s="103">
        <f t="shared" si="55"/>
        <v>9606.7000000000007</v>
      </c>
      <c r="AE32" s="103">
        <f t="shared" si="55"/>
        <v>11004.400000000001</v>
      </c>
      <c r="AF32" s="189">
        <f>SUM(AF5:AF31)</f>
        <v>312070.11000000004</v>
      </c>
      <c r="AG32" s="104">
        <f>SUM(AG5:AG31)</f>
        <v>2329</v>
      </c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S32" s="3"/>
      <c r="BT32" s="2"/>
      <c r="BU32" s="2"/>
    </row>
    <row r="33" spans="2:73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190" t="str">
        <f>_xlfn.CONCAT(ROUND(AF32/1000,3)," MWh")</f>
        <v>312,07 MWh</v>
      </c>
      <c r="AG33" s="2"/>
      <c r="AK33" s="778">
        <v>12</v>
      </c>
      <c r="AT33">
        <v>1000</v>
      </c>
      <c r="AU33">
        <v>1000</v>
      </c>
      <c r="BO33" s="9"/>
      <c r="BQ33" s="2"/>
      <c r="BS33" s="2"/>
      <c r="BT33" s="2"/>
      <c r="BU33" s="2"/>
    </row>
    <row r="34" spans="2:73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791" t="s">
        <v>194</v>
      </c>
      <c r="AD34" s="791"/>
      <c r="AE34" s="792"/>
      <c r="AF34" s="191" t="str">
        <f>_xlfn.CONCAT(ROUND($AF$32/COUNTIF($D$32:$AE$32,"&lt;&gt;0"),3)," kWh")</f>
        <v>11145,361 kWh</v>
      </c>
      <c r="AG34" s="2"/>
      <c r="AH34" s="2"/>
      <c r="AI34" s="2"/>
      <c r="AJ34" s="2"/>
      <c r="AK34" s="779"/>
      <c r="AS34">
        <v>900</v>
      </c>
      <c r="AT34">
        <v>100</v>
      </c>
      <c r="BO34" s="11"/>
      <c r="BQ34" s="106"/>
      <c r="BR34" s="3" t="s">
        <v>114</v>
      </c>
    </row>
    <row r="35" spans="2:73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791" t="s">
        <v>195</v>
      </c>
      <c r="AE35" s="792"/>
      <c r="AF35" s="191" t="str">
        <f>_xlfn.CONCAT(ROUND($AF$32/COUNTIF($D$32:$AE$32,"&lt;&gt;0"),3)*30," kWh")</f>
        <v>334360,83 kWh</v>
      </c>
      <c r="AG35" s="2"/>
      <c r="AH35" s="2"/>
      <c r="AI35" s="2"/>
      <c r="AJ35" s="2"/>
      <c r="AK35" s="780"/>
      <c r="BO35" s="2"/>
      <c r="BQ35" s="109"/>
      <c r="BR35" s="5" t="s">
        <v>116</v>
      </c>
    </row>
    <row r="36" spans="2:73" x14ac:dyDescent="0.3"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D36" s="791" t="s">
        <v>195</v>
      </c>
      <c r="AE36" s="792"/>
      <c r="AF36" s="191" t="str">
        <f>_xlfn.CONCAT(ROUND(($AF$32/COUNTIF($D$32:$AE$32,"&lt;&gt;0"))*30/1000,3)," MWh")</f>
        <v>334,361 MWh</v>
      </c>
      <c r="AK36" s="778">
        <v>67</v>
      </c>
    </row>
    <row r="37" spans="2:73" x14ac:dyDescent="0.3">
      <c r="E37" s="436">
        <v>558.9</v>
      </c>
      <c r="F37">
        <v>403.7</v>
      </c>
      <c r="G37">
        <v>563.5</v>
      </c>
      <c r="T37">
        <f>T36-T35+1.8</f>
        <v>477.8</v>
      </c>
      <c r="X37" s="102"/>
      <c r="AK37" s="779"/>
    </row>
    <row r="38" spans="2:73" x14ac:dyDescent="0.3">
      <c r="AK38" s="780"/>
    </row>
    <row r="39" spans="2:73" x14ac:dyDescent="0.3">
      <c r="AE39">
        <f>AD39-AC37</f>
        <v>0</v>
      </c>
      <c r="AK39" s="778">
        <v>49</v>
      </c>
    </row>
    <row r="40" spans="2:73" x14ac:dyDescent="0.3">
      <c r="N40">
        <v>91151.5</v>
      </c>
      <c r="O40">
        <f>N41-N40</f>
        <v>734</v>
      </c>
      <c r="X40" s="102"/>
      <c r="AK40" s="779"/>
    </row>
    <row r="41" spans="2:73" x14ac:dyDescent="0.3">
      <c r="N41">
        <v>91885.5</v>
      </c>
      <c r="X41" s="102"/>
      <c r="AK41" s="780"/>
    </row>
    <row r="42" spans="2:73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K42" s="778">
        <v>33</v>
      </c>
    </row>
    <row r="43" spans="2:73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J43" s="63">
        <v>19.7</v>
      </c>
      <c r="AK43" s="779"/>
    </row>
    <row r="44" spans="2:73" x14ac:dyDescent="0.3">
      <c r="B44" s="751" t="s">
        <v>6</v>
      </c>
      <c r="C44" s="18" t="s">
        <v>7</v>
      </c>
      <c r="D44" s="163">
        <f>D5+Agosto23!AF41</f>
        <v>48879.6</v>
      </c>
      <c r="E44" s="164">
        <f t="shared" ref="E44:F59" si="56">D44+E5</f>
        <v>48928</v>
      </c>
      <c r="F44" s="164">
        <f t="shared" si="56"/>
        <v>48987.6</v>
      </c>
      <c r="G44" s="165">
        <v>49036.4</v>
      </c>
      <c r="H44" s="166">
        <v>49076</v>
      </c>
      <c r="I44" s="163">
        <f t="shared" ref="I44:V59" si="57">H44+I5</f>
        <v>49134.5</v>
      </c>
      <c r="J44" s="163">
        <f t="shared" si="57"/>
        <v>49166.8</v>
      </c>
      <c r="K44" s="163">
        <f t="shared" si="57"/>
        <v>49223.8</v>
      </c>
      <c r="L44" s="163">
        <f t="shared" si="57"/>
        <v>49279.9</v>
      </c>
      <c r="M44" s="163">
        <f t="shared" si="57"/>
        <v>49342</v>
      </c>
      <c r="N44" s="163">
        <f t="shared" si="57"/>
        <v>49403.5</v>
      </c>
      <c r="O44" s="163">
        <f t="shared" si="57"/>
        <v>49451.6</v>
      </c>
      <c r="P44" s="163">
        <f t="shared" si="57"/>
        <v>49513.7</v>
      </c>
      <c r="Q44" s="163">
        <f t="shared" si="57"/>
        <v>49576.1</v>
      </c>
      <c r="R44" s="163">
        <f t="shared" si="57"/>
        <v>49633.599999999999</v>
      </c>
      <c r="S44" s="163">
        <f t="shared" si="57"/>
        <v>49697.5</v>
      </c>
      <c r="T44" s="163">
        <f t="shared" si="57"/>
        <v>49763</v>
      </c>
      <c r="U44" s="163">
        <f t="shared" si="57"/>
        <v>49828.3</v>
      </c>
      <c r="V44" s="163">
        <f t="shared" si="57"/>
        <v>49889.600000000006</v>
      </c>
      <c r="W44" s="139"/>
      <c r="X44" s="139"/>
      <c r="Y44" s="139"/>
      <c r="Z44" s="139"/>
      <c r="AA44" s="139"/>
      <c r="AB44" s="139"/>
      <c r="AC44" s="139"/>
      <c r="AD44" s="139"/>
      <c r="AE44" s="139"/>
      <c r="AJ44" s="63">
        <f>20.7+88.5</f>
        <v>109.2</v>
      </c>
      <c r="AK44" s="780"/>
    </row>
    <row r="45" spans="2:73" x14ac:dyDescent="0.3">
      <c r="B45" s="752"/>
      <c r="C45" s="18" t="s">
        <v>8</v>
      </c>
      <c r="D45" s="163">
        <f>D6+Agosto23!AF42</f>
        <v>98858.400000000009</v>
      </c>
      <c r="E45" s="164">
        <f t="shared" si="56"/>
        <v>98974.900000000009</v>
      </c>
      <c r="F45" s="164">
        <f t="shared" si="56"/>
        <v>99057.400000000009</v>
      </c>
      <c r="G45" s="165">
        <f>21775+78123.8</f>
        <v>99898.8</v>
      </c>
      <c r="H45" s="166">
        <f>21823+78322.8</f>
        <v>100145.8</v>
      </c>
      <c r="I45" s="163">
        <f t="shared" si="57"/>
        <v>100283.3</v>
      </c>
      <c r="J45" s="163">
        <f t="shared" si="57"/>
        <v>100406.8</v>
      </c>
      <c r="K45" s="163">
        <f t="shared" si="57"/>
        <v>100545.40000000001</v>
      </c>
      <c r="L45" s="163">
        <f t="shared" si="57"/>
        <v>100677.00000000001</v>
      </c>
      <c r="M45" s="163">
        <f t="shared" si="57"/>
        <v>100805.50000000001</v>
      </c>
      <c r="N45" s="163">
        <f t="shared" si="57"/>
        <v>100948.80000000002</v>
      </c>
      <c r="O45" s="163">
        <f t="shared" si="57"/>
        <v>100993.50000000001</v>
      </c>
      <c r="P45" s="163">
        <f t="shared" si="57"/>
        <v>101136.10000000002</v>
      </c>
      <c r="Q45" s="163">
        <f t="shared" si="57"/>
        <v>101375.50000000001</v>
      </c>
      <c r="R45" s="163">
        <f t="shared" si="57"/>
        <v>101750.20000000001</v>
      </c>
      <c r="S45" s="163">
        <f t="shared" si="57"/>
        <v>102042.50000000001</v>
      </c>
      <c r="T45" s="163">
        <f t="shared" si="57"/>
        <v>102410.50000000001</v>
      </c>
      <c r="U45" s="163">
        <f t="shared" si="57"/>
        <v>102780.50000000001</v>
      </c>
      <c r="V45" s="163">
        <f t="shared" si="57"/>
        <v>103065.40000000001</v>
      </c>
      <c r="W45" s="139"/>
      <c r="X45" s="139"/>
      <c r="Y45" s="139"/>
      <c r="Z45" s="139"/>
      <c r="AA45" s="139"/>
      <c r="AB45" s="139"/>
      <c r="AC45" s="139"/>
      <c r="AD45" s="139"/>
      <c r="AE45" s="139"/>
      <c r="AJ45" s="63">
        <v>82.2</v>
      </c>
      <c r="AK45" s="778">
        <v>12</v>
      </c>
    </row>
    <row r="46" spans="2:73" x14ac:dyDescent="0.3">
      <c r="B46" s="752"/>
      <c r="C46" s="18" t="s">
        <v>9</v>
      </c>
      <c r="D46" s="163">
        <f>D7+Agosto23!AF43</f>
        <v>69831.100000000006</v>
      </c>
      <c r="E46" s="164">
        <f t="shared" si="56"/>
        <v>70040.200000000012</v>
      </c>
      <c r="F46" s="164">
        <f t="shared" si="56"/>
        <v>70302.700000000012</v>
      </c>
      <c r="G46" s="165">
        <v>70458.2</v>
      </c>
      <c r="H46" s="166">
        <v>70615.5</v>
      </c>
      <c r="I46" s="163">
        <f t="shared" si="57"/>
        <v>70869</v>
      </c>
      <c r="J46" s="163">
        <f t="shared" si="57"/>
        <v>71099.7</v>
      </c>
      <c r="K46" s="163">
        <f t="shared" si="57"/>
        <v>71341.3</v>
      </c>
      <c r="L46" s="163">
        <f t="shared" si="57"/>
        <v>71589.3</v>
      </c>
      <c r="M46" s="163">
        <f t="shared" si="57"/>
        <v>71799.3</v>
      </c>
      <c r="N46" s="163">
        <f t="shared" si="57"/>
        <v>72074.3</v>
      </c>
      <c r="O46" s="163">
        <f t="shared" si="57"/>
        <v>72314.3</v>
      </c>
      <c r="P46" s="163">
        <f t="shared" si="57"/>
        <v>72594.3</v>
      </c>
      <c r="Q46" s="163">
        <f t="shared" si="57"/>
        <v>72858.400000000009</v>
      </c>
      <c r="R46" s="163">
        <f t="shared" si="57"/>
        <v>73097.000000000015</v>
      </c>
      <c r="S46" s="163">
        <f t="shared" si="57"/>
        <v>73371.900000000009</v>
      </c>
      <c r="T46" s="163">
        <f t="shared" si="57"/>
        <v>73659.500000000015</v>
      </c>
      <c r="U46" s="163" t="e">
        <f>T46+#REF!</f>
        <v>#REF!</v>
      </c>
      <c r="V46" s="163" t="e">
        <f t="shared" si="57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J46" s="63">
        <v>57.3</v>
      </c>
      <c r="AK46" s="779"/>
    </row>
    <row r="47" spans="2:73" x14ac:dyDescent="0.3">
      <c r="B47" s="752"/>
      <c r="C47" s="18" t="s">
        <v>10</v>
      </c>
      <c r="D47" s="163">
        <f>D8+Agosto23!AF44</f>
        <v>95716.7</v>
      </c>
      <c r="E47" s="164">
        <f t="shared" si="56"/>
        <v>95836.099999999991</v>
      </c>
      <c r="F47" s="164">
        <f t="shared" si="56"/>
        <v>95985.499999999985</v>
      </c>
      <c r="G47" s="165">
        <v>96154</v>
      </c>
      <c r="H47" s="166">
        <v>96261.9</v>
      </c>
      <c r="I47" s="163" t="e">
        <f>H47+#REF!</f>
        <v>#REF!</v>
      </c>
      <c r="J47" s="163" t="e">
        <f t="shared" si="57"/>
        <v>#REF!</v>
      </c>
      <c r="K47" s="163" t="e">
        <f t="shared" si="57"/>
        <v>#REF!</v>
      </c>
      <c r="L47" s="163" t="e">
        <f t="shared" si="57"/>
        <v>#REF!</v>
      </c>
      <c r="M47" s="163" t="e">
        <f t="shared" si="57"/>
        <v>#REF!</v>
      </c>
      <c r="N47" s="163" t="e">
        <f t="shared" si="57"/>
        <v>#REF!</v>
      </c>
      <c r="O47" s="163" t="e">
        <f t="shared" si="57"/>
        <v>#REF!</v>
      </c>
      <c r="P47" s="163" t="e">
        <f t="shared" si="57"/>
        <v>#REF!</v>
      </c>
      <c r="Q47" s="163" t="e">
        <f t="shared" si="57"/>
        <v>#REF!</v>
      </c>
      <c r="R47" s="163" t="e">
        <f t="shared" si="57"/>
        <v>#REF!</v>
      </c>
      <c r="S47" s="163" t="e">
        <f t="shared" si="57"/>
        <v>#REF!</v>
      </c>
      <c r="T47" s="163" t="e">
        <f t="shared" si="57"/>
        <v>#REF!</v>
      </c>
      <c r="U47" s="163" t="e">
        <f>T47+#REF!</f>
        <v>#REF!</v>
      </c>
      <c r="V47" s="163" t="e">
        <f t="shared" si="57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J47" s="63">
        <v>17.7</v>
      </c>
      <c r="AK47" s="780"/>
    </row>
    <row r="48" spans="2:73" x14ac:dyDescent="0.3">
      <c r="B48" s="752"/>
      <c r="C48" s="18" t="s">
        <v>11</v>
      </c>
      <c r="D48" s="163">
        <f>D10+Agosto23!AF45</f>
        <v>18778.099999999999</v>
      </c>
      <c r="E48" s="164">
        <f t="shared" si="56"/>
        <v>18824.099999999999</v>
      </c>
      <c r="F48" s="164">
        <f t="shared" si="56"/>
        <v>18873.099999999999</v>
      </c>
      <c r="G48" s="165">
        <v>18957</v>
      </c>
      <c r="H48" s="166">
        <v>18998</v>
      </c>
      <c r="I48" s="163">
        <f t="shared" si="57"/>
        <v>19023.8</v>
      </c>
      <c r="J48" s="163">
        <f>I48+J10</f>
        <v>19060.399999999998</v>
      </c>
      <c r="K48" s="163">
        <f t="shared" si="57"/>
        <v>19109.3</v>
      </c>
      <c r="L48" s="163">
        <f t="shared" si="57"/>
        <v>19158.5</v>
      </c>
      <c r="M48" s="163">
        <f t="shared" si="57"/>
        <v>19205.7</v>
      </c>
      <c r="N48" s="163">
        <f t="shared" si="57"/>
        <v>19253</v>
      </c>
      <c r="O48" s="163">
        <f t="shared" si="57"/>
        <v>19292.8</v>
      </c>
      <c r="P48" s="163">
        <f>O48+P10</f>
        <v>19327.3</v>
      </c>
      <c r="Q48" s="163">
        <f t="shared" si="57"/>
        <v>19379.399999999998</v>
      </c>
      <c r="R48" s="163">
        <f t="shared" si="57"/>
        <v>19431.499999999996</v>
      </c>
      <c r="S48" s="163">
        <f t="shared" si="57"/>
        <v>19484.499999999996</v>
      </c>
      <c r="T48" s="163">
        <f t="shared" si="57"/>
        <v>19537.699999999997</v>
      </c>
      <c r="U48" s="163">
        <f>T48+U7</f>
        <v>19823.599999999999</v>
      </c>
      <c r="V48" s="163">
        <f t="shared" si="57"/>
        <v>19871.3</v>
      </c>
      <c r="W48" s="139"/>
      <c r="X48" s="139"/>
      <c r="Y48" s="139"/>
      <c r="Z48" s="139"/>
      <c r="AA48" s="139"/>
      <c r="AB48" s="139"/>
      <c r="AC48" s="139"/>
      <c r="AD48" s="139"/>
      <c r="AE48" s="139"/>
      <c r="AJ48" s="63">
        <v>37.700000000000003</v>
      </c>
      <c r="AK48" s="778">
        <v>25</v>
      </c>
    </row>
    <row r="49" spans="2:37" x14ac:dyDescent="0.3">
      <c r="B49" s="752"/>
      <c r="C49" s="18" t="s">
        <v>12</v>
      </c>
      <c r="D49" s="163" t="e">
        <f>#REF!+Agosto23!AF46</f>
        <v>#REF!</v>
      </c>
      <c r="E49" s="164" t="e">
        <f t="shared" si="56"/>
        <v>#REF!</v>
      </c>
      <c r="F49" s="164" t="e">
        <f t="shared" si="56"/>
        <v>#REF!</v>
      </c>
      <c r="G49" s="165">
        <v>58550</v>
      </c>
      <c r="H49" s="166">
        <v>58640</v>
      </c>
      <c r="I49" s="163">
        <f>H49+I8</f>
        <v>58780.7</v>
      </c>
      <c r="J49" s="163" t="e">
        <f>I49+#REF!</f>
        <v>#REF!</v>
      </c>
      <c r="K49" s="163" t="e">
        <f t="shared" si="57"/>
        <v>#REF!</v>
      </c>
      <c r="L49" s="163" t="e">
        <f t="shared" si="57"/>
        <v>#REF!</v>
      </c>
      <c r="M49" s="163" t="e">
        <f t="shared" si="57"/>
        <v>#REF!</v>
      </c>
      <c r="N49" s="163" t="e">
        <f t="shared" si="57"/>
        <v>#REF!</v>
      </c>
      <c r="O49" s="163" t="e">
        <f t="shared" si="57"/>
        <v>#REF!</v>
      </c>
      <c r="P49" s="163" t="e">
        <f>O49+#REF!</f>
        <v>#REF!</v>
      </c>
      <c r="Q49" s="163" t="e">
        <f t="shared" si="57"/>
        <v>#REF!</v>
      </c>
      <c r="R49" s="163" t="e">
        <f t="shared" si="57"/>
        <v>#REF!</v>
      </c>
      <c r="S49" s="163" t="e">
        <f t="shared" si="57"/>
        <v>#REF!</v>
      </c>
      <c r="T49" s="163" t="e">
        <f t="shared" si="57"/>
        <v>#REF!</v>
      </c>
      <c r="U49" s="163" t="e">
        <f>T49+U8</f>
        <v>#REF!</v>
      </c>
      <c r="V49" s="163" t="e">
        <f t="shared" si="57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J49" s="63">
        <v>151.30000000000001</v>
      </c>
      <c r="AK49" s="779"/>
    </row>
    <row r="50" spans="2:37" x14ac:dyDescent="0.3">
      <c r="B50" s="752"/>
      <c r="C50" s="18" t="s">
        <v>13</v>
      </c>
      <c r="D50" s="163">
        <f>D11+Agosto23!AF47</f>
        <v>230225.40000000002</v>
      </c>
      <c r="E50" s="164">
        <f t="shared" si="56"/>
        <v>230526.80000000002</v>
      </c>
      <c r="F50" s="164">
        <f t="shared" si="56"/>
        <v>230906.1</v>
      </c>
      <c r="G50" s="165">
        <v>231148.9</v>
      </c>
      <c r="H50" s="166">
        <v>231319.5</v>
      </c>
      <c r="I50" s="163">
        <f t="shared" si="57"/>
        <v>231713.8</v>
      </c>
      <c r="J50" s="163">
        <f t="shared" si="57"/>
        <v>232090.19999999998</v>
      </c>
      <c r="K50" s="163">
        <f t="shared" si="57"/>
        <v>232533.19999999998</v>
      </c>
      <c r="L50" s="163">
        <f t="shared" si="57"/>
        <v>232921.09999999998</v>
      </c>
      <c r="M50" s="163">
        <f>L50+M12</f>
        <v>233221.09999999998</v>
      </c>
      <c r="N50" s="163">
        <f t="shared" si="57"/>
        <v>233564.69999999998</v>
      </c>
      <c r="O50" s="163">
        <f t="shared" si="57"/>
        <v>233891.69999999998</v>
      </c>
      <c r="P50" s="163">
        <f t="shared" si="57"/>
        <v>234230.3</v>
      </c>
      <c r="Q50" s="163">
        <f t="shared" si="57"/>
        <v>234666.4</v>
      </c>
      <c r="R50" s="163">
        <f t="shared" si="57"/>
        <v>235026.69999999998</v>
      </c>
      <c r="S50" s="163">
        <f t="shared" si="57"/>
        <v>235456.09999999998</v>
      </c>
      <c r="T50" s="163">
        <f t="shared" si="57"/>
        <v>235908.49999999997</v>
      </c>
      <c r="U50" s="163">
        <f t="shared" si="57"/>
        <v>236358.89999999997</v>
      </c>
      <c r="V50" s="163">
        <f t="shared" si="57"/>
        <v>236746.69999999995</v>
      </c>
      <c r="W50" s="139"/>
      <c r="X50" s="139"/>
      <c r="Y50" s="139"/>
      <c r="Z50" s="139"/>
      <c r="AA50" s="139"/>
      <c r="AB50" s="139"/>
      <c r="AC50" s="139"/>
      <c r="AD50" s="139"/>
      <c r="AE50" s="139"/>
      <c r="AJ50" s="82">
        <v>81.099999999999994</v>
      </c>
      <c r="AK50" s="780"/>
    </row>
    <row r="51" spans="2:37" x14ac:dyDescent="0.3">
      <c r="B51" s="753"/>
      <c r="C51" s="18" t="s">
        <v>14</v>
      </c>
      <c r="D51" s="163">
        <f>D12+Agosto23!AF48</f>
        <v>879</v>
      </c>
      <c r="E51" s="164">
        <f t="shared" si="56"/>
        <v>1219</v>
      </c>
      <c r="F51" s="164">
        <f t="shared" si="56"/>
        <v>1609</v>
      </c>
      <c r="G51" s="165">
        <v>1440</v>
      </c>
      <c r="H51" s="166">
        <v>1620</v>
      </c>
      <c r="I51" s="163">
        <f t="shared" si="57"/>
        <v>2015</v>
      </c>
      <c r="J51" s="163">
        <f t="shared" si="57"/>
        <v>2365</v>
      </c>
      <c r="K51" s="163">
        <f t="shared" si="57"/>
        <v>2755</v>
      </c>
      <c r="L51" s="163">
        <f t="shared" si="57"/>
        <v>3115</v>
      </c>
      <c r="M51" s="163">
        <f>L51+M13</f>
        <v>3529</v>
      </c>
      <c r="N51" s="163">
        <f t="shared" si="57"/>
        <v>3844</v>
      </c>
      <c r="O51" s="163">
        <f t="shared" si="57"/>
        <v>4144</v>
      </c>
      <c r="P51" s="163">
        <f t="shared" si="57"/>
        <v>4514</v>
      </c>
      <c r="Q51" s="163">
        <f t="shared" si="57"/>
        <v>4914</v>
      </c>
      <c r="R51" s="163">
        <f t="shared" si="57"/>
        <v>5304</v>
      </c>
      <c r="S51" s="163">
        <f t="shared" si="57"/>
        <v>5724</v>
      </c>
      <c r="T51" s="163">
        <f t="shared" si="57"/>
        <v>6174</v>
      </c>
      <c r="U51" s="163">
        <f t="shared" si="57"/>
        <v>6614</v>
      </c>
      <c r="V51" s="163">
        <f t="shared" si="57"/>
        <v>7019</v>
      </c>
      <c r="W51" s="139"/>
      <c r="X51" s="139"/>
      <c r="Y51" s="139"/>
      <c r="Z51" s="139"/>
      <c r="AA51" s="139"/>
      <c r="AB51" s="139"/>
      <c r="AC51" s="139"/>
      <c r="AD51" s="139"/>
      <c r="AE51" s="139"/>
      <c r="AJ51" s="63">
        <v>156.9</v>
      </c>
      <c r="AK51" s="778">
        <v>78</v>
      </c>
    </row>
    <row r="52" spans="2:37" x14ac:dyDescent="0.3">
      <c r="B52" s="751" t="s">
        <v>16</v>
      </c>
      <c r="C52" s="18" t="s">
        <v>17</v>
      </c>
      <c r="D52" s="163">
        <f>D13+Agosto23!AF49</f>
        <v>137258.1</v>
      </c>
      <c r="E52" s="164">
        <f t="shared" si="56"/>
        <v>137691.20000000001</v>
      </c>
      <c r="F52" s="164">
        <f t="shared" si="56"/>
        <v>138198.40000000002</v>
      </c>
      <c r="G52" s="165">
        <v>138545</v>
      </c>
      <c r="H52" s="166">
        <v>138937</v>
      </c>
      <c r="I52" s="163">
        <f t="shared" si="57"/>
        <v>139459.29999999999</v>
      </c>
      <c r="J52" s="163">
        <f t="shared" si="57"/>
        <v>139926.59999999998</v>
      </c>
      <c r="K52" s="163">
        <f t="shared" si="57"/>
        <v>140448.19999999998</v>
      </c>
      <c r="L52" s="163">
        <f t="shared" si="57"/>
        <v>140934.79999999999</v>
      </c>
      <c r="M52" s="163" t="e">
        <f>L52+#REF!</f>
        <v>#REF!</v>
      </c>
      <c r="N52" s="163" t="e">
        <f t="shared" si="57"/>
        <v>#REF!</v>
      </c>
      <c r="O52" s="163" t="e">
        <f t="shared" si="57"/>
        <v>#REF!</v>
      </c>
      <c r="P52" s="163" t="e">
        <f t="shared" si="57"/>
        <v>#REF!</v>
      </c>
      <c r="Q52" s="163" t="e">
        <f t="shared" si="57"/>
        <v>#REF!</v>
      </c>
      <c r="R52" s="163" t="e">
        <f t="shared" si="57"/>
        <v>#REF!</v>
      </c>
      <c r="S52" s="163" t="e">
        <f t="shared" si="57"/>
        <v>#REF!</v>
      </c>
      <c r="T52" s="163" t="e">
        <f t="shared" si="57"/>
        <v>#REF!</v>
      </c>
      <c r="U52" s="163" t="e">
        <f t="shared" si="57"/>
        <v>#REF!</v>
      </c>
      <c r="V52" s="163" t="e">
        <f t="shared" si="57"/>
        <v>#REF!</v>
      </c>
      <c r="W52" s="139"/>
      <c r="X52" s="139"/>
      <c r="Y52" s="139"/>
      <c r="Z52" s="139"/>
      <c r="AA52" s="139"/>
      <c r="AB52" s="139"/>
      <c r="AC52" s="139"/>
      <c r="AD52" s="139"/>
      <c r="AE52" s="139"/>
      <c r="AJ52" s="63">
        <v>195.6</v>
      </c>
      <c r="AK52" s="779"/>
    </row>
    <row r="53" spans="2:37" x14ac:dyDescent="0.3">
      <c r="B53" s="752"/>
      <c r="C53" s="18" t="s">
        <v>18</v>
      </c>
      <c r="D53" s="163">
        <f>D14+Agosto23!AF50</f>
        <v>127627.70000000001</v>
      </c>
      <c r="E53" s="164">
        <f t="shared" si="56"/>
        <v>128052.80000000002</v>
      </c>
      <c r="F53" s="164">
        <f t="shared" si="56"/>
        <v>128561.30000000002</v>
      </c>
      <c r="G53" s="165">
        <v>128878</v>
      </c>
      <c r="H53" s="166">
        <v>129112</v>
      </c>
      <c r="I53" s="163">
        <f t="shared" si="57"/>
        <v>129654.5</v>
      </c>
      <c r="J53" s="163">
        <f t="shared" si="57"/>
        <v>130158.39999999999</v>
      </c>
      <c r="K53" s="163">
        <f t="shared" si="57"/>
        <v>130746.29999999999</v>
      </c>
      <c r="L53" s="163">
        <f t="shared" si="57"/>
        <v>131281.69999999998</v>
      </c>
      <c r="M53" s="163">
        <f t="shared" si="57"/>
        <v>131739.9</v>
      </c>
      <c r="N53" s="163">
        <f t="shared" si="57"/>
        <v>132194.4</v>
      </c>
      <c r="O53" s="163">
        <f>N53+O14</f>
        <v>132647.5</v>
      </c>
      <c r="P53" s="163">
        <f t="shared" si="57"/>
        <v>133098.29999999999</v>
      </c>
      <c r="Q53" s="163">
        <f t="shared" si="57"/>
        <v>133677.9</v>
      </c>
      <c r="R53" s="163">
        <f t="shared" si="57"/>
        <v>134172.29999999999</v>
      </c>
      <c r="S53" s="163">
        <f t="shared" si="57"/>
        <v>134752.5</v>
      </c>
      <c r="T53" s="163" t="e">
        <f>S53+#REF!</f>
        <v>#REF!</v>
      </c>
      <c r="U53" s="163" t="e">
        <f>T53+U14</f>
        <v>#REF!</v>
      </c>
      <c r="V53" s="163" t="e">
        <f t="shared" si="57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J53" s="63">
        <v>55.4</v>
      </c>
      <c r="AK53" s="780"/>
    </row>
    <row r="54" spans="2:37" x14ac:dyDescent="0.3">
      <c r="B54" s="752"/>
      <c r="C54" s="18" t="s">
        <v>19</v>
      </c>
      <c r="D54" s="163">
        <f>D15+Agosto23!AF51</f>
        <v>37799</v>
      </c>
      <c r="E54" s="164">
        <f t="shared" si="56"/>
        <v>37914.699999999997</v>
      </c>
      <c r="F54" s="164">
        <f t="shared" si="56"/>
        <v>38059.899999999994</v>
      </c>
      <c r="G54" s="165">
        <v>38160</v>
      </c>
      <c r="H54" s="166">
        <v>38222</v>
      </c>
      <c r="I54" s="163">
        <f t="shared" si="57"/>
        <v>38369.300000000003</v>
      </c>
      <c r="J54" s="163">
        <f t="shared" si="57"/>
        <v>38507.5</v>
      </c>
      <c r="K54" s="163">
        <f t="shared" si="57"/>
        <v>38670.699999999997</v>
      </c>
      <c r="L54" s="163">
        <f t="shared" si="57"/>
        <v>38820.799999999996</v>
      </c>
      <c r="M54" s="163">
        <f t="shared" si="57"/>
        <v>38954.499999999993</v>
      </c>
      <c r="N54" s="163">
        <f t="shared" si="57"/>
        <v>39087.599999999991</v>
      </c>
      <c r="O54" s="163">
        <f>N54+O15</f>
        <v>39208.099999999991</v>
      </c>
      <c r="P54" s="163">
        <f t="shared" si="57"/>
        <v>39334.299999999988</v>
      </c>
      <c r="Q54" s="163">
        <f>P54+Q16</f>
        <v>39851.799999999988</v>
      </c>
      <c r="R54" s="163">
        <f t="shared" si="57"/>
        <v>39989.69999999999</v>
      </c>
      <c r="S54" s="163">
        <f t="shared" si="57"/>
        <v>40152.999999999993</v>
      </c>
      <c r="T54" s="163">
        <f>S54+T15</f>
        <v>40317.69999999999</v>
      </c>
      <c r="U54" s="163">
        <f>T54+U15</f>
        <v>40480.399999999987</v>
      </c>
      <c r="V54" s="163">
        <f t="shared" si="57"/>
        <v>40625.899999999987</v>
      </c>
      <c r="W54" s="139"/>
      <c r="X54" s="139"/>
      <c r="Y54" s="139"/>
      <c r="Z54" s="139"/>
      <c r="AA54" s="139"/>
      <c r="AB54" s="139"/>
      <c r="AC54" s="139"/>
      <c r="AD54" s="139"/>
      <c r="AE54" s="139"/>
      <c r="AJ54" s="63">
        <v>183.6</v>
      </c>
      <c r="AK54" s="778">
        <v>60</v>
      </c>
    </row>
    <row r="55" spans="2:37" x14ac:dyDescent="0.3">
      <c r="B55" s="753"/>
      <c r="C55" s="18" t="s">
        <v>20</v>
      </c>
      <c r="D55" s="163">
        <f>D16+Agosto23!AF52</f>
        <v>97221.9</v>
      </c>
      <c r="E55" s="164">
        <f t="shared" si="56"/>
        <v>97538.2</v>
      </c>
      <c r="F55" s="164">
        <f t="shared" si="56"/>
        <v>97987.7</v>
      </c>
      <c r="G55" s="165">
        <v>98510</v>
      </c>
      <c r="H55" s="166">
        <v>98809</v>
      </c>
      <c r="I55" s="163">
        <f t="shared" si="57"/>
        <v>98809</v>
      </c>
      <c r="J55" s="163">
        <f t="shared" si="57"/>
        <v>98809</v>
      </c>
      <c r="K55" s="163">
        <f t="shared" si="57"/>
        <v>98925.2</v>
      </c>
      <c r="L55" s="163">
        <f t="shared" si="57"/>
        <v>99481.7</v>
      </c>
      <c r="M55" s="163">
        <f t="shared" si="57"/>
        <v>99939.5</v>
      </c>
      <c r="N55" s="163">
        <f t="shared" si="57"/>
        <v>100388.5</v>
      </c>
      <c r="O55" s="163">
        <f t="shared" si="57"/>
        <v>100824.4</v>
      </c>
      <c r="P55" s="163">
        <f t="shared" si="57"/>
        <v>101303.4</v>
      </c>
      <c r="Q55" s="163" t="e">
        <f>P55+#REF!</f>
        <v>#REF!</v>
      </c>
      <c r="R55" s="163" t="e">
        <f t="shared" si="57"/>
        <v>#REF!</v>
      </c>
      <c r="S55" s="163" t="e">
        <f t="shared" si="57"/>
        <v>#REF!</v>
      </c>
      <c r="T55" s="163" t="e">
        <f>S55+T14</f>
        <v>#REF!</v>
      </c>
      <c r="U55" s="163" t="e">
        <f t="shared" si="57"/>
        <v>#REF!</v>
      </c>
      <c r="V55" s="163" t="e">
        <f t="shared" si="57"/>
        <v>#REF!</v>
      </c>
      <c r="W55" s="139"/>
      <c r="X55" s="139"/>
      <c r="Y55" s="139"/>
      <c r="Z55" s="139"/>
      <c r="AA55" s="139"/>
      <c r="AB55" s="139"/>
      <c r="AC55" s="139"/>
      <c r="AD55" s="139"/>
      <c r="AE55" s="139"/>
      <c r="AJ55" s="63" t="s">
        <v>31</v>
      </c>
      <c r="AK55" s="779"/>
    </row>
    <row r="56" spans="2:37" x14ac:dyDescent="0.3">
      <c r="B56" s="754" t="s">
        <v>21</v>
      </c>
      <c r="C56" s="18" t="s">
        <v>22</v>
      </c>
      <c r="D56" s="163">
        <f>D17+Agosto23!AF53</f>
        <v>66128.600000000006</v>
      </c>
      <c r="E56" s="164">
        <f t="shared" si="56"/>
        <v>66598.700000000012</v>
      </c>
      <c r="F56" s="164">
        <f t="shared" si="56"/>
        <v>67104.900000000009</v>
      </c>
      <c r="G56" s="165">
        <v>67299</v>
      </c>
      <c r="H56" s="166">
        <v>67726</v>
      </c>
      <c r="I56" s="163">
        <f t="shared" si="57"/>
        <v>68225</v>
      </c>
      <c r="J56" s="163">
        <f t="shared" si="57"/>
        <v>68711.7</v>
      </c>
      <c r="K56" s="163" t="e">
        <f>J56+#REF!</f>
        <v>#REF!</v>
      </c>
      <c r="L56" s="163" t="e">
        <f t="shared" si="57"/>
        <v>#REF!</v>
      </c>
      <c r="M56" s="163" t="e">
        <f t="shared" si="57"/>
        <v>#REF!</v>
      </c>
      <c r="N56" s="163" t="e">
        <f>M56+N18</f>
        <v>#REF!</v>
      </c>
      <c r="O56" s="163" t="e">
        <f t="shared" si="57"/>
        <v>#REF!</v>
      </c>
      <c r="P56" s="163" t="e">
        <f t="shared" si="57"/>
        <v>#REF!</v>
      </c>
      <c r="Q56" s="163" t="e">
        <f t="shared" si="57"/>
        <v>#REF!</v>
      </c>
      <c r="R56" s="163" t="e">
        <f t="shared" si="57"/>
        <v>#REF!</v>
      </c>
      <c r="S56" s="163" t="e">
        <f t="shared" si="57"/>
        <v>#REF!</v>
      </c>
      <c r="T56" s="163" t="e">
        <f t="shared" si="57"/>
        <v>#REF!</v>
      </c>
      <c r="U56" s="163" t="e">
        <f t="shared" si="57"/>
        <v>#REF!</v>
      </c>
      <c r="V56" s="163" t="e">
        <f t="shared" si="57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J56" s="63">
        <v>40.200000000000003</v>
      </c>
      <c r="AK56" s="780"/>
    </row>
    <row r="57" spans="2:37" x14ac:dyDescent="0.3">
      <c r="B57" s="754"/>
      <c r="C57" s="18" t="s">
        <v>23</v>
      </c>
      <c r="D57" s="163">
        <f>D18+Agosto23!AF54</f>
        <v>74713.200000000012</v>
      </c>
      <c r="E57" s="164">
        <f t="shared" si="56"/>
        <v>75210.300000000017</v>
      </c>
      <c r="F57" s="164">
        <f t="shared" si="56"/>
        <v>75731.500000000015</v>
      </c>
      <c r="G57" s="165">
        <v>75901</v>
      </c>
      <c r="H57" s="166">
        <v>76333</v>
      </c>
      <c r="I57" s="163">
        <f t="shared" si="57"/>
        <v>76869.5</v>
      </c>
      <c r="J57" s="163">
        <f t="shared" si="57"/>
        <v>77382.7</v>
      </c>
      <c r="K57" s="163">
        <f t="shared" si="57"/>
        <v>77892.7</v>
      </c>
      <c r="L57" s="163">
        <f t="shared" si="57"/>
        <v>78426.099999999991</v>
      </c>
      <c r="M57" s="163">
        <f>L57+M19</f>
        <v>78852.399999999994</v>
      </c>
      <c r="N57" s="163" t="e">
        <f>M57+#REF!</f>
        <v>#REF!</v>
      </c>
      <c r="O57" s="163" t="e">
        <f t="shared" si="57"/>
        <v>#REF!</v>
      </c>
      <c r="P57" s="163" t="e">
        <f t="shared" si="57"/>
        <v>#REF!</v>
      </c>
      <c r="Q57" s="163" t="e">
        <f>P57+Q19</f>
        <v>#REF!</v>
      </c>
      <c r="R57" s="163" t="e">
        <f>Q57+#REF!</f>
        <v>#REF!</v>
      </c>
      <c r="S57" s="163" t="e">
        <f t="shared" si="57"/>
        <v>#REF!</v>
      </c>
      <c r="T57" s="163" t="e">
        <f t="shared" si="57"/>
        <v>#REF!</v>
      </c>
      <c r="U57" s="163" t="e">
        <f t="shared" si="57"/>
        <v>#REF!</v>
      </c>
      <c r="V57" s="163" t="e">
        <f t="shared" si="57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J57" s="63">
        <v>115</v>
      </c>
      <c r="AK57" s="784">
        <v>100</v>
      </c>
    </row>
    <row r="58" spans="2:37" x14ac:dyDescent="0.3">
      <c r="B58" s="754"/>
      <c r="C58" s="18" t="s">
        <v>24</v>
      </c>
      <c r="D58" s="163">
        <f>D19+Agosto23!AF55</f>
        <v>136308.30000000002</v>
      </c>
      <c r="E58" s="164">
        <f t="shared" si="56"/>
        <v>136753.30000000002</v>
      </c>
      <c r="F58" s="164">
        <f t="shared" si="56"/>
        <v>137150.80000000002</v>
      </c>
      <c r="G58" s="165">
        <v>137294</v>
      </c>
      <c r="H58" s="166">
        <v>137664</v>
      </c>
      <c r="I58" s="163">
        <f>H58+I19</f>
        <v>138081.29999999999</v>
      </c>
      <c r="J58" s="163">
        <f t="shared" si="57"/>
        <v>138510.69999999998</v>
      </c>
      <c r="K58" s="163">
        <f t="shared" si="57"/>
        <v>138914.09999999998</v>
      </c>
      <c r="L58" s="163">
        <f>K58+L21</f>
        <v>139342.19999999998</v>
      </c>
      <c r="M58" s="163" t="e">
        <f>L58+#REF!</f>
        <v>#REF!</v>
      </c>
      <c r="N58" s="163" t="e">
        <f t="shared" si="57"/>
        <v>#REF!</v>
      </c>
      <c r="O58" s="163" t="e">
        <f t="shared" si="57"/>
        <v>#REF!</v>
      </c>
      <c r="P58" s="163" t="e">
        <f t="shared" si="57"/>
        <v>#REF!</v>
      </c>
      <c r="Q58" s="163" t="e">
        <f>P58+#REF!</f>
        <v>#REF!</v>
      </c>
      <c r="R58" s="163" t="e">
        <f t="shared" si="57"/>
        <v>#REF!</v>
      </c>
      <c r="S58" s="163" t="e">
        <f t="shared" si="57"/>
        <v>#REF!</v>
      </c>
      <c r="T58" s="163" t="e">
        <f t="shared" si="57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J58" s="63">
        <v>160.30000000000001</v>
      </c>
      <c r="AK58" s="785"/>
    </row>
    <row r="59" spans="2:37" x14ac:dyDescent="0.3">
      <c r="B59" s="754"/>
      <c r="C59" s="18" t="s">
        <v>25</v>
      </c>
      <c r="D59" s="163">
        <f>D20+Agosto23!AF56</f>
        <v>174717.1</v>
      </c>
      <c r="E59" s="164">
        <f t="shared" si="56"/>
        <v>175232.5</v>
      </c>
      <c r="F59" s="164">
        <f t="shared" si="56"/>
        <v>175706.9</v>
      </c>
      <c r="G59" s="165">
        <v>176032</v>
      </c>
      <c r="H59" s="166">
        <v>176536</v>
      </c>
      <c r="I59" s="163">
        <f>H59+I20</f>
        <v>177051.7</v>
      </c>
      <c r="J59" s="163">
        <f t="shared" si="57"/>
        <v>177583.6</v>
      </c>
      <c r="K59" s="163">
        <f>J59+K17</f>
        <v>178062.30000000002</v>
      </c>
      <c r="L59" s="163">
        <f t="shared" si="57"/>
        <v>178585.40000000002</v>
      </c>
      <c r="M59" s="163">
        <f t="shared" si="57"/>
        <v>179086.60000000003</v>
      </c>
      <c r="N59" s="163">
        <f>M59+N21</f>
        <v>179467.00000000003</v>
      </c>
      <c r="O59" s="163" t="e">
        <f>N59+#REF!</f>
        <v>#REF!</v>
      </c>
      <c r="P59" s="163" t="e">
        <f t="shared" si="57"/>
        <v>#REF!</v>
      </c>
      <c r="Q59" s="163" t="e">
        <f t="shared" si="57"/>
        <v>#REF!</v>
      </c>
      <c r="R59" s="163" t="e">
        <f>Q59+R18</f>
        <v>#REF!</v>
      </c>
      <c r="S59" s="163" t="e">
        <f>R59+S21</f>
        <v>#REF!</v>
      </c>
      <c r="T59" s="163" t="e">
        <f t="shared" si="57"/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J59" s="63">
        <v>136.9</v>
      </c>
      <c r="AK59" s="786"/>
    </row>
    <row r="60" spans="2:37" x14ac:dyDescent="0.3">
      <c r="B60" s="754"/>
      <c r="C60" s="18" t="s">
        <v>26</v>
      </c>
      <c r="D60" s="163">
        <f>D21+Agosto23!AF57</f>
        <v>82458.3</v>
      </c>
      <c r="E60" s="164">
        <f t="shared" ref="E60:F66" si="58">D60+E21</f>
        <v>82886.600000000006</v>
      </c>
      <c r="F60" s="164">
        <f t="shared" si="58"/>
        <v>83281.400000000009</v>
      </c>
      <c r="G60" s="165">
        <v>83628</v>
      </c>
      <c r="H60" s="166">
        <v>84081</v>
      </c>
      <c r="I60" s="163">
        <f t="shared" ref="I60:L66" si="59">H60+I21</f>
        <v>84485.4</v>
      </c>
      <c r="J60" s="163">
        <f t="shared" si="59"/>
        <v>84910.9</v>
      </c>
      <c r="K60" s="163">
        <f t="shared" si="59"/>
        <v>85303.799999999988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0">N60+O21</f>
        <v>#REF!</v>
      </c>
      <c r="P60" s="163" t="e">
        <f t="shared" si="60"/>
        <v>#REF!</v>
      </c>
      <c r="Q60" s="163" t="e">
        <f t="shared" si="60"/>
        <v>#REF!</v>
      </c>
      <c r="R60" s="163" t="e">
        <f t="shared" si="60"/>
        <v>#REF!</v>
      </c>
      <c r="S60" s="163" t="e">
        <f>R60+#REF!</f>
        <v>#REF!</v>
      </c>
      <c r="T60" s="163" t="e">
        <f t="shared" ref="T60:V66" si="61">S60+T21</f>
        <v>#REF!</v>
      </c>
      <c r="U60" s="163" t="e">
        <f t="shared" si="61"/>
        <v>#REF!</v>
      </c>
      <c r="V60" s="163" t="e">
        <f t="shared" si="61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J60" s="63">
        <v>147.5</v>
      </c>
      <c r="AK60" s="784">
        <v>100</v>
      </c>
    </row>
    <row r="61" spans="2:37" x14ac:dyDescent="0.3">
      <c r="B61" s="754"/>
      <c r="C61" s="18" t="s">
        <v>27</v>
      </c>
      <c r="D61" s="163">
        <f>D22+Agosto23!AF58</f>
        <v>61508.2</v>
      </c>
      <c r="E61" s="164">
        <f t="shared" si="58"/>
        <v>61931.199999999997</v>
      </c>
      <c r="F61" s="164">
        <f t="shared" si="58"/>
        <v>62467.7</v>
      </c>
      <c r="G61" s="165">
        <v>63058</v>
      </c>
      <c r="H61" s="166">
        <v>63281</v>
      </c>
      <c r="I61" s="163">
        <f t="shared" si="59"/>
        <v>63833.9</v>
      </c>
      <c r="J61" s="163">
        <f t="shared" si="59"/>
        <v>64355.8</v>
      </c>
      <c r="K61" s="163">
        <f t="shared" si="59"/>
        <v>64941.5</v>
      </c>
      <c r="L61" s="163">
        <f t="shared" si="59"/>
        <v>65498.5</v>
      </c>
      <c r="M61" s="163" t="e">
        <f>L61+#REF!</f>
        <v>#REF!</v>
      </c>
      <c r="N61" s="163" t="e">
        <f t="shared" si="60"/>
        <v>#REF!</v>
      </c>
      <c r="O61" s="163" t="e">
        <f t="shared" si="60"/>
        <v>#REF!</v>
      </c>
      <c r="P61" s="163" t="e">
        <f t="shared" si="60"/>
        <v>#REF!</v>
      </c>
      <c r="Q61" s="163" t="e">
        <f t="shared" si="60"/>
        <v>#REF!</v>
      </c>
      <c r="R61" s="163" t="e">
        <f t="shared" si="60"/>
        <v>#REF!</v>
      </c>
      <c r="S61" s="163" t="e">
        <f t="shared" si="60"/>
        <v>#REF!</v>
      </c>
      <c r="T61" s="163" t="e">
        <f t="shared" si="61"/>
        <v>#REF!</v>
      </c>
      <c r="U61" s="163" t="e">
        <f t="shared" si="61"/>
        <v>#REF!</v>
      </c>
      <c r="V61" s="163" t="e">
        <f t="shared" si="61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J61" s="63">
        <v>189.83</v>
      </c>
      <c r="AK61" s="785"/>
    </row>
    <row r="62" spans="2:37" x14ac:dyDescent="0.3">
      <c r="B62" s="754"/>
      <c r="C62" s="18" t="s">
        <v>28</v>
      </c>
      <c r="D62" s="163">
        <f>D23+Agosto23!AF59</f>
        <v>87633.57</v>
      </c>
      <c r="E62" s="164">
        <f t="shared" si="58"/>
        <v>88013.07</v>
      </c>
      <c r="F62" s="164">
        <f t="shared" si="58"/>
        <v>88497.27</v>
      </c>
      <c r="G62" s="165">
        <v>87693.64</v>
      </c>
      <c r="H62" s="166">
        <v>87903.16</v>
      </c>
      <c r="I62" s="163">
        <f t="shared" si="59"/>
        <v>88389.66</v>
      </c>
      <c r="J62" s="163">
        <f t="shared" si="59"/>
        <v>88854.66</v>
      </c>
      <c r="K62" s="163">
        <f>J62+K23</f>
        <v>89385.56</v>
      </c>
      <c r="L62" s="163">
        <f t="shared" si="59"/>
        <v>89890.36</v>
      </c>
      <c r="M62" s="163">
        <f>L62+M22</f>
        <v>90418.96</v>
      </c>
      <c r="N62" s="163">
        <f>M62+N24</f>
        <v>92259.260000000009</v>
      </c>
      <c r="O62" s="163">
        <f>N62+O20</f>
        <v>92735.360000000015</v>
      </c>
      <c r="P62" s="163">
        <f t="shared" si="60"/>
        <v>93223.160000000018</v>
      </c>
      <c r="Q62" s="163">
        <f t="shared" si="60"/>
        <v>93744.160000000018</v>
      </c>
      <c r="R62" s="163">
        <f t="shared" si="60"/>
        <v>94263.860000000015</v>
      </c>
      <c r="S62" s="163">
        <f t="shared" si="60"/>
        <v>94816.660000000018</v>
      </c>
      <c r="T62" s="163">
        <f t="shared" si="61"/>
        <v>95363.260000000024</v>
      </c>
      <c r="U62" s="163">
        <f t="shared" si="61"/>
        <v>95738.560000000027</v>
      </c>
      <c r="V62" s="163">
        <f>U62+V23</f>
        <v>96242.560000000027</v>
      </c>
      <c r="W62" s="139"/>
      <c r="X62" s="139"/>
      <c r="Y62" s="139"/>
      <c r="Z62" s="139"/>
      <c r="AA62" s="139"/>
      <c r="AB62" s="139"/>
      <c r="AC62" s="139"/>
      <c r="AD62" s="139"/>
      <c r="AE62" s="139"/>
      <c r="AJ62" s="63">
        <v>223.4</v>
      </c>
      <c r="AK62" s="786"/>
    </row>
    <row r="63" spans="2:37" x14ac:dyDescent="0.3">
      <c r="B63" s="754"/>
      <c r="C63" s="18" t="s">
        <v>29</v>
      </c>
      <c r="D63" s="163">
        <f>D24+Agosto23!AF60</f>
        <v>129936.09999999999</v>
      </c>
      <c r="E63" s="164">
        <f t="shared" si="58"/>
        <v>131410.09999999998</v>
      </c>
      <c r="F63" s="164">
        <f t="shared" si="58"/>
        <v>133297.79999999999</v>
      </c>
      <c r="G63" s="165">
        <v>130195</v>
      </c>
      <c r="H63" s="166">
        <v>130451</v>
      </c>
      <c r="I63" s="163">
        <f t="shared" si="59"/>
        <v>132350</v>
      </c>
      <c r="J63" s="163">
        <f>I63+J29</f>
        <v>132762</v>
      </c>
      <c r="K63" s="163">
        <f>J63+K24</f>
        <v>134775.20000000001</v>
      </c>
      <c r="L63" s="163">
        <f t="shared" si="59"/>
        <v>136704.30000000002</v>
      </c>
      <c r="M63" s="163">
        <f t="shared" si="60"/>
        <v>138543.30000000002</v>
      </c>
      <c r="N63" s="163" t="e">
        <f>M63+#REF!</f>
        <v>#REF!</v>
      </c>
      <c r="O63" s="163" t="e">
        <f t="shared" si="60"/>
        <v>#REF!</v>
      </c>
      <c r="P63" s="163" t="e">
        <f t="shared" si="60"/>
        <v>#REF!</v>
      </c>
      <c r="Q63" s="163" t="e">
        <f t="shared" si="60"/>
        <v>#REF!</v>
      </c>
      <c r="R63" s="163" t="e">
        <f t="shared" si="60"/>
        <v>#REF!</v>
      </c>
      <c r="S63" s="163" t="e">
        <f t="shared" si="60"/>
        <v>#REF!</v>
      </c>
      <c r="T63" s="163" t="e">
        <f t="shared" si="61"/>
        <v>#REF!</v>
      </c>
      <c r="U63" s="163" t="e">
        <f t="shared" si="61"/>
        <v>#REF!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J63" s="63">
        <v>619</v>
      </c>
      <c r="AK63" s="778">
        <v>29</v>
      </c>
    </row>
    <row r="64" spans="2:37" x14ac:dyDescent="0.3">
      <c r="B64" s="754"/>
      <c r="C64" s="18" t="s">
        <v>30</v>
      </c>
      <c r="D64" s="163">
        <f>D25+Agosto23!AF61</f>
        <v>14388</v>
      </c>
      <c r="E64" s="164">
        <f t="shared" si="58"/>
        <v>14727.8</v>
      </c>
      <c r="F64" s="164">
        <f t="shared" si="58"/>
        <v>15275.5</v>
      </c>
      <c r="G64" s="165">
        <v>18667</v>
      </c>
      <c r="H64" s="166">
        <v>19364</v>
      </c>
      <c r="I64" s="163">
        <f t="shared" si="59"/>
        <v>19996.8</v>
      </c>
      <c r="J64" s="163">
        <f t="shared" si="59"/>
        <v>20539.599999999999</v>
      </c>
      <c r="K64" s="163">
        <f t="shared" si="59"/>
        <v>21133.8</v>
      </c>
      <c r="L64" s="163">
        <f t="shared" si="59"/>
        <v>21737.200000000001</v>
      </c>
      <c r="M64" s="163">
        <f t="shared" si="60"/>
        <v>22340.7</v>
      </c>
      <c r="N64" s="163" t="e">
        <f>M64+#REF!</f>
        <v>#REF!</v>
      </c>
      <c r="O64" s="163" t="e">
        <f t="shared" si="60"/>
        <v>#REF!</v>
      </c>
      <c r="P64" s="163" t="e">
        <f t="shared" si="60"/>
        <v>#REF!</v>
      </c>
      <c r="Q64" s="163" t="e">
        <f t="shared" si="60"/>
        <v>#REF!</v>
      </c>
      <c r="R64" s="163" t="e">
        <f t="shared" si="60"/>
        <v>#REF!</v>
      </c>
      <c r="S64" s="163" t="e">
        <f t="shared" si="60"/>
        <v>#REF!</v>
      </c>
      <c r="T64" s="163" t="e">
        <f>S64+T26</f>
        <v>#REF!</v>
      </c>
      <c r="U64" s="163" t="e">
        <f>T64+U26</f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J64" s="63">
        <v>219.3</v>
      </c>
      <c r="AK64" s="779"/>
    </row>
    <row r="65" spans="2:37" x14ac:dyDescent="0.3">
      <c r="B65" s="754"/>
      <c r="C65" s="18" t="s">
        <v>111</v>
      </c>
      <c r="D65" s="163">
        <f>D26+Agosto23!AF62</f>
        <v>45128.4</v>
      </c>
      <c r="E65" s="164">
        <f t="shared" si="58"/>
        <v>45410.9</v>
      </c>
      <c r="F65" s="164">
        <f t="shared" si="58"/>
        <v>45819.9</v>
      </c>
      <c r="G65" s="165">
        <v>46772</v>
      </c>
      <c r="H65" s="166">
        <v>47086</v>
      </c>
      <c r="I65" s="163">
        <f t="shared" si="59"/>
        <v>47578.6</v>
      </c>
      <c r="J65" s="163">
        <f t="shared" si="59"/>
        <v>48084.7</v>
      </c>
      <c r="K65" s="163">
        <f t="shared" si="59"/>
        <v>48603.299999999996</v>
      </c>
      <c r="L65" s="163">
        <f>K65+L27</f>
        <v>49117.7</v>
      </c>
      <c r="M65" s="163">
        <f t="shared" si="60"/>
        <v>49606.5</v>
      </c>
      <c r="N65" s="163">
        <f>M65+N25</f>
        <v>50148.3</v>
      </c>
      <c r="O65" s="163">
        <f t="shared" si="60"/>
        <v>50546.8</v>
      </c>
      <c r="P65" s="163">
        <f t="shared" si="60"/>
        <v>51091.600000000006</v>
      </c>
      <c r="Q65" s="163">
        <f t="shared" si="60"/>
        <v>51629.400000000009</v>
      </c>
      <c r="R65" s="163">
        <f t="shared" si="60"/>
        <v>52174.000000000007</v>
      </c>
      <c r="S65" s="163">
        <f t="shared" si="60"/>
        <v>52724.80000000001</v>
      </c>
      <c r="T65" s="163" t="e">
        <f>S65+#REF!</f>
        <v>#REF!</v>
      </c>
      <c r="U65" s="163" t="e">
        <f>T65+#REF!</f>
        <v>#REF!</v>
      </c>
      <c r="V65" s="163" t="e">
        <f t="shared" si="61"/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J65" s="63">
        <v>66.900000000000006</v>
      </c>
      <c r="AK65" s="780"/>
    </row>
    <row r="66" spans="2:37" ht="15" thickBot="1" x14ac:dyDescent="0.35">
      <c r="B66" s="754"/>
      <c r="C66" s="18" t="s">
        <v>32</v>
      </c>
      <c r="D66" s="163">
        <f>D27+Agosto23!AF63</f>
        <v>9490.7000000000007</v>
      </c>
      <c r="E66" s="164">
        <f t="shared" si="58"/>
        <v>9870.3000000000011</v>
      </c>
      <c r="F66" s="164">
        <f t="shared" si="58"/>
        <v>10263.700000000001</v>
      </c>
      <c r="G66" s="165">
        <v>10779</v>
      </c>
      <c r="H66" s="166">
        <v>10940</v>
      </c>
      <c r="I66" s="163">
        <f t="shared" si="59"/>
        <v>11492.4</v>
      </c>
      <c r="J66" s="163">
        <f t="shared" si="59"/>
        <v>11995.8</v>
      </c>
      <c r="K66" s="163">
        <f t="shared" si="59"/>
        <v>12515</v>
      </c>
      <c r="L66" s="163" t="e">
        <f>K66+#REF!</f>
        <v>#REF!</v>
      </c>
      <c r="M66" s="163" t="e">
        <f t="shared" si="60"/>
        <v>#REF!</v>
      </c>
      <c r="N66" s="163" t="e">
        <f t="shared" si="60"/>
        <v>#REF!</v>
      </c>
      <c r="O66" s="163" t="e">
        <f t="shared" si="60"/>
        <v>#REF!</v>
      </c>
      <c r="P66" s="163" t="e">
        <f t="shared" si="60"/>
        <v>#REF!</v>
      </c>
      <c r="Q66" s="163" t="e">
        <f t="shared" si="60"/>
        <v>#REF!</v>
      </c>
      <c r="R66" s="163" t="e">
        <f t="shared" si="60"/>
        <v>#REF!</v>
      </c>
      <c r="S66" s="163" t="e">
        <f t="shared" si="60"/>
        <v>#REF!</v>
      </c>
      <c r="T66" s="163" t="e">
        <f t="shared" si="61"/>
        <v>#REF!</v>
      </c>
      <c r="U66" s="163" t="e">
        <f t="shared" si="61"/>
        <v>#REF!</v>
      </c>
      <c r="V66" s="163" t="e">
        <f t="shared" si="61"/>
        <v>#REF!</v>
      </c>
      <c r="W66" s="139"/>
      <c r="X66" s="139"/>
      <c r="Y66" s="139"/>
      <c r="Z66" s="139"/>
      <c r="AA66" s="139"/>
      <c r="AB66" s="139"/>
      <c r="AC66" s="139"/>
      <c r="AD66" s="139"/>
      <c r="AE66" s="139"/>
      <c r="AJ66" s="93">
        <v>150.6</v>
      </c>
      <c r="AK66" s="784">
        <v>100</v>
      </c>
    </row>
    <row r="67" spans="2:37" x14ac:dyDescent="0.3">
      <c r="B67" s="754"/>
      <c r="C67" s="18" t="s">
        <v>112</v>
      </c>
      <c r="D67" s="163">
        <f>D28+Agosto23!AF64</f>
        <v>18889.2</v>
      </c>
      <c r="E67" s="164">
        <f>D67+E29</f>
        <v>19222</v>
      </c>
      <c r="F67" s="164">
        <f>E67+F29</f>
        <v>19572.7</v>
      </c>
      <c r="G67" s="165">
        <v>20520.400000000001</v>
      </c>
      <c r="H67" s="166">
        <v>20739</v>
      </c>
      <c r="I67" s="163">
        <f t="shared" ref="I67:V67" si="62">H67+I29</f>
        <v>21196.2</v>
      </c>
      <c r="J67" s="163">
        <f>I67+J30</f>
        <v>21663.3</v>
      </c>
      <c r="K67" s="163">
        <f t="shared" si="62"/>
        <v>22083.200000000001</v>
      </c>
      <c r="L67" s="163">
        <f t="shared" si="62"/>
        <v>22503.100000000002</v>
      </c>
      <c r="M67" s="163">
        <f t="shared" si="62"/>
        <v>22811.000000000004</v>
      </c>
      <c r="N67" s="163">
        <f>M67+N30</f>
        <v>23268.300000000003</v>
      </c>
      <c r="O67" s="163">
        <f t="shared" si="62"/>
        <v>23621.4</v>
      </c>
      <c r="P67" s="163">
        <f t="shared" si="62"/>
        <v>24024.9</v>
      </c>
      <c r="Q67" s="163">
        <f t="shared" si="62"/>
        <v>24394.5</v>
      </c>
      <c r="R67" s="163">
        <f t="shared" si="62"/>
        <v>24803.200000000001</v>
      </c>
      <c r="S67" s="163">
        <f t="shared" si="62"/>
        <v>25243.5</v>
      </c>
      <c r="T67" s="163">
        <f t="shared" si="62"/>
        <v>25685.599999999999</v>
      </c>
      <c r="U67" s="163">
        <f t="shared" si="62"/>
        <v>26069.399999999998</v>
      </c>
      <c r="V67" s="163">
        <f t="shared" si="62"/>
        <v>26409.899999999998</v>
      </c>
      <c r="W67" s="139"/>
      <c r="X67" s="139"/>
      <c r="Y67" s="139"/>
      <c r="Z67" s="139"/>
      <c r="AA67" s="139"/>
      <c r="AB67" s="139"/>
      <c r="AC67" s="139"/>
      <c r="AD67" s="139"/>
      <c r="AE67" s="139"/>
      <c r="AK67" s="785"/>
    </row>
    <row r="68" spans="2:37" x14ac:dyDescent="0.3">
      <c r="B68" s="756" t="s">
        <v>196</v>
      </c>
      <c r="C68" s="756"/>
      <c r="D68" s="756"/>
      <c r="E68" s="756"/>
      <c r="AK68" s="786"/>
    </row>
    <row r="69" spans="2:37" x14ac:dyDescent="0.3">
      <c r="B69" s="757" t="s">
        <v>132</v>
      </c>
      <c r="C69" s="757"/>
      <c r="D69" s="757"/>
      <c r="E69" s="757"/>
      <c r="AK69" s="784">
        <v>110</v>
      </c>
    </row>
    <row r="70" spans="2:37" x14ac:dyDescent="0.3">
      <c r="AK70" s="785"/>
    </row>
    <row r="71" spans="2:37" x14ac:dyDescent="0.3">
      <c r="AK71" s="786"/>
    </row>
    <row r="72" spans="2:37" x14ac:dyDescent="0.3">
      <c r="AK72" s="784">
        <v>110</v>
      </c>
    </row>
    <row r="73" spans="2:37" x14ac:dyDescent="0.3">
      <c r="AK73" s="785"/>
    </row>
    <row r="74" spans="2:37" x14ac:dyDescent="0.3">
      <c r="AK74" s="786"/>
    </row>
    <row r="75" spans="2:37" x14ac:dyDescent="0.3">
      <c r="AK75" s="778">
        <v>80</v>
      </c>
    </row>
    <row r="76" spans="2:37" x14ac:dyDescent="0.3">
      <c r="AK76" s="779"/>
    </row>
    <row r="77" spans="2:37" x14ac:dyDescent="0.3">
      <c r="AK77" s="780"/>
    </row>
    <row r="78" spans="2:37" x14ac:dyDescent="0.3">
      <c r="AK78" s="784">
        <v>100</v>
      </c>
    </row>
    <row r="79" spans="2:37" x14ac:dyDescent="0.3">
      <c r="AK79" s="785"/>
    </row>
    <row r="80" spans="2:37" x14ac:dyDescent="0.3">
      <c r="AK80" s="786"/>
    </row>
    <row r="81" spans="37:37" x14ac:dyDescent="0.3">
      <c r="AK81" s="784">
        <v>100</v>
      </c>
    </row>
    <row r="82" spans="37:37" x14ac:dyDescent="0.3">
      <c r="AK82" s="785"/>
    </row>
    <row r="83" spans="37:37" x14ac:dyDescent="0.3">
      <c r="AK83" s="786"/>
    </row>
    <row r="84" spans="37:37" x14ac:dyDescent="0.3">
      <c r="AK84" s="787">
        <v>110</v>
      </c>
    </row>
    <row r="85" spans="37:37" x14ac:dyDescent="0.3">
      <c r="AK85" s="788"/>
    </row>
    <row r="86" spans="37:37" x14ac:dyDescent="0.3">
      <c r="AK86" s="789"/>
    </row>
    <row r="87" spans="37:37" x14ac:dyDescent="0.3">
      <c r="AK87" s="784">
        <v>100</v>
      </c>
    </row>
    <row r="88" spans="37:37" x14ac:dyDescent="0.3">
      <c r="AK88" s="785"/>
    </row>
    <row r="89" spans="37:37" x14ac:dyDescent="0.3">
      <c r="AK89" s="786"/>
    </row>
    <row r="90" spans="37:37" x14ac:dyDescent="0.3">
      <c r="AK90" s="781">
        <v>395</v>
      </c>
    </row>
    <row r="91" spans="37:37" x14ac:dyDescent="0.3">
      <c r="AK91" s="782"/>
    </row>
    <row r="92" spans="37:37" x14ac:dyDescent="0.3">
      <c r="AK92" s="783"/>
    </row>
    <row r="93" spans="37:37" x14ac:dyDescent="0.3">
      <c r="AK93" s="784">
        <v>100</v>
      </c>
    </row>
    <row r="94" spans="37:37" x14ac:dyDescent="0.3">
      <c r="AK94" s="785"/>
    </row>
    <row r="95" spans="37:37" x14ac:dyDescent="0.3">
      <c r="AK95" s="786"/>
    </row>
    <row r="96" spans="37:37" x14ac:dyDescent="0.3">
      <c r="AK96" s="784">
        <v>100</v>
      </c>
    </row>
    <row r="97" spans="37:37" x14ac:dyDescent="0.3">
      <c r="AK97" s="785"/>
    </row>
    <row r="98" spans="37:37" x14ac:dyDescent="0.3">
      <c r="AK98" s="786"/>
    </row>
    <row r="99" spans="37:37" x14ac:dyDescent="0.3">
      <c r="AK99" s="784">
        <v>100</v>
      </c>
    </row>
    <row r="100" spans="37:37" x14ac:dyDescent="0.3">
      <c r="AK100" s="785"/>
    </row>
    <row r="101" spans="37:37" x14ac:dyDescent="0.3">
      <c r="AK101" s="786"/>
    </row>
    <row r="102" spans="37:37" x14ac:dyDescent="0.3">
      <c r="AK102" s="781">
        <v>120</v>
      </c>
    </row>
    <row r="103" spans="37:37" x14ac:dyDescent="0.3">
      <c r="AK103" s="782"/>
    </row>
    <row r="104" spans="37:37" x14ac:dyDescent="0.3">
      <c r="AK104" s="783"/>
    </row>
    <row r="105" spans="37:37" x14ac:dyDescent="0.3">
      <c r="AK105" s="781">
        <v>110</v>
      </c>
    </row>
    <row r="106" spans="37:37" x14ac:dyDescent="0.3">
      <c r="AK106" s="782"/>
    </row>
    <row r="107" spans="37:37" x14ac:dyDescent="0.3">
      <c r="AK107" s="783"/>
    </row>
    <row r="108" spans="37:37" x14ac:dyDescent="0.3">
      <c r="AK108" s="784">
        <v>100</v>
      </c>
    </row>
    <row r="109" spans="37:37" x14ac:dyDescent="0.3">
      <c r="AK109" s="785"/>
    </row>
    <row r="110" spans="37:37" x14ac:dyDescent="0.3">
      <c r="AK110" s="786"/>
    </row>
    <row r="111" spans="37:37" x14ac:dyDescent="0.3">
      <c r="AK111" s="790">
        <v>100</v>
      </c>
    </row>
    <row r="112" spans="37:37" x14ac:dyDescent="0.3">
      <c r="AK112" s="790"/>
    </row>
    <row r="113" spans="37:37" x14ac:dyDescent="0.3">
      <c r="AK113" s="790"/>
    </row>
  </sheetData>
  <mergeCells count="41">
    <mergeCell ref="AK111:AK113"/>
    <mergeCell ref="AC34:AE34"/>
    <mergeCell ref="AD35:AE35"/>
    <mergeCell ref="AD36:AE36"/>
    <mergeCell ref="AK93:AK95"/>
    <mergeCell ref="AK96:AK98"/>
    <mergeCell ref="AK99:AK101"/>
    <mergeCell ref="AK102:AK104"/>
    <mergeCell ref="AK105:AK107"/>
    <mergeCell ref="AK108:AK110"/>
    <mergeCell ref="AK75:AK77"/>
    <mergeCell ref="AK78:AK80"/>
    <mergeCell ref="AK81:AK83"/>
    <mergeCell ref="AK84:AK86"/>
    <mergeCell ref="AK87:AK89"/>
    <mergeCell ref="AK90:AK92"/>
    <mergeCell ref="AK72:AK74"/>
    <mergeCell ref="AK42:AK44"/>
    <mergeCell ref="B44:B51"/>
    <mergeCell ref="AK45:AK47"/>
    <mergeCell ref="AK48:AK50"/>
    <mergeCell ref="AK51:AK53"/>
    <mergeCell ref="B52:B55"/>
    <mergeCell ref="AK54:AK56"/>
    <mergeCell ref="B56:B67"/>
    <mergeCell ref="AK57:AK59"/>
    <mergeCell ref="AK60:AK62"/>
    <mergeCell ref="AK63:AK65"/>
    <mergeCell ref="AK66:AK68"/>
    <mergeCell ref="B68:E68"/>
    <mergeCell ref="B69:E69"/>
    <mergeCell ref="AK69:AK71"/>
    <mergeCell ref="AK33:AK35"/>
    <mergeCell ref="AK36:AK38"/>
    <mergeCell ref="AK39:AK41"/>
    <mergeCell ref="B4:C4"/>
    <mergeCell ref="B5:B12"/>
    <mergeCell ref="B13:B16"/>
    <mergeCell ref="B17:B29"/>
    <mergeCell ref="B30:B31"/>
    <mergeCell ref="B32:C32"/>
  </mergeCells>
  <conditionalFormatting sqref="AI5:BL31">
    <cfRule type="cellIs" dxfId="52" priority="2" operator="equal">
      <formula>"VAZIO"</formula>
    </cfRule>
  </conditionalFormatting>
  <conditionalFormatting sqref="AI5:BM31">
    <cfRule type="expression" dxfId="51" priority="6">
      <formula>AI5&gt;$BN5</formula>
    </cfRule>
    <cfRule type="expression" dxfId="50" priority="7">
      <formula>AI5&lt;($BN5-0.01)</formula>
    </cfRule>
  </conditionalFormatting>
  <conditionalFormatting sqref="AJ8:BL8 BG9 AJ16:BL16 BD17 AJ24:BL25">
    <cfRule type="cellIs" dxfId="49" priority="3" operator="equal">
      <formula>"""VAZIO"""</formula>
    </cfRule>
  </conditionalFormatting>
  <conditionalFormatting sqref="AM5:BL31">
    <cfRule type="expression" dxfId="48" priority="1">
      <formula>AM5=0</formula>
    </cfRule>
  </conditionalFormatting>
  <conditionalFormatting sqref="BQ5:BQ31">
    <cfRule type="cellIs" dxfId="47" priority="4" operator="greaterThan">
      <formula>0</formula>
    </cfRule>
    <cfRule type="cellIs" dxfId="46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A09FC-0F0F-48EA-817B-0A4A20B33614}">
  <sheetPr>
    <tabColor theme="7" tint="-0.499984740745262"/>
  </sheetPr>
  <dimension ref="B1:BX113"/>
  <sheetViews>
    <sheetView zoomScaleNormal="100" workbookViewId="0">
      <pane xSplit="3" ySplit="4" topLeftCell="AD26" activePane="bottomRight" state="frozen"/>
      <selection pane="topRight" activeCell="D1" sqref="D1"/>
      <selection pane="bottomLeft" activeCell="A5" sqref="A5"/>
      <selection pane="bottomRight" activeCell="AI14" sqref="AI14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4" width="16.4414062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1" spans="2:76" x14ac:dyDescent="0.3">
      <c r="AI1">
        <f>16267+12136+16339</f>
        <v>44742</v>
      </c>
    </row>
    <row r="2" spans="2:76" x14ac:dyDescent="0.3">
      <c r="AI2" s="102">
        <f>12444-AI14</f>
        <v>4109.9000000000015</v>
      </c>
    </row>
    <row r="3" spans="2:76" ht="15" thickBot="1" x14ac:dyDescent="0.35">
      <c r="D3" s="102"/>
      <c r="E3" s="102"/>
      <c r="F3" s="102"/>
      <c r="G3" s="102"/>
      <c r="H3" s="102"/>
      <c r="I3" s="102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1007</v>
      </c>
      <c r="E4" s="344" t="s">
        <v>978</v>
      </c>
      <c r="F4" s="344" t="s">
        <v>977</v>
      </c>
      <c r="G4" s="344" t="s">
        <v>979</v>
      </c>
      <c r="H4" s="344" t="s">
        <v>980</v>
      </c>
      <c r="I4" s="344" t="s">
        <v>981</v>
      </c>
      <c r="J4" s="344" t="s">
        <v>982</v>
      </c>
      <c r="K4" s="344" t="s">
        <v>983</v>
      </c>
      <c r="L4" s="344" t="s">
        <v>984</v>
      </c>
      <c r="M4" s="344" t="s">
        <v>985</v>
      </c>
      <c r="N4" s="344" t="s">
        <v>986</v>
      </c>
      <c r="O4" s="344" t="s">
        <v>987</v>
      </c>
      <c r="P4" s="344" t="s">
        <v>988</v>
      </c>
      <c r="Q4" s="344" t="s">
        <v>989</v>
      </c>
      <c r="R4" s="344" t="s">
        <v>990</v>
      </c>
      <c r="S4" s="344" t="s">
        <v>991</v>
      </c>
      <c r="T4" s="344" t="s">
        <v>992</v>
      </c>
      <c r="U4" s="344" t="s">
        <v>993</v>
      </c>
      <c r="V4" s="344" t="s">
        <v>994</v>
      </c>
      <c r="W4" s="344" t="s">
        <v>995</v>
      </c>
      <c r="X4" s="344" t="s">
        <v>996</v>
      </c>
      <c r="Y4" s="344" t="s">
        <v>997</v>
      </c>
      <c r="Z4" s="344" t="s">
        <v>998</v>
      </c>
      <c r="AA4" s="344" t="s">
        <v>999</v>
      </c>
      <c r="AB4" s="344" t="s">
        <v>1000</v>
      </c>
      <c r="AC4" s="344" t="s">
        <v>1001</v>
      </c>
      <c r="AD4" s="344" t="s">
        <v>1002</v>
      </c>
      <c r="AE4" s="344" t="s">
        <v>1003</v>
      </c>
      <c r="AF4" s="344" t="s">
        <v>1004</v>
      </c>
      <c r="AG4" s="345" t="s">
        <v>1005</v>
      </c>
      <c r="AH4" s="345" t="s">
        <v>1006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50.1</v>
      </c>
      <c r="E5" s="103">
        <v>50.5</v>
      </c>
      <c r="F5" s="103">
        <v>51.7</v>
      </c>
      <c r="G5" s="103">
        <v>37</v>
      </c>
      <c r="H5" s="103">
        <v>50.8</v>
      </c>
      <c r="I5" s="331">
        <v>45.4</v>
      </c>
      <c r="J5" s="103">
        <v>49.3</v>
      </c>
      <c r="K5" s="103">
        <v>53</v>
      </c>
      <c r="L5" s="103">
        <v>62.7</v>
      </c>
      <c r="M5" s="103">
        <v>57</v>
      </c>
      <c r="N5" s="283">
        <v>51.9</v>
      </c>
      <c r="O5" s="103">
        <v>52.4</v>
      </c>
      <c r="P5" s="103">
        <v>48.8</v>
      </c>
      <c r="Q5" s="331">
        <v>31.4</v>
      </c>
      <c r="R5" s="103">
        <v>27.6</v>
      </c>
      <c r="S5" s="103">
        <v>22</v>
      </c>
      <c r="T5" s="103">
        <v>15</v>
      </c>
      <c r="U5" s="103">
        <v>48.6</v>
      </c>
      <c r="V5" s="103">
        <v>30.6</v>
      </c>
      <c r="W5" s="331">
        <v>42.5</v>
      </c>
      <c r="X5" s="103">
        <v>42.8</v>
      </c>
      <c r="Y5" s="103">
        <v>51.5</v>
      </c>
      <c r="Z5" s="104">
        <v>43.6</v>
      </c>
      <c r="AA5" s="332">
        <v>23.1</v>
      </c>
      <c r="AB5" s="333">
        <v>54.4</v>
      </c>
      <c r="AC5" s="629">
        <v>49.9</v>
      </c>
      <c r="AD5" s="104">
        <v>51.6</v>
      </c>
      <c r="AE5" s="104">
        <v>54</v>
      </c>
      <c r="AF5" s="104">
        <v>53.4</v>
      </c>
      <c r="AG5" s="104">
        <v>45.8</v>
      </c>
      <c r="AH5" s="104">
        <v>24.1</v>
      </c>
      <c r="AI5" s="335">
        <f t="shared" ref="AI5:AI13" si="0">SUM(D5:AH5)</f>
        <v>1372.5</v>
      </c>
      <c r="AJ5" s="160">
        <v>12</v>
      </c>
      <c r="AK5" s="336">
        <f t="shared" ref="AK5:AK11" si="1">F5/(AJ5*432)</f>
        <v>9.9729938271604941E-3</v>
      </c>
      <c r="AL5" s="337">
        <f t="shared" ref="AL5:BA5" si="2">IF(OR(D5="",D5="Sem monitoramento"),"VAZIO",IFERROR(D5/($AJ5*24),"-"))</f>
        <v>0.17395833333333333</v>
      </c>
      <c r="AM5" s="338">
        <f t="shared" si="2"/>
        <v>0.17534722222222221</v>
      </c>
      <c r="AN5" s="338">
        <f t="shared" si="2"/>
        <v>0.17951388888888889</v>
      </c>
      <c r="AO5" s="338">
        <f t="shared" si="2"/>
        <v>0.12847222222222221</v>
      </c>
      <c r="AP5" s="338">
        <f t="shared" si="2"/>
        <v>0.17638888888888887</v>
      </c>
      <c r="AQ5" s="338">
        <f t="shared" si="2"/>
        <v>0.15763888888888888</v>
      </c>
      <c r="AR5" s="338">
        <f t="shared" si="2"/>
        <v>0.17118055555555556</v>
      </c>
      <c r="AS5" s="338">
        <f t="shared" si="2"/>
        <v>0.18402777777777779</v>
      </c>
      <c r="AT5" s="338">
        <f t="shared" si="2"/>
        <v>0.21770833333333334</v>
      </c>
      <c r="AU5" s="338">
        <f t="shared" si="2"/>
        <v>0.19791666666666666</v>
      </c>
      <c r="AV5" s="338">
        <f t="shared" si="2"/>
        <v>0.18020833333333333</v>
      </c>
      <c r="AW5" s="338">
        <f t="shared" si="2"/>
        <v>0.18194444444444444</v>
      </c>
      <c r="AX5" s="338">
        <f t="shared" si="2"/>
        <v>0.16944444444444443</v>
      </c>
      <c r="AY5" s="338">
        <f t="shared" si="2"/>
        <v>0.10902777777777778</v>
      </c>
      <c r="AZ5" s="338">
        <f t="shared" si="2"/>
        <v>9.583333333333334E-2</v>
      </c>
      <c r="BA5" s="338">
        <f t="shared" si="2"/>
        <v>7.6388888888888895E-2</v>
      </c>
      <c r="BB5" s="338">
        <f t="shared" ref="AV5:BJ20" si="3">IF(OR(T5="",T5="Sem monitoramento"),"VAZIO",IFERROR(T5/($AJ5*24),"-"))</f>
        <v>5.2083333333333336E-2</v>
      </c>
      <c r="BC5" s="338">
        <f t="shared" si="3"/>
        <v>0.16875000000000001</v>
      </c>
      <c r="BD5" s="338">
        <f t="shared" si="3"/>
        <v>0.10625000000000001</v>
      </c>
      <c r="BE5" s="338">
        <f t="shared" si="3"/>
        <v>0.14756944444444445</v>
      </c>
      <c r="BF5" s="338">
        <f t="shared" si="3"/>
        <v>0.14861111111111111</v>
      </c>
      <c r="BG5" s="338">
        <f t="shared" si="3"/>
        <v>0.17881944444444445</v>
      </c>
      <c r="BH5" s="338">
        <f t="shared" si="3"/>
        <v>0.15138888888888891</v>
      </c>
      <c r="BI5" s="338">
        <f t="shared" si="3"/>
        <v>8.020833333333334E-2</v>
      </c>
      <c r="BJ5" s="338">
        <f t="shared" si="3"/>
        <v>0.18888888888888888</v>
      </c>
      <c r="BK5" s="338" t="e">
        <f>IF(OR(#REF!="",#REF!="Sem monitoramento"),"VAZIO",IFERROR(#REF!/($AJ5*24),"-"))</f>
        <v>#REF!</v>
      </c>
      <c r="BL5" s="338">
        <f t="shared" ref="BL5:BO20" si="4">IF(OR(AD5="",AD5="Sem monitoramento"),"VAZIO",IFERROR(AD5/($AJ5*24),"-"))</f>
        <v>0.17916666666666667</v>
      </c>
      <c r="BM5" s="338">
        <f t="shared" si="4"/>
        <v>0.1875</v>
      </c>
      <c r="BN5" s="338">
        <f t="shared" si="4"/>
        <v>0.18541666666666667</v>
      </c>
      <c r="BO5" s="338">
        <f t="shared" si="4"/>
        <v>0.15902777777777777</v>
      </c>
      <c r="BP5" s="339">
        <f t="shared" ref="BP5:BP31" si="5">AI5/(AJ5*(COUNTA(D5:AG5)*24))</f>
        <v>0.15885416666666666</v>
      </c>
      <c r="BQ5" s="180">
        <f>'FCs estimados em PVsyst'!Y3</f>
        <v>0.1804398148148148</v>
      </c>
      <c r="BR5" s="340">
        <f t="shared" ref="BR5:BR11" si="6">AJ5*BQ5</f>
        <v>2.1652777777777779</v>
      </c>
      <c r="BS5" s="341">
        <f t="shared" ref="BS5:BS11" si="7">AN5-BQ5</f>
        <v>-9.2592592592591338E-4</v>
      </c>
      <c r="BT5" s="342">
        <f t="shared" ref="BT5:BT30" si="8">BP5-BQ5</f>
        <v>-2.1585648148148145E-2</v>
      </c>
      <c r="BU5" s="15" t="s">
        <v>7</v>
      </c>
      <c r="BV5" s="75" t="s">
        <v>107</v>
      </c>
      <c r="BW5" s="7">
        <f>COUNTIF(BT5:BT29,"&gt;0")</f>
        <v>12</v>
      </c>
      <c r="BX5" s="2"/>
    </row>
    <row r="6" spans="2:76" x14ac:dyDescent="0.3">
      <c r="B6" s="771"/>
      <c r="C6" s="325" t="s">
        <v>8</v>
      </c>
      <c r="D6" s="62">
        <v>303</v>
      </c>
      <c r="E6" s="63">
        <v>272.3</v>
      </c>
      <c r="F6" s="63">
        <v>297.8</v>
      </c>
      <c r="G6" s="63">
        <v>233.3</v>
      </c>
      <c r="H6" s="63">
        <v>298.89999999999998</v>
      </c>
      <c r="I6" s="283">
        <v>293.89999999999998</v>
      </c>
      <c r="J6" s="63">
        <v>287.7</v>
      </c>
      <c r="K6" s="283">
        <v>266.2</v>
      </c>
      <c r="L6" s="283">
        <v>367.4</v>
      </c>
      <c r="M6" s="63">
        <v>359.4</v>
      </c>
      <c r="N6" s="283">
        <v>216.2</v>
      </c>
      <c r="O6" s="283">
        <v>336.5</v>
      </c>
      <c r="P6" s="283">
        <v>288.10000000000002</v>
      </c>
      <c r="Q6" s="283">
        <v>244.2</v>
      </c>
      <c r="R6" s="63">
        <v>145.80000000000001</v>
      </c>
      <c r="S6" s="63">
        <v>128.6</v>
      </c>
      <c r="T6" s="63">
        <v>81.900000000000006</v>
      </c>
      <c r="U6" s="63">
        <v>293.2</v>
      </c>
      <c r="V6" s="63">
        <v>172.1</v>
      </c>
      <c r="W6" s="283">
        <v>248.1</v>
      </c>
      <c r="X6" s="63">
        <v>246.9</v>
      </c>
      <c r="Y6" s="63">
        <v>296.2</v>
      </c>
      <c r="Z6" s="221">
        <v>258.8</v>
      </c>
      <c r="AA6" s="320">
        <v>134.19999999999999</v>
      </c>
      <c r="AB6" s="20">
        <v>304.3</v>
      </c>
      <c r="AC6" s="31">
        <v>288.5</v>
      </c>
      <c r="AD6" s="15">
        <v>316.5</v>
      </c>
      <c r="AE6" s="15">
        <v>343.3</v>
      </c>
      <c r="AF6" s="15">
        <v>355.2</v>
      </c>
      <c r="AG6" s="15">
        <v>264.3</v>
      </c>
      <c r="AH6" s="15">
        <v>142.80000000000001</v>
      </c>
      <c r="AI6" s="335">
        <f t="shared" si="0"/>
        <v>8085.6</v>
      </c>
      <c r="AJ6" s="118">
        <v>67</v>
      </c>
      <c r="AK6" s="121">
        <f t="shared" si="1"/>
        <v>1.0288833609729132E-2</v>
      </c>
      <c r="AL6" s="67">
        <f t="shared" ref="AL6:AU7" si="9">IF(OR(D6="",D6="Sem monitoramento"),"VAZIO",IFERROR(D6/($AJ6*24),"-"))</f>
        <v>0.18843283582089551</v>
      </c>
      <c r="AM6" s="68">
        <f t="shared" si="9"/>
        <v>0.16934079601990051</v>
      </c>
      <c r="AN6" s="68">
        <f t="shared" si="9"/>
        <v>0.1851990049751244</v>
      </c>
      <c r="AO6" s="68">
        <f t="shared" si="9"/>
        <v>0.14508706467661692</v>
      </c>
      <c r="AP6" s="68">
        <f t="shared" si="9"/>
        <v>0.18588308457711442</v>
      </c>
      <c r="AQ6" s="68">
        <f t="shared" si="9"/>
        <v>0.18277363184079601</v>
      </c>
      <c r="AR6" s="68">
        <f t="shared" si="9"/>
        <v>0.17891791044776117</v>
      </c>
      <c r="AS6" s="68">
        <f t="shared" si="9"/>
        <v>0.16554726368159203</v>
      </c>
      <c r="AT6" s="68">
        <f t="shared" si="9"/>
        <v>0.22848258706467661</v>
      </c>
      <c r="AU6" s="68">
        <f t="shared" si="9"/>
        <v>0.22350746268656715</v>
      </c>
      <c r="AV6" s="68">
        <f t="shared" si="3"/>
        <v>0.13445273631840796</v>
      </c>
      <c r="AW6" s="68">
        <f t="shared" si="3"/>
        <v>0.20926616915422885</v>
      </c>
      <c r="AX6" s="68">
        <f t="shared" si="3"/>
        <v>0.17916666666666667</v>
      </c>
      <c r="AY6" s="68">
        <f t="shared" si="3"/>
        <v>0.15186567164179104</v>
      </c>
      <c r="AZ6" s="68">
        <f t="shared" si="3"/>
        <v>9.0671641791044782E-2</v>
      </c>
      <c r="BA6" s="68">
        <f t="shared" si="3"/>
        <v>7.9975124378109455E-2</v>
      </c>
      <c r="BB6" s="68">
        <f t="shared" si="3"/>
        <v>5.0932835820895528E-2</v>
      </c>
      <c r="BC6" s="68">
        <f t="shared" si="3"/>
        <v>0.18233830845771143</v>
      </c>
      <c r="BD6" s="68">
        <f t="shared" si="3"/>
        <v>0.1070273631840796</v>
      </c>
      <c r="BE6" s="68">
        <f t="shared" si="3"/>
        <v>0.15429104477611941</v>
      </c>
      <c r="BF6" s="68">
        <f t="shared" si="3"/>
        <v>0.15354477611940298</v>
      </c>
      <c r="BG6" s="68">
        <f t="shared" si="3"/>
        <v>0.18420398009950248</v>
      </c>
      <c r="BH6" s="68">
        <f t="shared" si="3"/>
        <v>0.1609452736318408</v>
      </c>
      <c r="BI6" s="68">
        <f t="shared" si="3"/>
        <v>8.3457711442786062E-2</v>
      </c>
      <c r="BJ6" s="68">
        <f t="shared" si="3"/>
        <v>0.18924129353233832</v>
      </c>
      <c r="BK6" s="68">
        <f>IF(OR(AC5="",AC5="Sem monitoramento"),"VAZIO",IFERROR(AC5/($AJ6*24),"-"))</f>
        <v>3.103233830845771E-2</v>
      </c>
      <c r="BL6" s="68">
        <f t="shared" si="4"/>
        <v>0.19682835820895522</v>
      </c>
      <c r="BM6" s="68">
        <f t="shared" si="4"/>
        <v>0.21349502487562189</v>
      </c>
      <c r="BN6" s="68">
        <f t="shared" si="4"/>
        <v>0.22089552238805971</v>
      </c>
      <c r="BO6" s="68">
        <f t="shared" si="4"/>
        <v>0.16436567164179106</v>
      </c>
      <c r="BP6" s="70">
        <f t="shared" si="5"/>
        <v>0.16761194029850748</v>
      </c>
      <c r="BQ6" s="180">
        <f>'FCs estimados em PVsyst'!Y4</f>
        <v>0.1868988391376451</v>
      </c>
      <c r="BR6" s="72">
        <f t="shared" si="6"/>
        <v>12.522222222222222</v>
      </c>
      <c r="BS6" s="73">
        <f t="shared" si="7"/>
        <v>-1.6998341625207025E-3</v>
      </c>
      <c r="BT6" s="74">
        <f t="shared" si="8"/>
        <v>-1.9286898839137617E-2</v>
      </c>
      <c r="BU6" s="15" t="s">
        <v>8</v>
      </c>
      <c r="BV6" s="77" t="s">
        <v>108</v>
      </c>
      <c r="BW6" s="78">
        <f>(COUNTA(BU5:BU29)-BW5-BW7)</f>
        <v>1</v>
      </c>
      <c r="BX6" s="2"/>
    </row>
    <row r="7" spans="2:76" x14ac:dyDescent="0.3">
      <c r="B7" s="771"/>
      <c r="C7" s="326" t="s">
        <v>9</v>
      </c>
      <c r="D7" s="223">
        <v>222.3</v>
      </c>
      <c r="E7" s="63">
        <v>222.9</v>
      </c>
      <c r="F7" s="63">
        <v>204.7</v>
      </c>
      <c r="G7" s="63">
        <v>164.1</v>
      </c>
      <c r="H7" s="63">
        <v>232</v>
      </c>
      <c r="I7" s="283">
        <v>196.8</v>
      </c>
      <c r="J7" s="63">
        <v>211.2</v>
      </c>
      <c r="K7" s="63">
        <v>236</v>
      </c>
      <c r="L7" s="283">
        <v>268.39999999999998</v>
      </c>
      <c r="M7" s="283">
        <v>237.1</v>
      </c>
      <c r="N7" s="283">
        <v>212.9</v>
      </c>
      <c r="O7" s="360">
        <v>217.2</v>
      </c>
      <c r="P7" s="283">
        <v>202</v>
      </c>
      <c r="Q7" s="283">
        <v>123.2</v>
      </c>
      <c r="R7" s="283">
        <v>121.3</v>
      </c>
      <c r="S7" s="283">
        <v>100.5</v>
      </c>
      <c r="T7" s="283">
        <v>69.3</v>
      </c>
      <c r="U7" s="63">
        <v>216.2</v>
      </c>
      <c r="V7" s="283">
        <v>136.9</v>
      </c>
      <c r="W7" s="283">
        <v>190.4</v>
      </c>
      <c r="X7" s="283">
        <v>188.1</v>
      </c>
      <c r="Y7" s="283">
        <v>225</v>
      </c>
      <c r="Z7" s="15">
        <v>193.4</v>
      </c>
      <c r="AA7" s="519">
        <v>107</v>
      </c>
      <c r="AB7" s="323">
        <v>236.3</v>
      </c>
      <c r="AC7" s="221">
        <v>219.4</v>
      </c>
      <c r="AD7" s="221">
        <v>201.1</v>
      </c>
      <c r="AE7" s="221">
        <v>230</v>
      </c>
      <c r="AF7" s="221">
        <v>234.1</v>
      </c>
      <c r="AG7" s="221">
        <v>196.1</v>
      </c>
      <c r="AH7" s="221">
        <v>105.9</v>
      </c>
      <c r="AI7" s="335">
        <f t="shared" si="0"/>
        <v>5921.8</v>
      </c>
      <c r="AJ7" s="118">
        <v>49</v>
      </c>
      <c r="AK7" s="121">
        <f t="shared" si="1"/>
        <v>9.6702569916855621E-3</v>
      </c>
      <c r="AL7" s="67">
        <f t="shared" si="9"/>
        <v>0.18903061224489798</v>
      </c>
      <c r="AM7" s="68">
        <f t="shared" si="9"/>
        <v>0.18954081632653061</v>
      </c>
      <c r="AN7" s="68">
        <f t="shared" si="9"/>
        <v>0.17406462585034013</v>
      </c>
      <c r="AO7" s="68">
        <f t="shared" si="9"/>
        <v>0.13954081632653062</v>
      </c>
      <c r="AP7" s="68">
        <f t="shared" si="9"/>
        <v>0.19727891156462585</v>
      </c>
      <c r="AQ7" s="68">
        <f t="shared" si="9"/>
        <v>0.16734693877551021</v>
      </c>
      <c r="AR7" s="68">
        <f t="shared" si="9"/>
        <v>0.17959183673469387</v>
      </c>
      <c r="AS7" s="68">
        <f t="shared" si="9"/>
        <v>0.20068027210884354</v>
      </c>
      <c r="AT7" s="68">
        <f t="shared" si="9"/>
        <v>0.22823129251700677</v>
      </c>
      <c r="AU7" s="68">
        <f t="shared" si="9"/>
        <v>0.20161564625850339</v>
      </c>
      <c r="AV7" s="68">
        <f t="shared" ref="AV7:BA8" si="10">IF(OR(N7="",N7="Sem monitoramento"),"VAZIO",IFERROR(N7/($AJ7*24),"-"))</f>
        <v>0.18103741496598641</v>
      </c>
      <c r="AW7" s="68">
        <f t="shared" si="10"/>
        <v>0.1846938775510204</v>
      </c>
      <c r="AX7" s="68">
        <f t="shared" si="10"/>
        <v>0.17176870748299319</v>
      </c>
      <c r="AY7" s="68">
        <f t="shared" si="10"/>
        <v>0.10476190476190476</v>
      </c>
      <c r="AZ7" s="68">
        <f t="shared" si="10"/>
        <v>0.10314625850340135</v>
      </c>
      <c r="BA7" s="68">
        <f t="shared" si="10"/>
        <v>8.5459183673469385E-2</v>
      </c>
      <c r="BB7" s="68">
        <f t="shared" si="3"/>
        <v>5.8928571428571427E-2</v>
      </c>
      <c r="BC7" s="68">
        <f t="shared" si="3"/>
        <v>0.18384353741496598</v>
      </c>
      <c r="BD7" s="68">
        <f t="shared" si="3"/>
        <v>0.11641156462585034</v>
      </c>
      <c r="BE7" s="68">
        <f t="shared" si="3"/>
        <v>0.16190476190476191</v>
      </c>
      <c r="BF7" s="68">
        <f t="shared" si="3"/>
        <v>0.15994897959183674</v>
      </c>
      <c r="BG7" s="68">
        <f t="shared" si="3"/>
        <v>0.19132653061224489</v>
      </c>
      <c r="BH7" s="68">
        <f t="shared" si="3"/>
        <v>0.16445578231292518</v>
      </c>
      <c r="BI7" s="68">
        <f>IF(OR(AA11="",AA11="Sem monitoramento"),"VAZIO",IFERROR(AA11/($AJ7*24),"-"))</f>
        <v>0.14863945578231294</v>
      </c>
      <c r="BJ7" s="68">
        <f>IF(OR(AB7="",AB7="Sem monitoramento"),"VAZIO",IFERROR(AB7/($AJ7*24),"-"))</f>
        <v>0.20093537414965987</v>
      </c>
      <c r="BK7" s="68" t="e">
        <f>IF(OR(#REF!="",#REF!="Sem monitoramento"),"VAZIO",IFERROR(#REF!/($AJ7*24),"-"))</f>
        <v>#REF!</v>
      </c>
      <c r="BL7" s="68">
        <f t="shared" si="4"/>
        <v>0.1710034013605442</v>
      </c>
      <c r="BM7" s="68">
        <f t="shared" si="4"/>
        <v>0.195578231292517</v>
      </c>
      <c r="BN7" s="68">
        <f t="shared" si="4"/>
        <v>0.19906462585034013</v>
      </c>
      <c r="BO7" s="68" t="e">
        <f>IF(OR(#REF!="",#REF!="Sem monitoramento"),"VAZIO",IFERROR(#REF!/($AJ7*24),"-"))</f>
        <v>#REF!</v>
      </c>
      <c r="BP7" s="70">
        <f t="shared" si="5"/>
        <v>0.16785147392290251</v>
      </c>
      <c r="BQ7" s="180">
        <f>'FCs estimados em PVsyst'!Y5</f>
        <v>0.17987528344671203</v>
      </c>
      <c r="BR7" s="72">
        <f t="shared" si="6"/>
        <v>8.81388888888889</v>
      </c>
      <c r="BS7" s="73">
        <f t="shared" si="7"/>
        <v>-5.8106575963718932E-3</v>
      </c>
      <c r="BT7" s="74">
        <f t="shared" si="8"/>
        <v>-1.202380952380952E-2</v>
      </c>
      <c r="BU7" s="15" t="s">
        <v>9</v>
      </c>
      <c r="BV7" s="79" t="s">
        <v>109</v>
      </c>
      <c r="BW7" s="80">
        <f>COUNTIF(BT5:BT29,"&lt;-0,01")</f>
        <v>12</v>
      </c>
      <c r="BX7" s="2"/>
    </row>
    <row r="8" spans="2:76" x14ac:dyDescent="0.3">
      <c r="B8" s="771"/>
      <c r="C8" s="326" t="s">
        <v>10</v>
      </c>
      <c r="D8" s="223">
        <v>128</v>
      </c>
      <c r="E8" s="63">
        <v>128.5</v>
      </c>
      <c r="F8" s="63">
        <v>114.8</v>
      </c>
      <c r="G8" s="63">
        <v>94.8</v>
      </c>
      <c r="H8" s="63">
        <v>127</v>
      </c>
      <c r="I8" s="63">
        <v>113.4</v>
      </c>
      <c r="J8" s="63">
        <v>120.3</v>
      </c>
      <c r="K8" s="63">
        <v>132.69999999999999</v>
      </c>
      <c r="L8" s="283">
        <v>153.6</v>
      </c>
      <c r="M8" s="283">
        <v>129.69999999999999</v>
      </c>
      <c r="N8" s="283">
        <v>122</v>
      </c>
      <c r="O8" s="63">
        <v>123.7</v>
      </c>
      <c r="P8" s="283">
        <v>111</v>
      </c>
      <c r="Q8" s="283">
        <v>65.8</v>
      </c>
      <c r="R8" s="63">
        <v>69.5</v>
      </c>
      <c r="S8" s="63">
        <v>57.5</v>
      </c>
      <c r="T8" s="63">
        <v>40.200000000000003</v>
      </c>
      <c r="U8" s="63">
        <v>121.6</v>
      </c>
      <c r="V8" s="63">
        <v>79</v>
      </c>
      <c r="W8" s="283">
        <v>105.5</v>
      </c>
      <c r="X8" s="283">
        <v>104</v>
      </c>
      <c r="Y8" s="283">
        <v>128.30000000000001</v>
      </c>
      <c r="Z8" s="15">
        <v>110.3</v>
      </c>
      <c r="AA8" s="519">
        <v>60.8</v>
      </c>
      <c r="AB8" s="323">
        <v>133.69999999999999</v>
      </c>
      <c r="AC8" s="221">
        <v>119.5</v>
      </c>
      <c r="AD8" s="221">
        <v>113.1</v>
      </c>
      <c r="AE8" s="221">
        <v>125.5</v>
      </c>
      <c r="AF8" s="221">
        <v>131.6</v>
      </c>
      <c r="AG8" s="221">
        <v>112.2</v>
      </c>
      <c r="AH8" s="221">
        <v>61.1</v>
      </c>
      <c r="AI8" s="335">
        <f t="shared" si="0"/>
        <v>3338.7</v>
      </c>
      <c r="AJ8" s="118">
        <v>33</v>
      </c>
      <c r="AK8" s="121">
        <f t="shared" si="1"/>
        <v>8.0527497194163855E-3</v>
      </c>
      <c r="AL8" s="67">
        <f>IF(OR(D8="",D8="Sem monitoramento"),"VAZIO",IFERROR(D8/($AJ8*24),"-"))</f>
        <v>0.16161616161616163</v>
      </c>
      <c r="AM8" s="68">
        <f>IF(OR(E8="",E8="Sem monitoramento"),"VAZIO",IFERROR(E8/($AJ8*24),"-"))</f>
        <v>0.16224747474747475</v>
      </c>
      <c r="AN8" s="68">
        <f>IF(OR(F8="",F8="Sem monitoramento"),"VAZIO",IFERROR(F8/($AJ8*24),"-"))</f>
        <v>0.14494949494949494</v>
      </c>
      <c r="AO8" s="68">
        <f>IF(OR(G8="",G8="Sem monitoramento"),"VAZIO",IFERROR(G8/($AJ8*24),"-"))</f>
        <v>0.11969696969696969</v>
      </c>
      <c r="AP8" s="68">
        <f>IF(OR(H8="",H8="Sem monitoramento"),"VAZIO",IFERROR(H8/($AJ8*24),"-"))</f>
        <v>0.16035353535353536</v>
      </c>
      <c r="AQ8" s="68" t="e">
        <f>IF(OR(#REF!="",#REF!="Sem monitoramento"),"VAZIO",IFERROR(#REF!/($AJ8*24),"-"))</f>
        <v>#REF!</v>
      </c>
      <c r="AR8" s="68">
        <f>IF(OR(J8="",J8="Sem monitoramento"),"VAZIO",IFERROR(J8/($AJ8*24),"-"))</f>
        <v>0.15189393939393939</v>
      </c>
      <c r="AS8" s="68">
        <f>IF(OR(K8="",K8="Sem monitoramento"),"VAZIO",IFERROR(K8/($AJ8*24),"-"))</f>
        <v>0.16755050505050503</v>
      </c>
      <c r="AT8" s="68">
        <f>IF(OR(L8="",L8="Sem monitoramento"),"VAZIO",IFERROR(L8/($AJ8*24),"-"))</f>
        <v>0.19393939393939394</v>
      </c>
      <c r="AU8" s="68">
        <f>IF(OR(M8="",M8="Sem monitoramento"),"VAZIO",IFERROR(M8/($AJ8*24),"-"))</f>
        <v>0.16376262626262625</v>
      </c>
      <c r="AV8" s="68">
        <f t="shared" si="10"/>
        <v>0.15404040404040403</v>
      </c>
      <c r="AW8" s="68">
        <f t="shared" si="10"/>
        <v>0.15618686868686868</v>
      </c>
      <c r="AX8" s="68">
        <f t="shared" si="10"/>
        <v>0.14015151515151514</v>
      </c>
      <c r="AY8" s="68">
        <f t="shared" si="10"/>
        <v>8.3080808080808075E-2</v>
      </c>
      <c r="AZ8" s="68">
        <f t="shared" si="10"/>
        <v>8.7752525252525249E-2</v>
      </c>
      <c r="BA8" s="68">
        <f t="shared" si="10"/>
        <v>7.2601010101010097E-2</v>
      </c>
      <c r="BB8" s="68">
        <f t="shared" si="3"/>
        <v>5.0757575757575758E-2</v>
      </c>
      <c r="BC8" s="68">
        <f t="shared" si="3"/>
        <v>0.15353535353535352</v>
      </c>
      <c r="BD8" s="68">
        <f t="shared" si="3"/>
        <v>9.9747474747474751E-2</v>
      </c>
      <c r="BE8" s="68">
        <f t="shared" si="3"/>
        <v>0.13320707070707072</v>
      </c>
      <c r="BF8" s="68">
        <f t="shared" si="3"/>
        <v>0.13131313131313133</v>
      </c>
      <c r="BG8" s="68">
        <f t="shared" si="3"/>
        <v>0.1619949494949495</v>
      </c>
      <c r="BH8" s="68">
        <f t="shared" si="3"/>
        <v>0.13926767676767676</v>
      </c>
      <c r="BI8" s="68">
        <f t="shared" si="3"/>
        <v>7.6767676767676762E-2</v>
      </c>
      <c r="BJ8" s="68">
        <f>IF(OR(AB8="",AB8="Sem monitoramento"),"VAZIO",IFERROR(AB8/($AJ8*24),"-"))</f>
        <v>0.1688131313131313</v>
      </c>
      <c r="BK8" s="68" t="e">
        <f>IF(OR(#REF!="",#REF!="Sem monitoramento"),"VAZIO",IFERROR(#REF!/($AJ8*24),"-"))</f>
        <v>#REF!</v>
      </c>
      <c r="BL8" s="68">
        <f t="shared" si="4"/>
        <v>0.14280303030303029</v>
      </c>
      <c r="BM8" s="68">
        <f t="shared" si="4"/>
        <v>0.15845959595959597</v>
      </c>
      <c r="BN8" s="68">
        <f t="shared" si="4"/>
        <v>0.16616161616161615</v>
      </c>
      <c r="BO8" s="68" t="e">
        <f>IF(OR(#REF!="",#REF!="Sem monitoramento"),"VAZIO",IFERROR(#REF!/($AJ8*24),"-"))</f>
        <v>#REF!</v>
      </c>
      <c r="BP8" s="70">
        <f t="shared" si="5"/>
        <v>0.14051767676767676</v>
      </c>
      <c r="BQ8" s="180">
        <f>'FCs estimados em PVsyst'!Y6</f>
        <v>0.18501683501683502</v>
      </c>
      <c r="BR8" s="72">
        <f t="shared" si="6"/>
        <v>6.1055555555555561</v>
      </c>
      <c r="BS8" s="73">
        <f t="shared" si="7"/>
        <v>-4.0067340067340085E-2</v>
      </c>
      <c r="BT8" s="74">
        <f t="shared" si="8"/>
        <v>-4.449915824915826E-2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572">
        <v>44.7</v>
      </c>
      <c r="E9" s="63">
        <v>38</v>
      </c>
      <c r="F9" s="63">
        <v>46.4</v>
      </c>
      <c r="G9" s="82">
        <v>36.5</v>
      </c>
      <c r="H9" s="82">
        <v>45.4</v>
      </c>
      <c r="I9" s="308">
        <v>42.9</v>
      </c>
      <c r="J9" s="316">
        <v>45</v>
      </c>
      <c r="K9" s="316">
        <v>44.5</v>
      </c>
      <c r="L9" s="63">
        <v>50.5</v>
      </c>
      <c r="M9" s="63">
        <v>47.5</v>
      </c>
      <c r="N9" s="63">
        <v>45.9</v>
      </c>
      <c r="O9" s="63">
        <v>56.1</v>
      </c>
      <c r="P9" s="316">
        <v>53.8</v>
      </c>
      <c r="Q9" s="283">
        <v>45.6</v>
      </c>
      <c r="R9" s="308">
        <v>27.2</v>
      </c>
      <c r="S9" s="63">
        <v>23.3</v>
      </c>
      <c r="T9" s="63">
        <v>13.4</v>
      </c>
      <c r="U9" s="316">
        <v>50.2</v>
      </c>
      <c r="V9" s="63">
        <v>29.8</v>
      </c>
      <c r="W9" s="283">
        <v>44.2</v>
      </c>
      <c r="X9" s="63">
        <v>46.3</v>
      </c>
      <c r="Y9" s="63">
        <v>49.5</v>
      </c>
      <c r="Z9" s="148">
        <v>42.2</v>
      </c>
      <c r="AA9" s="18">
        <v>22.5</v>
      </c>
      <c r="AB9" s="323">
        <v>54.1</v>
      </c>
      <c r="AC9" s="489">
        <v>43.6</v>
      </c>
      <c r="AD9" s="15">
        <v>56.2</v>
      </c>
      <c r="AE9" s="15">
        <v>51.9</v>
      </c>
      <c r="AF9" s="15">
        <v>54.1</v>
      </c>
      <c r="AG9" s="15">
        <v>48.8</v>
      </c>
      <c r="AH9" s="15">
        <v>23.2</v>
      </c>
      <c r="AI9" s="656">
        <f t="shared" si="0"/>
        <v>1323.3</v>
      </c>
      <c r="AJ9" s="118">
        <v>12</v>
      </c>
      <c r="AK9" s="121">
        <f t="shared" si="1"/>
        <v>8.9506172839506175E-3</v>
      </c>
      <c r="AL9" s="67">
        <f>IF(OR(D10="",D10="Sem monitoramento"),"VAZIO",IFERROR(D10/($AJ9*24),"-"))</f>
        <v>0.10590277777777778</v>
      </c>
      <c r="AM9" s="68">
        <f>IF(OR(E9="",E9="Sem monitoramento"),"VAZIO",IFERROR(E9/($AJ9*24),"-"))</f>
        <v>0.13194444444444445</v>
      </c>
      <c r="AN9" s="68">
        <f>IF(OR(F9="",F9="Sem monitoramento"),"VAZIO",IFERROR(F9/($AJ9*24),"-"))</f>
        <v>0.16111111111111109</v>
      </c>
      <c r="AO9" s="68">
        <f>IF(OR(G9="",G9="Sem monitoramento"),"VAZIO",IFERROR(G9/($AJ9*24),"-"))</f>
        <v>0.1267361111111111</v>
      </c>
      <c r="AP9" s="68">
        <f>IF(OR(H9="",H9="Sem monitoramento"),"VAZIO",IFERROR(H9/($AJ9*24),"-"))</f>
        <v>0.15763888888888888</v>
      </c>
      <c r="AQ9" s="68">
        <f>IF(OR(I9="",I9="Sem monitoramento"),"VAZIO",IFERROR(I9/($AJ9*24),"-"))</f>
        <v>0.14895833333333333</v>
      </c>
      <c r="AR9" s="68">
        <f>IF(OR(J10="",J10="Sem monitoramento"),"VAZIO",IFERROR(J10/($AJ9*24),"-"))</f>
        <v>0.10416666666666667</v>
      </c>
      <c r="AS9" s="68">
        <f>IF(OR(K10="",K10="Sem monitoramento"),"VAZIO",IFERROR(K10/($AJ9*24),"-"))</f>
        <v>9.8611111111111108E-2</v>
      </c>
      <c r="AT9" s="68">
        <f t="shared" ref="AT9:AW10" si="11">IF(OR(L9="",L9="Sem monitoramento"),"VAZIO",IFERROR(L9/($AJ9*24),"-"))</f>
        <v>0.17534722222222221</v>
      </c>
      <c r="AU9" s="68">
        <f t="shared" si="11"/>
        <v>0.16493055555555555</v>
      </c>
      <c r="AV9" s="68">
        <f t="shared" si="11"/>
        <v>0.15937499999999999</v>
      </c>
      <c r="AW9" s="68">
        <f t="shared" si="11"/>
        <v>0.19479166666666667</v>
      </c>
      <c r="AX9" s="68">
        <f>IF(OR(P10="",P10="Sem monitoramento"),"VAZIO",IFERROR(P10/($AJ9*24),"-"))</f>
        <v>0.16875000000000001</v>
      </c>
      <c r="AY9" s="68">
        <f>IF(OR(Q9="",Q9="Sem monitoramento"),"VAZIO",IFERROR(Q9/($AJ9*24),"-"))</f>
        <v>0.15833333333333333</v>
      </c>
      <c r="AZ9" s="68">
        <f>IF(OR(R9="",R9="Sem monitoramento"),"VAZIO",IFERROR(R9/($AJ9*24),"-"))</f>
        <v>9.4444444444444442E-2</v>
      </c>
      <c r="BA9" s="68">
        <f>IF(OR(S9="",S9="Sem monitoramento"),"VAZIO",IFERROR(S9/($AJ9*24),"-"))</f>
        <v>8.0902777777777782E-2</v>
      </c>
      <c r="BB9" s="68">
        <f t="shared" si="3"/>
        <v>4.6527777777777779E-2</v>
      </c>
      <c r="BC9" s="68">
        <f>IF(OR(U7="",U7="Sem monitoramento"),"VAZIO",IFERROR(U7/($AJ9*24),"-"))</f>
        <v>0.75069444444444444</v>
      </c>
      <c r="BD9" s="68">
        <f t="shared" si="3"/>
        <v>0.10347222222222223</v>
      </c>
      <c r="BE9" s="68">
        <f t="shared" si="3"/>
        <v>0.15347222222222223</v>
      </c>
      <c r="BF9" s="68">
        <f t="shared" si="3"/>
        <v>0.16076388888888887</v>
      </c>
      <c r="BG9" s="68">
        <f t="shared" si="3"/>
        <v>0.171875</v>
      </c>
      <c r="BH9" s="68">
        <f>IF(OR(Z10="",Z10="Sem monitoramento"),"VAZIO",IFERROR(Z10/($AJ9*24),"-"))</f>
        <v>6.8750000000000006E-2</v>
      </c>
      <c r="BI9" s="68">
        <f>IF(OR(AA9="",AA9="Sem monitoramento"),"VAZIO",IFERROR(AA9/($AJ9*24),"-"))</f>
        <v>7.8125E-2</v>
      </c>
      <c r="BJ9" s="68">
        <f>IF(OR(AB9="",AB9="Sem monitoramento"),"VAZIO",IFERROR(AB9/($AJ9*24),"-"))</f>
        <v>0.18784722222222222</v>
      </c>
      <c r="BK9" s="68">
        <f>IF(OR(AC7="",AC7="Sem monitoramento"),"VAZIO",IFERROR(AC7/($AJ9*24),"-"))</f>
        <v>0.76180555555555562</v>
      </c>
      <c r="BL9" s="68">
        <f t="shared" si="4"/>
        <v>0.19513888888888889</v>
      </c>
      <c r="BM9" s="68">
        <f t="shared" si="4"/>
        <v>0.18020833333333333</v>
      </c>
      <c r="BN9" s="68">
        <f t="shared" si="4"/>
        <v>0.18784722222222222</v>
      </c>
      <c r="BO9" s="68">
        <f>IF(OR(AG7="",AG7="Sem monitoramento"),"VAZIO",IFERROR(AG7/($AJ9*24),"-"))</f>
        <v>0.68090277777777775</v>
      </c>
      <c r="BP9" s="70">
        <f t="shared" si="5"/>
        <v>0.15315972222222221</v>
      </c>
      <c r="BQ9" s="180">
        <f>'FCs estimados em PVsyst'!Y7</f>
        <v>0.18333333333333332</v>
      </c>
      <c r="BR9" s="72">
        <f t="shared" si="6"/>
        <v>2.1999999999999997</v>
      </c>
      <c r="BS9" s="73">
        <f t="shared" si="7"/>
        <v>-2.2222222222222227E-2</v>
      </c>
      <c r="BT9" s="74">
        <f t="shared" si="8"/>
        <v>-3.0173611111111109E-2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30.5</v>
      </c>
      <c r="E10" s="63">
        <v>25.8</v>
      </c>
      <c r="F10" s="63">
        <v>31.2</v>
      </c>
      <c r="G10" s="82">
        <v>24.1</v>
      </c>
      <c r="H10" s="308">
        <v>30.4</v>
      </c>
      <c r="I10" s="519">
        <v>27.6</v>
      </c>
      <c r="J10" s="63">
        <v>30</v>
      </c>
      <c r="K10" s="283">
        <v>28.4</v>
      </c>
      <c r="L10" s="63">
        <v>32.9</v>
      </c>
      <c r="M10" s="63">
        <v>30.9</v>
      </c>
      <c r="N10" s="63">
        <v>29.5</v>
      </c>
      <c r="O10" s="63">
        <v>46.4</v>
      </c>
      <c r="P10" s="63">
        <v>48.6</v>
      </c>
      <c r="Q10" s="283">
        <v>42.7</v>
      </c>
      <c r="R10" s="308">
        <v>30.6</v>
      </c>
      <c r="S10" s="63">
        <v>26.4</v>
      </c>
      <c r="T10" s="63">
        <v>17</v>
      </c>
      <c r="U10" s="63">
        <v>65</v>
      </c>
      <c r="V10" s="63">
        <v>38.4</v>
      </c>
      <c r="W10" s="283">
        <v>56.9</v>
      </c>
      <c r="X10" s="63">
        <v>59.8</v>
      </c>
      <c r="Y10" s="63">
        <v>63.9</v>
      </c>
      <c r="Z10" s="15">
        <v>19.8</v>
      </c>
      <c r="AA10" s="18">
        <v>62.7</v>
      </c>
      <c r="AB10" s="323">
        <v>69.3</v>
      </c>
      <c r="AC10" s="489">
        <v>55.5</v>
      </c>
      <c r="AD10" s="15">
        <v>68.400000000000006</v>
      </c>
      <c r="AE10" s="15">
        <v>64.900000000000006</v>
      </c>
      <c r="AF10" s="15">
        <v>67</v>
      </c>
      <c r="AG10" s="15">
        <v>59.7</v>
      </c>
      <c r="AH10" s="15">
        <v>29</v>
      </c>
      <c r="AI10" s="335">
        <f t="shared" si="0"/>
        <v>1313.3</v>
      </c>
      <c r="AJ10" s="118">
        <v>25</v>
      </c>
      <c r="AK10" s="121">
        <f t="shared" si="1"/>
        <v>2.8888888888888888E-3</v>
      </c>
      <c r="AL10" s="67" t="e">
        <f>IF(OR(#REF!="",#REF!="Sem monitoramento"),"VAZIO",IFERROR(#REF!/($AJ10*24),"-"))</f>
        <v>#REF!</v>
      </c>
      <c r="AM10" s="68">
        <f t="shared" ref="AM10:AU25" si="12">IF(OR(E10="",E10="Sem monitoramento"),"VAZIO",IFERROR(E10/($AJ10*24),"-"))</f>
        <v>4.3000000000000003E-2</v>
      </c>
      <c r="AN10" s="68">
        <f t="shared" si="12"/>
        <v>5.1999999999999998E-2</v>
      </c>
      <c r="AO10" s="68">
        <f t="shared" si="12"/>
        <v>4.016666666666667E-2</v>
      </c>
      <c r="AP10" s="68">
        <f t="shared" si="12"/>
        <v>5.0666666666666665E-2</v>
      </c>
      <c r="AQ10" s="68">
        <f>IF(OR(I8="",I8="Sem monitoramento"),"VAZIO",IFERROR(I8/($AJ10*24),"-"))</f>
        <v>0.189</v>
      </c>
      <c r="AR10" s="68" t="e">
        <f>IF(OR(#REF!="",#REF!="Sem monitoramento"),"VAZIO",IFERROR(#REF!/($AJ10*24),"-"))</f>
        <v>#REF!</v>
      </c>
      <c r="AS10" s="68" t="e">
        <f>IF(OR(#REF!="",#REF!="Sem monitoramento"),"VAZIO",IFERROR(#REF!/($AJ10*24),"-"))</f>
        <v>#REF!</v>
      </c>
      <c r="AT10" s="68">
        <f t="shared" si="11"/>
        <v>5.4833333333333331E-2</v>
      </c>
      <c r="AU10" s="68">
        <f t="shared" si="11"/>
        <v>5.1499999999999997E-2</v>
      </c>
      <c r="AV10" s="68">
        <f t="shared" si="11"/>
        <v>4.9166666666666664E-2</v>
      </c>
      <c r="AW10" s="68">
        <f t="shared" si="11"/>
        <v>7.7333333333333337E-2</v>
      </c>
      <c r="AX10" s="68" t="e">
        <f>IF(OR(#REF!="",#REF!="Sem monitoramento"),"VAZIO",IFERROR(#REF!/($AJ10*24),"-"))</f>
        <v>#REF!</v>
      </c>
      <c r="AY10" s="68">
        <f t="shared" si="3"/>
        <v>7.116666666666667E-2</v>
      </c>
      <c r="AZ10" s="68">
        <f t="shared" si="3"/>
        <v>5.1000000000000004E-2</v>
      </c>
      <c r="BA10" s="68">
        <f t="shared" si="3"/>
        <v>4.3999999999999997E-2</v>
      </c>
      <c r="BB10" s="68">
        <f t="shared" si="3"/>
        <v>2.8333333333333332E-2</v>
      </c>
      <c r="BC10" s="68">
        <f>IF(OR(U8="",U8="Sem monitoramento"),"VAZIO",IFERROR(U8/($AJ10*24),"-"))</f>
        <v>0.20266666666666666</v>
      </c>
      <c r="BD10" s="68">
        <f t="shared" si="3"/>
        <v>6.4000000000000001E-2</v>
      </c>
      <c r="BE10" s="68">
        <f t="shared" si="3"/>
        <v>9.4833333333333325E-2</v>
      </c>
      <c r="BF10" s="68">
        <f t="shared" si="3"/>
        <v>9.9666666666666667E-2</v>
      </c>
      <c r="BG10" s="68">
        <f t="shared" si="3"/>
        <v>0.1065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0.10450000000000001</v>
      </c>
      <c r="BJ10" s="68">
        <f>IF(OR(AB10="",AB10="Sem monitoramento"),"VAZIO",IFERROR(AB10/($AJ10*24),"-"))</f>
        <v>0.11549999999999999</v>
      </c>
      <c r="BK10" s="68">
        <f>IF(OR(AC8="",AC8="Sem monitoramento"),"VAZIO",IFERROR(AC8/($AJ10*24),"-"))</f>
        <v>0.19916666666666666</v>
      </c>
      <c r="BL10" s="68">
        <f t="shared" si="4"/>
        <v>0.114</v>
      </c>
      <c r="BM10" s="68">
        <f t="shared" si="4"/>
        <v>0.10816666666666667</v>
      </c>
      <c r="BN10" s="68">
        <f t="shared" si="4"/>
        <v>0.11166666666666666</v>
      </c>
      <c r="BO10" s="68">
        <f>IF(OR(AG8="",AG8="Sem monitoramento"),"VAZIO",IFERROR(AG8/($AJ10*24),"-"))</f>
        <v>0.187</v>
      </c>
      <c r="BP10" s="70">
        <f t="shared" si="5"/>
        <v>7.2961111111111115E-2</v>
      </c>
      <c r="BQ10" s="180">
        <f>'FCs estimados em PVsyst'!Y8</f>
        <v>0.185</v>
      </c>
      <c r="BR10" s="72">
        <f t="shared" si="6"/>
        <v>4.625</v>
      </c>
      <c r="BS10" s="73">
        <f t="shared" si="7"/>
        <v>-0.13300000000000001</v>
      </c>
      <c r="BT10" s="74">
        <f t="shared" si="8"/>
        <v>-0.11203888888888888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344.7</v>
      </c>
      <c r="E11" s="63">
        <v>368.7</v>
      </c>
      <c r="F11" s="63">
        <v>353.3</v>
      </c>
      <c r="G11" s="63">
        <v>278.8</v>
      </c>
      <c r="H11" s="63">
        <v>361.3</v>
      </c>
      <c r="I11" s="283">
        <v>343</v>
      </c>
      <c r="J11" s="283">
        <v>323.7</v>
      </c>
      <c r="K11" s="283">
        <v>403</v>
      </c>
      <c r="L11" s="63">
        <v>384.2</v>
      </c>
      <c r="M11" s="519">
        <v>426.4</v>
      </c>
      <c r="N11" s="63">
        <v>338.2</v>
      </c>
      <c r="O11" s="63">
        <v>305.10000000000002</v>
      </c>
      <c r="P11" s="63">
        <v>288.39999999999998</v>
      </c>
      <c r="Q11" s="283">
        <v>296.39999999999998</v>
      </c>
      <c r="R11" s="63">
        <v>242.4</v>
      </c>
      <c r="S11" s="63">
        <v>198.8</v>
      </c>
      <c r="T11" s="63">
        <v>121.4</v>
      </c>
      <c r="U11" s="63">
        <v>323.89999999999998</v>
      </c>
      <c r="V11" s="283">
        <v>217.2</v>
      </c>
      <c r="W11" s="519">
        <v>293.8</v>
      </c>
      <c r="X11" s="63">
        <v>298.89999999999998</v>
      </c>
      <c r="Y11" s="63">
        <v>305.7</v>
      </c>
      <c r="Z11" s="15">
        <v>275</v>
      </c>
      <c r="AA11" s="18">
        <v>174.8</v>
      </c>
      <c r="AB11" s="323">
        <v>408.1</v>
      </c>
      <c r="AC11" s="221">
        <v>386.7</v>
      </c>
      <c r="AD11" s="15">
        <v>419.5</v>
      </c>
      <c r="AE11" s="15">
        <v>422.3</v>
      </c>
      <c r="AF11" s="15">
        <v>382.4</v>
      </c>
      <c r="AG11" s="15">
        <v>322.60000000000002</v>
      </c>
      <c r="AH11" s="15">
        <v>152.4</v>
      </c>
      <c r="AI11" s="656">
        <f t="shared" si="0"/>
        <v>9761.0999999999967</v>
      </c>
      <c r="AJ11" s="118">
        <v>78</v>
      </c>
      <c r="AK11" s="121">
        <f t="shared" si="1"/>
        <v>1.0484924026590693E-2</v>
      </c>
      <c r="AL11" s="67">
        <f t="shared" ref="AL11:AL27" si="13">IF(OR(D11="",D11="Sem monitoramento"),"VAZIO",IFERROR(D11/($AJ11*24),"-"))</f>
        <v>0.18413461538461537</v>
      </c>
      <c r="AM11" s="68">
        <f t="shared" si="12"/>
        <v>0.1969551282051282</v>
      </c>
      <c r="AN11" s="68">
        <f t="shared" si="12"/>
        <v>0.18872863247863247</v>
      </c>
      <c r="AO11" s="68">
        <f t="shared" si="12"/>
        <v>0.14893162393162393</v>
      </c>
      <c r="AP11" s="68">
        <f t="shared" si="12"/>
        <v>0.19300213675213676</v>
      </c>
      <c r="AQ11" s="68">
        <f t="shared" si="12"/>
        <v>0.18322649572649571</v>
      </c>
      <c r="AR11" s="68">
        <f t="shared" si="12"/>
        <v>0.17291666666666666</v>
      </c>
      <c r="AS11" s="68">
        <f t="shared" ref="AS11:AT16" si="14">IF(OR(K11="",K11="Sem monitoramento"),"VAZIO",IFERROR(K11/($AJ11*24),"-"))</f>
        <v>0.21527777777777779</v>
      </c>
      <c r="AT11" s="68">
        <f t="shared" si="14"/>
        <v>0.20523504273504273</v>
      </c>
      <c r="AU11" s="68">
        <f>IF(OR(M12="",M12="Sem monitoramento"),"VAZIO",IFERROR(M12/($AJ11*24),"-"))</f>
        <v>0.20833333333333334</v>
      </c>
      <c r="AV11" s="68">
        <f t="shared" ref="AV11:AX16" si="15">IF(OR(N11="",N11="Sem monitoramento"),"VAZIO",IFERROR(N11/($AJ11*24),"-"))</f>
        <v>0.18066239316239316</v>
      </c>
      <c r="AW11" s="68">
        <f t="shared" si="15"/>
        <v>0.16298076923076923</v>
      </c>
      <c r="AX11" s="68">
        <f t="shared" si="15"/>
        <v>0.15405982905982904</v>
      </c>
      <c r="AY11" s="68">
        <f t="shared" si="3"/>
        <v>0.15833333333333333</v>
      </c>
      <c r="AZ11" s="68">
        <f t="shared" si="3"/>
        <v>0.1294871794871795</v>
      </c>
      <c r="BA11" s="68">
        <f t="shared" si="3"/>
        <v>0.10619658119658121</v>
      </c>
      <c r="BB11" s="68">
        <f t="shared" si="3"/>
        <v>6.4850427350427356E-2</v>
      </c>
      <c r="BC11" s="68">
        <f t="shared" si="3"/>
        <v>0.17302350427350427</v>
      </c>
      <c r="BD11" s="68">
        <f t="shared" si="3"/>
        <v>0.11602564102564102</v>
      </c>
      <c r="BE11" s="68">
        <f>IF(OR(W12="",W12="Sem monitoramento"),"VAZIO",IFERROR(W12/($AJ11*24),"-"))</f>
        <v>0.15758547008547008</v>
      </c>
      <c r="BF11" s="68">
        <f t="shared" si="3"/>
        <v>0.15966880341880341</v>
      </c>
      <c r="BG11" s="68">
        <f t="shared" si="3"/>
        <v>0.16330128205128205</v>
      </c>
      <c r="BH11" s="68">
        <f t="shared" si="3"/>
        <v>0.14690170940170941</v>
      </c>
      <c r="BI11" s="68" t="e">
        <f>IF(OR(#REF!="",#REF!="Sem monitoramento"),"VAZIO",IFERROR(#REF!/($AJ11*24),"-"))</f>
        <v>#REF!</v>
      </c>
      <c r="BJ11" s="68">
        <f>IF(OR(AB9="",AB9="Sem monitoramento"),"VAZIO",IFERROR(AB9/($AJ11*24),"-"))</f>
        <v>2.8899572649572651E-2</v>
      </c>
      <c r="BK11" s="68">
        <f t="shared" ref="BK11:BL31" si="16">IF(OR(AC11="",AC11="Sem monitoramento"),"VAZIO",IFERROR(AC11/($AJ11*24),"-"))</f>
        <v>0.20657051282051281</v>
      </c>
      <c r="BL11" s="68">
        <f t="shared" si="4"/>
        <v>0.22409188034188035</v>
      </c>
      <c r="BM11" s="68">
        <f t="shared" si="4"/>
        <v>0.22558760683760684</v>
      </c>
      <c r="BN11" s="68">
        <f t="shared" si="4"/>
        <v>0.20427350427350427</v>
      </c>
      <c r="BO11" s="68">
        <f t="shared" si="4"/>
        <v>0.17232905982905983</v>
      </c>
      <c r="BP11" s="70">
        <f t="shared" si="5"/>
        <v>0.17380876068376064</v>
      </c>
      <c r="BQ11" s="198">
        <f>BQ19</f>
        <v>0.168125</v>
      </c>
      <c r="BR11" s="72">
        <f t="shared" si="6"/>
        <v>13.11375</v>
      </c>
      <c r="BS11" s="73">
        <f t="shared" si="7"/>
        <v>2.0603632478632478E-2</v>
      </c>
      <c r="BT11" s="74">
        <f t="shared" si="8"/>
        <v>5.6837606837606414E-3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320</v>
      </c>
      <c r="E12" s="308">
        <v>285</v>
      </c>
      <c r="F12" s="82">
        <v>295</v>
      </c>
      <c r="G12" s="82">
        <v>290</v>
      </c>
      <c r="H12" s="82">
        <v>310</v>
      </c>
      <c r="I12" s="308">
        <v>315</v>
      </c>
      <c r="J12" s="82">
        <v>300</v>
      </c>
      <c r="K12" s="308">
        <v>320</v>
      </c>
      <c r="L12" s="82">
        <v>400</v>
      </c>
      <c r="M12" s="283">
        <v>390</v>
      </c>
      <c r="N12" s="82">
        <v>380</v>
      </c>
      <c r="O12" s="82">
        <v>350</v>
      </c>
      <c r="P12" s="82">
        <v>335</v>
      </c>
      <c r="Q12" s="308">
        <v>290</v>
      </c>
      <c r="R12" s="308">
        <v>145</v>
      </c>
      <c r="S12" s="82">
        <v>150</v>
      </c>
      <c r="T12" s="82">
        <v>88</v>
      </c>
      <c r="U12" s="82">
        <v>290</v>
      </c>
      <c r="V12" s="82">
        <v>180</v>
      </c>
      <c r="W12" s="283">
        <v>295</v>
      </c>
      <c r="X12" s="82">
        <v>320</v>
      </c>
      <c r="Y12" s="63">
        <v>315</v>
      </c>
      <c r="Z12" s="16">
        <v>250</v>
      </c>
      <c r="AA12" s="17">
        <v>110</v>
      </c>
      <c r="AB12" s="324">
        <v>305</v>
      </c>
      <c r="AC12" s="489">
        <v>320</v>
      </c>
      <c r="AD12" s="16">
        <v>350</v>
      </c>
      <c r="AE12" s="16">
        <v>300</v>
      </c>
      <c r="AF12" s="16">
        <v>340</v>
      </c>
      <c r="AG12" s="16">
        <v>275</v>
      </c>
      <c r="AH12" s="16">
        <v>110</v>
      </c>
      <c r="AI12" s="335">
        <f t="shared" si="0"/>
        <v>8723</v>
      </c>
      <c r="AJ12" s="123">
        <v>61</v>
      </c>
      <c r="AK12" s="121" t="s">
        <v>31</v>
      </c>
      <c r="AL12" s="67">
        <f t="shared" si="13"/>
        <v>0.21857923497267759</v>
      </c>
      <c r="AM12" s="68">
        <f t="shared" si="12"/>
        <v>0.19467213114754098</v>
      </c>
      <c r="AN12" s="68">
        <f t="shared" si="12"/>
        <v>0.20150273224043716</v>
      </c>
      <c r="AO12" s="68">
        <f t="shared" si="12"/>
        <v>0.19808743169398907</v>
      </c>
      <c r="AP12" s="68">
        <f t="shared" si="12"/>
        <v>0.21174863387978143</v>
      </c>
      <c r="AQ12" s="68">
        <f t="shared" si="12"/>
        <v>0.2151639344262295</v>
      </c>
      <c r="AR12" s="68">
        <f t="shared" si="12"/>
        <v>0.20491803278688525</v>
      </c>
      <c r="AS12" s="68">
        <f t="shared" si="14"/>
        <v>0.21857923497267759</v>
      </c>
      <c r="AT12" s="68">
        <f t="shared" si="14"/>
        <v>0.27322404371584702</v>
      </c>
      <c r="AU12" s="68">
        <f>IF(OR(M13="",M13="Sem monitoramento"),"VAZIO",IFERROR(M13/($AJ12*24),"-"))</f>
        <v>0.34870218579234974</v>
      </c>
      <c r="AV12" s="68">
        <f t="shared" si="15"/>
        <v>0.25956284153005466</v>
      </c>
      <c r="AW12" s="68">
        <f t="shared" si="15"/>
        <v>0.23907103825136611</v>
      </c>
      <c r="AX12" s="68">
        <f t="shared" si="15"/>
        <v>0.22882513661202186</v>
      </c>
      <c r="AY12" s="68">
        <f t="shared" si="3"/>
        <v>0.19808743169398907</v>
      </c>
      <c r="AZ12" s="68">
        <f t="shared" si="3"/>
        <v>9.9043715846994534E-2</v>
      </c>
      <c r="BA12" s="68">
        <f t="shared" si="3"/>
        <v>0.10245901639344263</v>
      </c>
      <c r="BB12" s="68">
        <f t="shared" si="3"/>
        <v>6.0109289617486336E-2</v>
      </c>
      <c r="BC12" s="68">
        <f t="shared" si="3"/>
        <v>0.19808743169398907</v>
      </c>
      <c r="BD12" s="68">
        <f t="shared" si="3"/>
        <v>0.12295081967213115</v>
      </c>
      <c r="BE12" s="68" t="e">
        <f>IF(OR(#REF!="",#REF!="Sem monitoramento"),"VAZIO",IFERROR(#REF!/($AJ12*24),"-"))</f>
        <v>#REF!</v>
      </c>
      <c r="BF12" s="68">
        <f t="shared" si="3"/>
        <v>0.21857923497267759</v>
      </c>
      <c r="BG12" s="68" t="e">
        <f>IF(OR(#REF!="",#REF!="Sem monitoramento"),"VAZIO",IFERROR(#REF!/($AJ12*24),"-"))</f>
        <v>#REF!</v>
      </c>
      <c r="BH12" s="68">
        <f t="shared" si="3"/>
        <v>0.17076502732240437</v>
      </c>
      <c r="BI12" s="68">
        <f t="shared" si="3"/>
        <v>7.5136612021857924E-2</v>
      </c>
      <c r="BJ12" s="68">
        <f t="shared" si="3"/>
        <v>0.20833333333333334</v>
      </c>
      <c r="BK12" s="68">
        <f t="shared" si="16"/>
        <v>0.21857923497267759</v>
      </c>
      <c r="BL12" s="68">
        <f t="shared" si="4"/>
        <v>0.23907103825136611</v>
      </c>
      <c r="BM12" s="68">
        <f t="shared" si="4"/>
        <v>0.20491803278688525</v>
      </c>
      <c r="BN12" s="68">
        <f t="shared" si="4"/>
        <v>0.23224043715846995</v>
      </c>
      <c r="BO12" s="68">
        <f t="shared" si="4"/>
        <v>0.1878415300546448</v>
      </c>
      <c r="BP12" s="70">
        <f t="shared" si="5"/>
        <v>0.1986111111111111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8"/>
        <v>1.3957194899817837E-2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223">
        <v>473.5</v>
      </c>
      <c r="E13" s="283">
        <v>354.4</v>
      </c>
      <c r="F13" s="283">
        <v>386.6</v>
      </c>
      <c r="G13" s="283">
        <v>376.6</v>
      </c>
      <c r="H13" s="283">
        <v>436.4</v>
      </c>
      <c r="I13" s="283">
        <v>449.3</v>
      </c>
      <c r="J13" s="63">
        <v>419.6</v>
      </c>
      <c r="K13" s="283">
        <v>457.4</v>
      </c>
      <c r="L13" s="63">
        <v>558.6</v>
      </c>
      <c r="M13" s="82">
        <v>510.5</v>
      </c>
      <c r="N13" s="283">
        <v>498.3</v>
      </c>
      <c r="O13" s="63">
        <v>460.5</v>
      </c>
      <c r="P13" s="63">
        <v>443.4</v>
      </c>
      <c r="Q13" s="283">
        <v>402.5</v>
      </c>
      <c r="R13" s="308">
        <v>212.5</v>
      </c>
      <c r="S13" s="63">
        <v>216.2</v>
      </c>
      <c r="T13" s="63">
        <v>122.3</v>
      </c>
      <c r="U13" s="63">
        <v>380.8</v>
      </c>
      <c r="V13" s="63">
        <v>264.89999999999998</v>
      </c>
      <c r="W13" s="283">
        <v>396.9</v>
      </c>
      <c r="X13" s="63">
        <v>424.4</v>
      </c>
      <c r="Y13" s="316">
        <v>420.1</v>
      </c>
      <c r="Z13" s="15">
        <v>352.7</v>
      </c>
      <c r="AA13" s="18">
        <v>200</v>
      </c>
      <c r="AB13" s="323">
        <v>401.9</v>
      </c>
      <c r="AC13" s="489">
        <v>428.3</v>
      </c>
      <c r="AD13" s="15">
        <v>478.9</v>
      </c>
      <c r="AE13" s="15">
        <v>420</v>
      </c>
      <c r="AF13" s="15">
        <v>453.6</v>
      </c>
      <c r="AG13" s="15">
        <v>391.1</v>
      </c>
      <c r="AH13" s="15">
        <v>205</v>
      </c>
      <c r="AI13" s="335">
        <f t="shared" si="0"/>
        <v>11997.199999999999</v>
      </c>
      <c r="AJ13" s="118">
        <v>100</v>
      </c>
      <c r="AK13" s="121">
        <f t="shared" ref="AK13:AK30" si="17">F13/(AJ13*432)</f>
        <v>8.9490740740740746E-3</v>
      </c>
      <c r="AL13" s="67">
        <f t="shared" si="13"/>
        <v>0.19729166666666667</v>
      </c>
      <c r="AM13" s="68">
        <f t="shared" si="12"/>
        <v>0.14766666666666667</v>
      </c>
      <c r="AN13" s="68">
        <f t="shared" si="12"/>
        <v>0.16108333333333336</v>
      </c>
      <c r="AO13" s="68">
        <f t="shared" si="12"/>
        <v>0.15691666666666668</v>
      </c>
      <c r="AP13" s="68">
        <f t="shared" si="12"/>
        <v>0.18183333333333332</v>
      </c>
      <c r="AQ13" s="68">
        <f t="shared" si="12"/>
        <v>0.18720833333333334</v>
      </c>
      <c r="AR13" s="68">
        <f t="shared" si="12"/>
        <v>0.17483333333333334</v>
      </c>
      <c r="AS13" s="68">
        <f t="shared" si="14"/>
        <v>0.19058333333333333</v>
      </c>
      <c r="AT13" s="68">
        <f t="shared" si="14"/>
        <v>0.23275000000000001</v>
      </c>
      <c r="AU13" s="68" t="e">
        <f>IF(OR(#REF!="",#REF!="Sem monitoramento"),"VAZIO",IFERROR(#REF!/($AJ13*24),"-"))</f>
        <v>#REF!</v>
      </c>
      <c r="AV13" s="68">
        <f t="shared" si="15"/>
        <v>0.207625</v>
      </c>
      <c r="AW13" s="68">
        <f t="shared" si="15"/>
        <v>0.19187499999999999</v>
      </c>
      <c r="AX13" s="68">
        <f t="shared" si="15"/>
        <v>0.18475</v>
      </c>
      <c r="AY13" s="68">
        <f t="shared" si="3"/>
        <v>0.16770833333333332</v>
      </c>
      <c r="AZ13" s="68">
        <f t="shared" si="3"/>
        <v>8.8541666666666671E-2</v>
      </c>
      <c r="BA13" s="68">
        <f t="shared" si="3"/>
        <v>9.0083333333333335E-2</v>
      </c>
      <c r="BB13" s="68">
        <f t="shared" si="3"/>
        <v>5.0958333333333335E-2</v>
      </c>
      <c r="BC13" s="68">
        <f t="shared" si="3"/>
        <v>0.15866666666666668</v>
      </c>
      <c r="BD13" s="68">
        <f t="shared" si="3"/>
        <v>0.11037499999999999</v>
      </c>
      <c r="BE13" s="68">
        <f t="shared" si="3"/>
        <v>0.16537499999999999</v>
      </c>
      <c r="BF13" s="68">
        <f t="shared" si="3"/>
        <v>0.17683333333333331</v>
      </c>
      <c r="BG13" s="68">
        <f>IF(OR(Y12="",Y12="Sem monitoramento"),"VAZIO",IFERROR(Y12/($AJ13*24),"-"))</f>
        <v>0.13125000000000001</v>
      </c>
      <c r="BH13" s="68">
        <f t="shared" si="3"/>
        <v>0.14695833333333333</v>
      </c>
      <c r="BI13" s="68">
        <f t="shared" si="3"/>
        <v>8.3333333333333329E-2</v>
      </c>
      <c r="BJ13" s="68">
        <f t="shared" si="3"/>
        <v>0.16745833333333332</v>
      </c>
      <c r="BK13" s="68">
        <f t="shared" si="16"/>
        <v>0.17845833333333333</v>
      </c>
      <c r="BL13" s="68">
        <f t="shared" si="4"/>
        <v>0.19954166666666664</v>
      </c>
      <c r="BM13" s="68">
        <f t="shared" si="4"/>
        <v>0.17499999999999999</v>
      </c>
      <c r="BN13" s="68">
        <f t="shared" si="4"/>
        <v>0.189</v>
      </c>
      <c r="BO13" s="68">
        <f t="shared" si="4"/>
        <v>0.16295833333333334</v>
      </c>
      <c r="BP13" s="70">
        <f t="shared" si="5"/>
        <v>0.16662777777777776</v>
      </c>
      <c r="BQ13" s="198">
        <f>BQ19</f>
        <v>0.168125</v>
      </c>
      <c r="BR13" s="72">
        <f t="shared" ref="BR13:BR30" si="18">AJ13*BQ13</f>
        <v>16.8125</v>
      </c>
      <c r="BS13" s="73">
        <f t="shared" ref="BS13:BS30" si="19">AN13-BQ13</f>
        <v>-7.0416666666666405E-3</v>
      </c>
      <c r="BT13" s="74">
        <f t="shared" si="8"/>
        <v>-1.4972222222222331E-3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305">
        <v>0</v>
      </c>
      <c r="E14" s="282">
        <v>0</v>
      </c>
      <c r="F14" s="282">
        <v>0</v>
      </c>
      <c r="G14" s="282">
        <v>0</v>
      </c>
      <c r="H14" s="282">
        <v>0</v>
      </c>
      <c r="I14" s="282">
        <v>0</v>
      </c>
      <c r="J14" s="282">
        <v>0</v>
      </c>
      <c r="K14" s="282">
        <v>0</v>
      </c>
      <c r="L14" s="282">
        <v>0</v>
      </c>
      <c r="M14" s="282">
        <v>20</v>
      </c>
      <c r="N14" s="63">
        <v>450</v>
      </c>
      <c r="O14" s="63">
        <v>412.7</v>
      </c>
      <c r="P14" s="63">
        <v>418.1</v>
      </c>
      <c r="Q14" s="283">
        <v>365</v>
      </c>
      <c r="R14" s="63">
        <v>322.2</v>
      </c>
      <c r="S14" s="63">
        <v>272.7</v>
      </c>
      <c r="T14" s="63">
        <v>153.69999999999999</v>
      </c>
      <c r="U14" s="63">
        <v>444.5</v>
      </c>
      <c r="V14" s="283">
        <v>280.5</v>
      </c>
      <c r="W14" s="283">
        <v>416.5</v>
      </c>
      <c r="X14" s="63">
        <v>413.2</v>
      </c>
      <c r="Y14" s="63">
        <v>424.7</v>
      </c>
      <c r="Z14" s="15">
        <v>393.7</v>
      </c>
      <c r="AA14" s="18">
        <v>239.2</v>
      </c>
      <c r="AB14" s="323">
        <v>537.70000000000005</v>
      </c>
      <c r="AC14" s="221">
        <v>509.5</v>
      </c>
      <c r="AD14" s="15">
        <v>549.4</v>
      </c>
      <c r="AE14" s="15">
        <v>551.29999999999995</v>
      </c>
      <c r="AF14" s="15">
        <v>516.4</v>
      </c>
      <c r="AG14" s="15">
        <v>442.5</v>
      </c>
      <c r="AH14" s="15">
        <v>200.6</v>
      </c>
      <c r="AI14" s="656">
        <f t="shared" ref="AI14:AI31" si="20">SUM(D14:AH14)</f>
        <v>8334.0999999999985</v>
      </c>
      <c r="AJ14" s="118">
        <v>100</v>
      </c>
      <c r="AK14" s="121">
        <f t="shared" si="17"/>
        <v>0</v>
      </c>
      <c r="AL14" s="67">
        <f t="shared" si="13"/>
        <v>0</v>
      </c>
      <c r="AM14" s="68">
        <f t="shared" si="12"/>
        <v>0</v>
      </c>
      <c r="AN14" s="68">
        <f t="shared" si="12"/>
        <v>0</v>
      </c>
      <c r="AO14" s="68">
        <f t="shared" si="12"/>
        <v>0</v>
      </c>
      <c r="AP14" s="68">
        <f t="shared" si="12"/>
        <v>0</v>
      </c>
      <c r="AQ14" s="68">
        <f t="shared" si="12"/>
        <v>0</v>
      </c>
      <c r="AR14" s="68">
        <f t="shared" si="12"/>
        <v>0</v>
      </c>
      <c r="AS14" s="68">
        <f t="shared" si="14"/>
        <v>0</v>
      </c>
      <c r="AT14" s="68">
        <f t="shared" si="14"/>
        <v>0</v>
      </c>
      <c r="AU14" s="68">
        <f>IF(OR(M14="",M14="Sem monitoramento"),"VAZIO",IFERROR(M14/($AJ14*24),"-"))</f>
        <v>8.3333333333333332E-3</v>
      </c>
      <c r="AV14" s="68">
        <f t="shared" si="15"/>
        <v>0.1875</v>
      </c>
      <c r="AW14" s="68">
        <f t="shared" si="15"/>
        <v>0.17195833333333332</v>
      </c>
      <c r="AX14" s="68">
        <f t="shared" si="15"/>
        <v>0.17420833333333335</v>
      </c>
      <c r="AY14" s="68">
        <f t="shared" si="3"/>
        <v>0.15208333333333332</v>
      </c>
      <c r="AZ14" s="68">
        <f t="shared" si="3"/>
        <v>0.13425000000000001</v>
      </c>
      <c r="BA14" s="68">
        <f t="shared" si="3"/>
        <v>0.11362499999999999</v>
      </c>
      <c r="BB14" s="68">
        <f t="shared" si="3"/>
        <v>6.4041666666666663E-2</v>
      </c>
      <c r="BC14" s="68">
        <f t="shared" si="3"/>
        <v>0.18520833333333334</v>
      </c>
      <c r="BD14" s="68">
        <f t="shared" si="3"/>
        <v>0.11687500000000001</v>
      </c>
      <c r="BE14" s="68">
        <f t="shared" si="3"/>
        <v>0.17354166666666668</v>
      </c>
      <c r="BF14" s="68">
        <f t="shared" si="3"/>
        <v>0.17216666666666666</v>
      </c>
      <c r="BG14" s="68">
        <f t="shared" si="3"/>
        <v>0.17695833333333333</v>
      </c>
      <c r="BH14" s="68">
        <f t="shared" si="3"/>
        <v>0.16404166666666667</v>
      </c>
      <c r="BI14" s="68">
        <f t="shared" si="3"/>
        <v>9.9666666666666667E-2</v>
      </c>
      <c r="BJ14" s="68">
        <f t="shared" si="3"/>
        <v>0.22404166666666669</v>
      </c>
      <c r="BK14" s="68">
        <f t="shared" si="16"/>
        <v>0.21229166666666666</v>
      </c>
      <c r="BL14" s="68">
        <f t="shared" si="4"/>
        <v>0.22891666666666666</v>
      </c>
      <c r="BM14" s="68">
        <f t="shared" si="4"/>
        <v>0.22970833333333332</v>
      </c>
      <c r="BN14" s="68">
        <f t="shared" si="4"/>
        <v>0.21516666666666664</v>
      </c>
      <c r="BO14" s="68">
        <f t="shared" si="4"/>
        <v>0.18437500000000001</v>
      </c>
      <c r="BP14" s="70">
        <f t="shared" si="5"/>
        <v>0.11575138888888886</v>
      </c>
      <c r="BQ14" s="198">
        <f>$BQ$19</f>
        <v>0.168125</v>
      </c>
      <c r="BR14" s="72">
        <f t="shared" si="18"/>
        <v>16.8125</v>
      </c>
      <c r="BS14" s="73">
        <f t="shared" si="19"/>
        <v>-0.168125</v>
      </c>
      <c r="BT14" s="74">
        <f t="shared" si="8"/>
        <v>-5.2373611111111135E-2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132.9</v>
      </c>
      <c r="E15" s="63">
        <v>141.9</v>
      </c>
      <c r="F15" s="63">
        <v>138.5</v>
      </c>
      <c r="G15" s="63">
        <v>110.5</v>
      </c>
      <c r="H15" s="63">
        <v>145</v>
      </c>
      <c r="I15" s="282">
        <v>59.6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13.9</v>
      </c>
      <c r="V15" s="283">
        <v>83.5</v>
      </c>
      <c r="W15" s="283">
        <v>113</v>
      </c>
      <c r="X15" s="63">
        <v>113.5</v>
      </c>
      <c r="Y15" s="63">
        <v>116.3</v>
      </c>
      <c r="Z15" s="31">
        <v>108.2</v>
      </c>
      <c r="AA15" s="18">
        <v>62.7</v>
      </c>
      <c r="AB15" s="323">
        <v>151.5</v>
      </c>
      <c r="AC15" s="221">
        <v>102.1</v>
      </c>
      <c r="AD15" s="221">
        <v>155.4</v>
      </c>
      <c r="AE15" s="15">
        <v>157.9</v>
      </c>
      <c r="AF15" s="15">
        <v>145.5</v>
      </c>
      <c r="AG15" s="15">
        <v>123.4</v>
      </c>
      <c r="AH15" s="15">
        <v>54.9</v>
      </c>
      <c r="AI15" s="656">
        <f t="shared" si="20"/>
        <v>2230.2000000000003</v>
      </c>
      <c r="AJ15" s="118">
        <v>29</v>
      </c>
      <c r="AK15" s="121">
        <f t="shared" si="17"/>
        <v>1.1055236270753513E-2</v>
      </c>
      <c r="AL15" s="67">
        <f t="shared" si="13"/>
        <v>0.19094827586206897</v>
      </c>
      <c r="AM15" s="68">
        <f t="shared" si="12"/>
        <v>0.20387931034482759</v>
      </c>
      <c r="AN15" s="68">
        <f t="shared" si="12"/>
        <v>0.19899425287356323</v>
      </c>
      <c r="AO15" s="68">
        <f t="shared" si="12"/>
        <v>0.15876436781609196</v>
      </c>
      <c r="AP15" s="68">
        <f t="shared" si="12"/>
        <v>0.20833333333333334</v>
      </c>
      <c r="AQ15" s="68">
        <f t="shared" si="12"/>
        <v>8.5632183908045972E-2</v>
      </c>
      <c r="AR15" s="68">
        <f t="shared" si="12"/>
        <v>0</v>
      </c>
      <c r="AS15" s="68">
        <f t="shared" si="14"/>
        <v>0</v>
      </c>
      <c r="AT15" s="68">
        <f t="shared" si="14"/>
        <v>0</v>
      </c>
      <c r="AU15" s="68">
        <f>IF(OR(M15="",M15="Sem monitoramento"),"VAZIO",IFERROR(M15/($AJ15*24),"-"))</f>
        <v>0</v>
      </c>
      <c r="AV15" s="68">
        <f t="shared" si="15"/>
        <v>0</v>
      </c>
      <c r="AW15" s="68">
        <f t="shared" si="15"/>
        <v>0</v>
      </c>
      <c r="AX15" s="68">
        <f t="shared" si="15"/>
        <v>0</v>
      </c>
      <c r="AY15" s="68">
        <f t="shared" si="3"/>
        <v>0</v>
      </c>
      <c r="AZ15" s="68">
        <f t="shared" si="3"/>
        <v>0</v>
      </c>
      <c r="BA15" s="68">
        <f t="shared" si="3"/>
        <v>0</v>
      </c>
      <c r="BB15" s="68">
        <f t="shared" si="3"/>
        <v>0</v>
      </c>
      <c r="BC15" s="68">
        <f t="shared" si="3"/>
        <v>1.9971264367816093E-2</v>
      </c>
      <c r="BD15" s="68">
        <f t="shared" si="3"/>
        <v>0.11997126436781609</v>
      </c>
      <c r="BE15" s="68">
        <f t="shared" si="3"/>
        <v>0.16235632183908047</v>
      </c>
      <c r="BF15" s="68">
        <f>IF(OR(X15="",X15="Sem monitoramento"),"VAZIO",IFERROR(X15/($AJ15*24),"-"))</f>
        <v>0.16307471264367815</v>
      </c>
      <c r="BG15" s="68">
        <f>IF(OR(Y16="",Y16="Sem monitoramento"),"VAZIO",IFERROR(Y16/($AJ15*24),"-"))</f>
        <v>0.62284482758620685</v>
      </c>
      <c r="BH15" s="68">
        <f>IF(OR(Z16="",Z16="Sem monitoramento"),"VAZIO",IFERROR(Z16/($AJ15*24),"-"))</f>
        <v>0.56063218390804592</v>
      </c>
      <c r="BI15" s="68">
        <f t="shared" si="3"/>
        <v>9.0086206896551724E-2</v>
      </c>
      <c r="BJ15" s="68">
        <f t="shared" si="3"/>
        <v>0.21767241379310345</v>
      </c>
      <c r="BK15" s="68">
        <f t="shared" si="16"/>
        <v>0.14669540229885056</v>
      </c>
      <c r="BL15" s="68">
        <f t="shared" si="4"/>
        <v>0.22327586206896552</v>
      </c>
      <c r="BM15" s="68">
        <f t="shared" si="4"/>
        <v>0.22686781609195403</v>
      </c>
      <c r="BN15" s="68">
        <f t="shared" si="4"/>
        <v>0.20905172413793102</v>
      </c>
      <c r="BO15" s="68">
        <f t="shared" si="4"/>
        <v>0.17729885057471265</v>
      </c>
      <c r="BP15" s="70">
        <f t="shared" si="5"/>
        <v>0.10681034482758622</v>
      </c>
      <c r="BQ15" s="180">
        <f>'FCs estimados em PVsyst'!Y13</f>
        <v>0.1850095785440613</v>
      </c>
      <c r="BR15" s="72">
        <f t="shared" si="18"/>
        <v>5.365277777777778</v>
      </c>
      <c r="BS15" s="73">
        <f t="shared" si="19"/>
        <v>1.3984674329501928E-2</v>
      </c>
      <c r="BT15" s="74">
        <f t="shared" si="8"/>
        <v>-7.8199233716475081E-2</v>
      </c>
      <c r="BU15" s="15" t="s">
        <v>110</v>
      </c>
      <c r="BV15" s="3"/>
      <c r="BW15" s="2"/>
      <c r="BX15" s="2"/>
    </row>
    <row r="16" spans="2:76" x14ac:dyDescent="0.3">
      <c r="B16" s="774"/>
      <c r="C16" s="326" t="s">
        <v>20</v>
      </c>
      <c r="D16" s="62">
        <v>502.5</v>
      </c>
      <c r="E16" s="283">
        <v>464.7</v>
      </c>
      <c r="F16" s="283">
        <v>471.7</v>
      </c>
      <c r="G16" s="283">
        <v>351.9</v>
      </c>
      <c r="H16" s="63">
        <v>473.9</v>
      </c>
      <c r="I16" s="63">
        <v>446.5</v>
      </c>
      <c r="J16" s="63">
        <v>471.8</v>
      </c>
      <c r="K16" s="63">
        <v>566.4</v>
      </c>
      <c r="L16" s="63">
        <v>551.6</v>
      </c>
      <c r="M16" s="63">
        <v>535.1</v>
      </c>
      <c r="N16" s="63">
        <v>407</v>
      </c>
      <c r="O16" s="63">
        <v>409.7</v>
      </c>
      <c r="P16" s="283">
        <v>436.1</v>
      </c>
      <c r="Q16" s="283">
        <v>450.4</v>
      </c>
      <c r="R16" s="283">
        <v>289</v>
      </c>
      <c r="S16" s="283">
        <v>248</v>
      </c>
      <c r="T16" s="141">
        <v>174.3</v>
      </c>
      <c r="U16" s="283">
        <v>400.1</v>
      </c>
      <c r="V16" s="283">
        <v>245</v>
      </c>
      <c r="W16" s="283">
        <v>357.1</v>
      </c>
      <c r="X16" s="63">
        <v>411.4</v>
      </c>
      <c r="Y16" s="63">
        <v>433.5</v>
      </c>
      <c r="Z16" s="15">
        <v>390.2</v>
      </c>
      <c r="AA16" s="61">
        <v>185.9</v>
      </c>
      <c r="AB16" s="323">
        <v>454.5</v>
      </c>
      <c r="AC16" s="15">
        <v>516.6</v>
      </c>
      <c r="AD16" s="15">
        <v>498.8</v>
      </c>
      <c r="AE16" s="15">
        <v>478.3</v>
      </c>
      <c r="AF16" s="15">
        <v>457.5</v>
      </c>
      <c r="AG16" s="354">
        <v>295</v>
      </c>
      <c r="AH16" s="15">
        <v>133.4</v>
      </c>
      <c r="AI16" s="656">
        <f t="shared" si="20"/>
        <v>12507.9</v>
      </c>
      <c r="AJ16" s="118">
        <v>100</v>
      </c>
      <c r="AK16" s="121">
        <f t="shared" si="17"/>
        <v>1.0918981481481481E-2</v>
      </c>
      <c r="AL16" s="67">
        <f t="shared" si="13"/>
        <v>0.20937500000000001</v>
      </c>
      <c r="AM16" s="68">
        <f t="shared" si="12"/>
        <v>0.19362499999999999</v>
      </c>
      <c r="AN16" s="68">
        <f t="shared" si="12"/>
        <v>0.19654166666666667</v>
      </c>
      <c r="AO16" s="68">
        <f t="shared" si="12"/>
        <v>0.14662499999999998</v>
      </c>
      <c r="AP16" s="68">
        <f t="shared" si="12"/>
        <v>0.19745833333333332</v>
      </c>
      <c r="AQ16" s="68">
        <f t="shared" si="12"/>
        <v>0.18604166666666666</v>
      </c>
      <c r="AR16" s="68">
        <f t="shared" si="12"/>
        <v>0.19658333333333333</v>
      </c>
      <c r="AS16" s="68">
        <f t="shared" si="14"/>
        <v>0.23599999999999999</v>
      </c>
      <c r="AT16" s="68">
        <f t="shared" si="14"/>
        <v>0.22983333333333333</v>
      </c>
      <c r="AU16" s="68">
        <f>IF(OR(M16="",M16="Sem monitoramento"),"VAZIO",IFERROR(M16/($AJ16*24),"-"))</f>
        <v>0.22295833333333334</v>
      </c>
      <c r="AV16" s="68">
        <f t="shared" si="15"/>
        <v>0.16958333333333334</v>
      </c>
      <c r="AW16" s="68">
        <f t="shared" si="15"/>
        <v>0.17070833333333332</v>
      </c>
      <c r="AX16" s="68">
        <f t="shared" si="15"/>
        <v>0.18170833333333333</v>
      </c>
      <c r="AY16" s="68">
        <f t="shared" si="3"/>
        <v>0.18766666666666665</v>
      </c>
      <c r="AZ16" s="68">
        <f t="shared" si="3"/>
        <v>0.12041666666666667</v>
      </c>
      <c r="BA16" s="68">
        <f t="shared" si="3"/>
        <v>0.10333333333333333</v>
      </c>
      <c r="BB16" s="68">
        <f>IF(OR(T14="",T14="Sem monitoramento"),"VAZIO",IFERROR(T14/($AJ16*24),"-"))</f>
        <v>6.4041666666666663E-2</v>
      </c>
      <c r="BC16" s="68">
        <f t="shared" si="3"/>
        <v>0.16670833333333335</v>
      </c>
      <c r="BD16" s="68">
        <f t="shared" si="3"/>
        <v>0.10208333333333333</v>
      </c>
      <c r="BE16" s="68">
        <f t="shared" si="3"/>
        <v>0.14879166666666668</v>
      </c>
      <c r="BF16" s="68">
        <f>IF(OR(X16="",X16="Sem monitoramento"),"VAZIO",IFERROR(X16/($AJ16*24),"-"))</f>
        <v>0.17141666666666666</v>
      </c>
      <c r="BG16" s="68" t="e">
        <f>IF(OR(#REF!="",#REF!="Sem monitoramento"),"VAZIO",IFERROR(#REF!/($AJ16*24),"-"))</f>
        <v>#REF!</v>
      </c>
      <c r="BH16" s="68" t="e">
        <f>IF(OR(#REF!="",#REF!="Sem monitoramento"),"VAZIO",IFERROR(#REF!/($AJ16*24),"-"))</f>
        <v>#REF!</v>
      </c>
      <c r="BI16" s="68">
        <f t="shared" si="3"/>
        <v>7.7458333333333337E-2</v>
      </c>
      <c r="BJ16" s="68">
        <f t="shared" si="3"/>
        <v>0.18937499999999999</v>
      </c>
      <c r="BK16" s="68">
        <f t="shared" si="16"/>
        <v>0.21525</v>
      </c>
      <c r="BL16" s="68">
        <f t="shared" si="4"/>
        <v>0.20783333333333334</v>
      </c>
      <c r="BM16" s="68">
        <f t="shared" si="4"/>
        <v>0.19929166666666667</v>
      </c>
      <c r="BN16" s="68">
        <f t="shared" si="4"/>
        <v>0.19062499999999999</v>
      </c>
      <c r="BO16" s="68">
        <f t="shared" si="4"/>
        <v>0.12291666666666666</v>
      </c>
      <c r="BP16" s="70">
        <f t="shared" si="5"/>
        <v>0.17372083333333332</v>
      </c>
      <c r="BQ16" s="180">
        <f>'FCs estimados em PVsyst'!Y14</f>
        <v>0.16425000000000001</v>
      </c>
      <c r="BR16" s="72">
        <f t="shared" si="18"/>
        <v>16.425000000000001</v>
      </c>
      <c r="BS16" s="73">
        <f t="shared" si="19"/>
        <v>3.2291666666666663E-2</v>
      </c>
      <c r="BT16" s="74">
        <f t="shared" si="8"/>
        <v>9.4708333333333172E-3</v>
      </c>
      <c r="BU16" s="15" t="s">
        <v>20</v>
      </c>
      <c r="BV16" s="3"/>
      <c r="BW16" s="2"/>
      <c r="BX16" s="2"/>
    </row>
    <row r="17" spans="2:76" x14ac:dyDescent="0.3">
      <c r="B17" s="775" t="s">
        <v>21</v>
      </c>
      <c r="C17" s="326" t="s">
        <v>22</v>
      </c>
      <c r="D17" s="223">
        <v>421.4</v>
      </c>
      <c r="E17" s="63">
        <v>477</v>
      </c>
      <c r="F17" s="308">
        <v>400.5</v>
      </c>
      <c r="G17" s="283">
        <v>312.7</v>
      </c>
      <c r="H17" s="283">
        <v>458.5</v>
      </c>
      <c r="I17" s="82">
        <v>416.2</v>
      </c>
      <c r="J17" s="82">
        <v>493.4</v>
      </c>
      <c r="K17" s="63">
        <v>401.6</v>
      </c>
      <c r="L17" s="63">
        <v>490.9</v>
      </c>
      <c r="M17" s="63">
        <v>533</v>
      </c>
      <c r="N17" s="480">
        <v>471.1</v>
      </c>
      <c r="O17" s="283">
        <v>469.1</v>
      </c>
      <c r="P17" s="283">
        <v>460.3</v>
      </c>
      <c r="Q17" s="283">
        <v>492.5</v>
      </c>
      <c r="R17" s="63">
        <v>268.8</v>
      </c>
      <c r="S17" s="283">
        <v>322.5</v>
      </c>
      <c r="T17" s="63">
        <v>125.6</v>
      </c>
      <c r="U17" s="63">
        <v>429.1</v>
      </c>
      <c r="V17" s="63">
        <v>248.2</v>
      </c>
      <c r="W17" s="283">
        <v>296.10000000000002</v>
      </c>
      <c r="X17" s="283">
        <v>518.29999999999995</v>
      </c>
      <c r="Y17" s="519">
        <v>472.1</v>
      </c>
      <c r="Z17" s="15">
        <v>427.7</v>
      </c>
      <c r="AA17" s="18">
        <v>278.5</v>
      </c>
      <c r="AB17" s="20">
        <v>460</v>
      </c>
      <c r="AC17" s="221">
        <v>438</v>
      </c>
      <c r="AD17" s="221">
        <v>468.6</v>
      </c>
      <c r="AE17" s="15">
        <v>507.7</v>
      </c>
      <c r="AF17" s="15">
        <v>467.1</v>
      </c>
      <c r="AG17" s="15">
        <v>417.5</v>
      </c>
      <c r="AH17" s="15">
        <v>230.2</v>
      </c>
      <c r="AI17" s="656">
        <f t="shared" si="20"/>
        <v>12674.200000000006</v>
      </c>
      <c r="AJ17" s="118">
        <v>100</v>
      </c>
      <c r="AK17" s="122">
        <f t="shared" si="17"/>
        <v>9.2708333333333341E-3</v>
      </c>
      <c r="AL17" s="67">
        <f t="shared" si="13"/>
        <v>0.17558333333333331</v>
      </c>
      <c r="AM17" s="68">
        <f t="shared" si="12"/>
        <v>0.19875000000000001</v>
      </c>
      <c r="AN17" s="68">
        <f t="shared" si="12"/>
        <v>0.166875</v>
      </c>
      <c r="AO17" s="68">
        <f t="shared" si="12"/>
        <v>0.13029166666666667</v>
      </c>
      <c r="AP17" s="68">
        <f t="shared" si="12"/>
        <v>0.19104166666666667</v>
      </c>
      <c r="AQ17" s="68">
        <f t="shared" si="12"/>
        <v>0.17341666666666666</v>
      </c>
      <c r="AR17" s="68">
        <f t="shared" si="12"/>
        <v>0.20558333333333331</v>
      </c>
      <c r="AS17" s="68" t="e">
        <f>IF(OR(#REF!="",#REF!="Sem monitoramento"),"VAZIO",IFERROR(#REF!/($AJ17*24),"-"))</f>
        <v>#REF!</v>
      </c>
      <c r="AT17" s="68">
        <f>IF(OR(L17="",L17="Sem monitoramento"),"VAZIO",IFERROR(L17/($AJ17*24),"-"))</f>
        <v>0.20454166666666665</v>
      </c>
      <c r="AU17" s="68">
        <f>IF(OR(M17="",M17="Sem monitoramento"),"VAZIO",IFERROR(M17/($AJ17*24),"-"))</f>
        <v>0.22208333333333333</v>
      </c>
      <c r="AV17" s="68">
        <f>IF(OR(N18="",N18="Sem monitoramento"),"VAZIO",IFERROR(N18/($AJ17*24),"-"))</f>
        <v>0.206125</v>
      </c>
      <c r="AW17" s="68">
        <f t="shared" ref="AW17:AX20" si="21">IF(OR(O17="",O17="Sem monitoramento"),"VAZIO",IFERROR(O17/($AJ17*24),"-"))</f>
        <v>0.19545833333333335</v>
      </c>
      <c r="AX17" s="68">
        <f t="shared" si="21"/>
        <v>0.19179166666666667</v>
      </c>
      <c r="AY17" s="68">
        <f t="shared" si="3"/>
        <v>0.20520833333333333</v>
      </c>
      <c r="AZ17" s="68">
        <f t="shared" si="3"/>
        <v>0.112</v>
      </c>
      <c r="BA17" s="68">
        <f t="shared" si="3"/>
        <v>0.13437499999999999</v>
      </c>
      <c r="BB17" s="68">
        <f t="shared" si="3"/>
        <v>5.2333333333333329E-2</v>
      </c>
      <c r="BC17" s="68">
        <f t="shared" si="3"/>
        <v>0.17879166666666668</v>
      </c>
      <c r="BD17" s="68">
        <f t="shared" si="3"/>
        <v>0.10341666666666666</v>
      </c>
      <c r="BE17" s="68">
        <f t="shared" si="3"/>
        <v>0.12337500000000001</v>
      </c>
      <c r="BF17" s="68">
        <f>IF(OR(X17="",X17="Sem monitoramento"),"VAZIO",IFERROR(X17/($AJ17*24),"-"))</f>
        <v>0.21595833333333331</v>
      </c>
      <c r="BG17" s="68" t="e">
        <f>IF(OR(#REF!="",#REF!="Sem monitoramento"),"VAZIO",IFERROR(#REF!/($AJ17*24),"-"))</f>
        <v>#REF!</v>
      </c>
      <c r="BH17" s="68">
        <f t="shared" ref="BH17:BJ31" si="22">IF(OR(Z17="",Z17="Sem monitoramento"),"VAZIO",IFERROR(Z17/($AJ17*24),"-"))</f>
        <v>0.17820833333333333</v>
      </c>
      <c r="BI17" s="68">
        <f t="shared" si="22"/>
        <v>0.11604166666666667</v>
      </c>
      <c r="BJ17" s="68" t="e">
        <f>IF(OR(#REF!="",#REF!="Sem monitoramento"),"VAZIO",IFERROR(#REF!/($AJ17*24),"-"))</f>
        <v>#REF!</v>
      </c>
      <c r="BK17" s="68">
        <f t="shared" si="16"/>
        <v>0.1825</v>
      </c>
      <c r="BL17" s="68">
        <f t="shared" si="4"/>
        <v>0.19525000000000001</v>
      </c>
      <c r="BM17" s="68">
        <f t="shared" si="4"/>
        <v>0.21154166666666666</v>
      </c>
      <c r="BN17" s="68">
        <f t="shared" si="4"/>
        <v>0.19462500000000002</v>
      </c>
      <c r="BO17" s="68">
        <f t="shared" si="4"/>
        <v>0.17395833333333333</v>
      </c>
      <c r="BP17" s="70">
        <f t="shared" si="5"/>
        <v>0.17603055555555563</v>
      </c>
      <c r="BQ17" s="198">
        <f>$BQ$19</f>
        <v>0.168125</v>
      </c>
      <c r="BR17" s="90">
        <f t="shared" si="18"/>
        <v>16.8125</v>
      </c>
      <c r="BS17" s="73">
        <f t="shared" si="19"/>
        <v>-1.2500000000000011E-3</v>
      </c>
      <c r="BT17" s="74">
        <f t="shared" si="8"/>
        <v>7.9055555555556378E-3</v>
      </c>
      <c r="BU17" s="15" t="s">
        <v>22</v>
      </c>
      <c r="BV17" s="3"/>
      <c r="BW17" s="2"/>
      <c r="BX17" s="2"/>
    </row>
    <row r="18" spans="2:76" x14ac:dyDescent="0.3">
      <c r="B18" s="775"/>
      <c r="C18" s="326" t="s">
        <v>23</v>
      </c>
      <c r="D18" s="223">
        <v>454.4</v>
      </c>
      <c r="E18" s="63">
        <v>510.8</v>
      </c>
      <c r="F18" s="308">
        <v>417.5</v>
      </c>
      <c r="G18" s="283">
        <v>331.1</v>
      </c>
      <c r="H18" s="63">
        <v>487.5</v>
      </c>
      <c r="I18" s="63">
        <v>458.3</v>
      </c>
      <c r="J18" s="63">
        <v>521.4</v>
      </c>
      <c r="K18" s="63">
        <v>425.8</v>
      </c>
      <c r="L18" s="63">
        <v>532</v>
      </c>
      <c r="M18" s="316">
        <v>568.5</v>
      </c>
      <c r="N18" s="283">
        <v>494.7</v>
      </c>
      <c r="O18" s="283">
        <v>506.1</v>
      </c>
      <c r="P18" s="63">
        <v>487.2</v>
      </c>
      <c r="Q18" s="519">
        <v>519.70000000000005</v>
      </c>
      <c r="R18" s="63">
        <v>298.10000000000002</v>
      </c>
      <c r="S18" s="283">
        <v>352.4</v>
      </c>
      <c r="T18" s="63">
        <v>135.80000000000001</v>
      </c>
      <c r="U18" s="283">
        <v>463.6</v>
      </c>
      <c r="V18" s="283">
        <v>271.5</v>
      </c>
      <c r="W18" s="283">
        <v>311.60000000000002</v>
      </c>
      <c r="X18" s="283">
        <v>549.6</v>
      </c>
      <c r="Y18" s="283">
        <v>517.70000000000005</v>
      </c>
      <c r="Z18" s="221">
        <v>467.2</v>
      </c>
      <c r="AA18" s="18">
        <v>300.39999999999998</v>
      </c>
      <c r="AB18" s="628">
        <v>508.7</v>
      </c>
      <c r="AC18" s="221">
        <v>475.6</v>
      </c>
      <c r="AD18" s="221">
        <v>497.8</v>
      </c>
      <c r="AE18" s="15">
        <v>561.5</v>
      </c>
      <c r="AF18" s="15">
        <v>507.3</v>
      </c>
      <c r="AG18" s="15">
        <v>453.7</v>
      </c>
      <c r="AH18" s="15">
        <v>254.8</v>
      </c>
      <c r="AI18" s="656">
        <f t="shared" si="20"/>
        <v>13642.300000000003</v>
      </c>
      <c r="AJ18" s="118">
        <v>100</v>
      </c>
      <c r="AK18" s="122">
        <f t="shared" si="17"/>
        <v>9.6643518518518511E-3</v>
      </c>
      <c r="AL18" s="67">
        <f t="shared" si="13"/>
        <v>0.18933333333333333</v>
      </c>
      <c r="AM18" s="68">
        <f t="shared" si="12"/>
        <v>0.21283333333333335</v>
      </c>
      <c r="AN18" s="68">
        <f t="shared" si="12"/>
        <v>0.17395833333333333</v>
      </c>
      <c r="AO18" s="68">
        <f t="shared" si="12"/>
        <v>0.13795833333333335</v>
      </c>
      <c r="AP18" s="68">
        <f t="shared" si="12"/>
        <v>0.203125</v>
      </c>
      <c r="AQ18" s="68">
        <f t="shared" si="12"/>
        <v>0.19095833333333334</v>
      </c>
      <c r="AR18" s="68">
        <f t="shared" si="12"/>
        <v>0.21725</v>
      </c>
      <c r="AS18" s="68">
        <f>IF(OR(K18="",K18="Sem monitoramento"),"VAZIO",IFERROR(K18/($AJ18*24),"-"))</f>
        <v>0.17741666666666667</v>
      </c>
      <c r="AT18" s="68">
        <f>IF(OR(L18="",L18="Sem monitoramento"),"VAZIO",IFERROR(L18/($AJ18*24),"-"))</f>
        <v>0.22166666666666668</v>
      </c>
      <c r="AU18" s="68">
        <f>IF(OR(M19="",M19="Sem monitoramento"),"VAZIO",IFERROR(M19/($AJ18*24),"-"))</f>
        <v>0.177125</v>
      </c>
      <c r="AV18" s="68" t="e">
        <f>IF(OR(#REF!="",#REF!="Sem monitoramento"),"VAZIO",IFERROR(#REF!/($AJ18*24),"-"))</f>
        <v>#REF!</v>
      </c>
      <c r="AW18" s="68">
        <f t="shared" si="21"/>
        <v>0.21087500000000001</v>
      </c>
      <c r="AX18" s="68">
        <f t="shared" si="21"/>
        <v>0.20299999999999999</v>
      </c>
      <c r="AY18" s="68">
        <f>IF(OR(Q19="",Q19="Sem monitoramento"),"VAZIO",IFERROR(Q19/($AJ18*24),"-"))</f>
        <v>0.16729166666666667</v>
      </c>
      <c r="AZ18" s="68" t="e">
        <f>IF(OR(#REF!="",#REF!="Sem monitoramento"),"VAZIO",IFERROR(#REF!/($AJ18*24),"-"))</f>
        <v>#REF!</v>
      </c>
      <c r="BA18" s="68">
        <f>IF(OR(S18="",S18="Sem monitoramento"),"VAZIO",IFERROR(S18/($AJ18*24),"-"))</f>
        <v>0.14683333333333332</v>
      </c>
      <c r="BB18" s="68">
        <f t="shared" si="3"/>
        <v>5.658333333333334E-2</v>
      </c>
      <c r="BC18" s="68">
        <f t="shared" si="3"/>
        <v>0.19316666666666668</v>
      </c>
      <c r="BD18" s="68">
        <f t="shared" si="3"/>
        <v>0.113125</v>
      </c>
      <c r="BE18" s="68">
        <f t="shared" si="3"/>
        <v>0.12983333333333336</v>
      </c>
      <c r="BF18" s="68">
        <f>IF(OR(X18="",X18="Sem monitoramento"),"VAZIO",IFERROR(X18/($AJ18*24),"-"))</f>
        <v>0.22900000000000001</v>
      </c>
      <c r="BG18" s="68">
        <f>IF(OR(Y18="",Y18="Sem monitoramento"),"VAZIO",IFERROR(Y18/($AJ18*24),"-"))</f>
        <v>0.21570833333333336</v>
      </c>
      <c r="BH18" s="68">
        <f t="shared" si="22"/>
        <v>0.19466666666666665</v>
      </c>
      <c r="BI18" s="68">
        <f t="shared" si="22"/>
        <v>0.12516666666666665</v>
      </c>
      <c r="BJ18" s="68">
        <f>IF(OR(AB17="",AB17="Sem monitoramento"),"VAZIO",IFERROR(AB17/($AJ18*24),"-"))</f>
        <v>0.19166666666666668</v>
      </c>
      <c r="BK18" s="68">
        <f t="shared" si="16"/>
        <v>0.19816666666666669</v>
      </c>
      <c r="BL18" s="68">
        <f t="shared" si="4"/>
        <v>0.20741666666666667</v>
      </c>
      <c r="BM18" s="68">
        <f t="shared" si="4"/>
        <v>0.23395833333333332</v>
      </c>
      <c r="BN18" s="68">
        <f t="shared" si="4"/>
        <v>0.21137500000000001</v>
      </c>
      <c r="BO18" s="68">
        <f t="shared" si="4"/>
        <v>0.18904166666666666</v>
      </c>
      <c r="BP18" s="70">
        <f t="shared" si="5"/>
        <v>0.18947638888888893</v>
      </c>
      <c r="BQ18" s="198">
        <f>$BQ$19</f>
        <v>0.168125</v>
      </c>
      <c r="BR18" s="90">
        <f t="shared" si="18"/>
        <v>16.8125</v>
      </c>
      <c r="BS18" s="73">
        <f t="shared" si="19"/>
        <v>5.8333333333333293E-3</v>
      </c>
      <c r="BT18" s="74">
        <f t="shared" si="8"/>
        <v>2.1351388888888934E-2</v>
      </c>
      <c r="BU18" s="15" t="s">
        <v>23</v>
      </c>
      <c r="BV18" s="3"/>
      <c r="BW18" s="2"/>
      <c r="BX18" s="2"/>
    </row>
    <row r="19" spans="2:76" x14ac:dyDescent="0.3">
      <c r="B19" s="775"/>
      <c r="C19" s="326" t="s">
        <v>24</v>
      </c>
      <c r="D19" s="62">
        <v>362.2</v>
      </c>
      <c r="E19" s="63">
        <v>487.6</v>
      </c>
      <c r="F19" s="63">
        <v>343</v>
      </c>
      <c r="G19" s="283">
        <v>279.2</v>
      </c>
      <c r="H19" s="283">
        <v>389</v>
      </c>
      <c r="I19" s="63">
        <v>338.4</v>
      </c>
      <c r="J19" s="283">
        <v>438.5</v>
      </c>
      <c r="K19" s="63">
        <v>336.4</v>
      </c>
      <c r="L19" s="63">
        <v>391.6</v>
      </c>
      <c r="M19" s="283">
        <v>425.1</v>
      </c>
      <c r="N19" s="282">
        <v>280.5</v>
      </c>
      <c r="O19" s="283">
        <v>411.4</v>
      </c>
      <c r="P19" s="283">
        <v>400</v>
      </c>
      <c r="Q19" s="283">
        <v>401.5</v>
      </c>
      <c r="R19" s="63">
        <v>200.6</v>
      </c>
      <c r="S19" s="63">
        <v>290</v>
      </c>
      <c r="T19" s="63">
        <v>100.1</v>
      </c>
      <c r="U19" s="63">
        <v>356.9</v>
      </c>
      <c r="V19" s="283">
        <v>197.9</v>
      </c>
      <c r="W19" s="283">
        <v>268.10000000000002</v>
      </c>
      <c r="X19" s="316">
        <v>421.6</v>
      </c>
      <c r="Y19" s="283">
        <v>424.6</v>
      </c>
      <c r="Z19" s="63">
        <v>382.1</v>
      </c>
      <c r="AA19" s="18">
        <v>230.2</v>
      </c>
      <c r="AB19" s="323">
        <v>374.2</v>
      </c>
      <c r="AC19" s="15">
        <v>388.3</v>
      </c>
      <c r="AD19" s="283">
        <v>405</v>
      </c>
      <c r="AE19" s="221">
        <v>416.3</v>
      </c>
      <c r="AF19" s="15">
        <v>402.5</v>
      </c>
      <c r="AG19" s="15">
        <v>364</v>
      </c>
      <c r="AH19" s="354">
        <v>60.8</v>
      </c>
      <c r="AI19" s="656">
        <f t="shared" si="20"/>
        <v>10567.599999999999</v>
      </c>
      <c r="AJ19" s="118">
        <v>80</v>
      </c>
      <c r="AK19" s="121">
        <f t="shared" si="17"/>
        <v>9.9247685185185185E-3</v>
      </c>
      <c r="AL19" s="67">
        <f t="shared" si="13"/>
        <v>0.18864583333333332</v>
      </c>
      <c r="AM19" s="68">
        <f t="shared" si="12"/>
        <v>0.25395833333333334</v>
      </c>
      <c r="AN19" s="68">
        <f t="shared" si="12"/>
        <v>0.17864583333333334</v>
      </c>
      <c r="AO19" s="68">
        <f t="shared" si="12"/>
        <v>0.14541666666666667</v>
      </c>
      <c r="AP19" s="68">
        <f t="shared" si="12"/>
        <v>0.20260416666666667</v>
      </c>
      <c r="AQ19" s="68">
        <f t="shared" si="12"/>
        <v>0.17624999999999999</v>
      </c>
      <c r="AR19" s="68">
        <f t="shared" si="12"/>
        <v>0.22838541666666667</v>
      </c>
      <c r="AS19" s="68">
        <f>IF(OR(K19="",K19="Sem monitoramento"),"VAZIO",IFERROR(K19/($AJ19*24),"-"))</f>
        <v>0.17520833333333333</v>
      </c>
      <c r="AT19" s="68">
        <f>IF(OR(L21="",L21="Sem monitoramento"),"VAZIO",IFERROR(L21/($AJ19*24),"-"))</f>
        <v>0.18562499999999998</v>
      </c>
      <c r="AU19" s="68" t="e">
        <f>IF(OR(#REF!="",#REF!="Sem monitoramento"),"VAZIO",IFERROR(#REF!/($AJ19*24),"-"))</f>
        <v>#REF!</v>
      </c>
      <c r="AV19" s="68">
        <f>IF(OR(N19="",N19="Sem monitoramento"),"VAZIO",IFERROR(N19/($AJ19*24),"-"))</f>
        <v>0.14609374999999999</v>
      </c>
      <c r="AW19" s="68">
        <f t="shared" si="21"/>
        <v>0.21427083333333333</v>
      </c>
      <c r="AX19" s="68">
        <f t="shared" si="21"/>
        <v>0.20833333333333334</v>
      </c>
      <c r="AY19" s="68" t="e">
        <f>IF(OR(#REF!="",#REF!="Sem monitoramento"),"VAZIO",IFERROR(#REF!/($AJ19*24),"-"))</f>
        <v>#REF!</v>
      </c>
      <c r="AZ19" s="68">
        <f>IF(OR(R19="",R19="Sem monitoramento"),"VAZIO",IFERROR(R19/($AJ19*24),"-"))</f>
        <v>0.10447916666666666</v>
      </c>
      <c r="BA19" s="68">
        <f>IF(OR(S19="",S19="Sem monitoramento"),"VAZIO",IFERROR(S19/($AJ19*24),"-"))</f>
        <v>0.15104166666666666</v>
      </c>
      <c r="BB19" s="68">
        <f t="shared" si="3"/>
        <v>5.2135416666666663E-2</v>
      </c>
      <c r="BC19" s="68">
        <f t="shared" si="3"/>
        <v>0.18588541666666666</v>
      </c>
      <c r="BD19" s="68" t="e">
        <f>IF(OR(#REF!="",#REF!="Sem monitoramento"),"VAZIO",IFERROR(#REF!/($AJ19*24),"-"))</f>
        <v>#REF!</v>
      </c>
      <c r="BE19" s="68">
        <f t="shared" si="3"/>
        <v>0.13963541666666668</v>
      </c>
      <c r="BF19" s="68">
        <f>IF(OR(X21="",X21="Sem monitoramento"),"VAZIO",IFERROR(X21/($AJ19*24),"-"))</f>
        <v>0.20333333333333331</v>
      </c>
      <c r="BG19" s="68" t="e">
        <f>IF(OR(#REF!="",#REF!="Sem monitoramento"),"VAZIO",IFERROR(#REF!/($AJ19*24),"-"))</f>
        <v>#REF!</v>
      </c>
      <c r="BH19" s="68">
        <f t="shared" si="22"/>
        <v>0.19901041666666669</v>
      </c>
      <c r="BI19" s="68">
        <f t="shared" si="22"/>
        <v>0.11989583333333333</v>
      </c>
      <c r="BJ19" s="68">
        <f>IF(OR(AB19="",AB19="Sem monitoramento"),"VAZIO",IFERROR(AB19/($AJ19*24),"-"))</f>
        <v>0.19489583333333332</v>
      </c>
      <c r="BK19" s="68">
        <f t="shared" si="16"/>
        <v>0.20223958333333333</v>
      </c>
      <c r="BL19" s="68">
        <f t="shared" si="4"/>
        <v>0.2109375</v>
      </c>
      <c r="BM19" s="68">
        <f t="shared" si="4"/>
        <v>0.21682291666666667</v>
      </c>
      <c r="BN19" s="68">
        <f t="shared" si="4"/>
        <v>0.20963541666666666</v>
      </c>
      <c r="BO19" s="68">
        <f t="shared" si="4"/>
        <v>0.18958333333333333</v>
      </c>
      <c r="BP19" s="70">
        <f t="shared" si="5"/>
        <v>0.18346527777777774</v>
      </c>
      <c r="BQ19" s="180">
        <f>'FCs estimados em PVsyst'!Y17</f>
        <v>0.168125</v>
      </c>
      <c r="BR19" s="72">
        <f t="shared" si="18"/>
        <v>13.45</v>
      </c>
      <c r="BS19" s="73">
        <f t="shared" si="19"/>
        <v>1.052083333333334E-2</v>
      </c>
      <c r="BT19" s="74">
        <f t="shared" si="8"/>
        <v>1.5340277777777744E-2</v>
      </c>
      <c r="BU19" s="15" t="s">
        <v>24</v>
      </c>
      <c r="BV19" s="3"/>
      <c r="BW19" s="2"/>
      <c r="BX19" s="2"/>
    </row>
    <row r="20" spans="2:76" x14ac:dyDescent="0.3">
      <c r="B20" s="775"/>
      <c r="C20" s="326" t="s">
        <v>25</v>
      </c>
      <c r="D20" s="223">
        <v>428.7</v>
      </c>
      <c r="E20" s="63">
        <v>448.1</v>
      </c>
      <c r="F20" s="63">
        <v>405.4</v>
      </c>
      <c r="G20" s="63">
        <v>344.2</v>
      </c>
      <c r="H20" s="283">
        <v>450.3</v>
      </c>
      <c r="I20" s="63">
        <v>416.7</v>
      </c>
      <c r="J20" s="283">
        <v>515.6</v>
      </c>
      <c r="K20" s="316">
        <v>406.2</v>
      </c>
      <c r="L20" s="63">
        <v>463.6</v>
      </c>
      <c r="M20" s="63">
        <v>515.5</v>
      </c>
      <c r="N20" s="592">
        <v>314.7</v>
      </c>
      <c r="O20" s="283">
        <v>491.2</v>
      </c>
      <c r="P20" s="283">
        <v>479.8</v>
      </c>
      <c r="Q20" s="283">
        <v>509.8</v>
      </c>
      <c r="R20" s="316">
        <v>231.4</v>
      </c>
      <c r="S20" s="63">
        <v>348.2</v>
      </c>
      <c r="T20" s="63">
        <v>120.2</v>
      </c>
      <c r="U20" s="63">
        <v>405.2</v>
      </c>
      <c r="V20" s="519">
        <v>228.8</v>
      </c>
      <c r="W20" s="283">
        <v>320</v>
      </c>
      <c r="X20" s="283">
        <v>521.79999999999995</v>
      </c>
      <c r="Y20" s="283">
        <v>506.9</v>
      </c>
      <c r="Z20" s="316">
        <v>459.8</v>
      </c>
      <c r="AA20" s="18">
        <v>270.2</v>
      </c>
      <c r="AB20" s="323">
        <v>437.8</v>
      </c>
      <c r="AC20" s="283">
        <v>483.7</v>
      </c>
      <c r="AD20" s="283">
        <v>490.2</v>
      </c>
      <c r="AE20" s="283">
        <v>505.7</v>
      </c>
      <c r="AF20" s="283">
        <v>476.9</v>
      </c>
      <c r="AG20" s="283">
        <v>434.7</v>
      </c>
      <c r="AH20" s="282">
        <v>72.099999999999994</v>
      </c>
      <c r="AI20" s="656">
        <f t="shared" si="20"/>
        <v>12503.4</v>
      </c>
      <c r="AJ20" s="118">
        <v>100</v>
      </c>
      <c r="AK20" s="121">
        <f t="shared" si="17"/>
        <v>9.3842592592592589E-3</v>
      </c>
      <c r="AL20" s="67">
        <f t="shared" si="13"/>
        <v>0.17862500000000001</v>
      </c>
      <c r="AM20" s="68">
        <f t="shared" si="12"/>
        <v>0.18670833333333334</v>
      </c>
      <c r="AN20" s="68">
        <f t="shared" si="12"/>
        <v>0.16891666666666666</v>
      </c>
      <c r="AO20" s="68">
        <f t="shared" si="12"/>
        <v>0.14341666666666666</v>
      </c>
      <c r="AP20" s="68">
        <f t="shared" si="12"/>
        <v>0.18762500000000001</v>
      </c>
      <c r="AQ20" s="68">
        <f t="shared" si="12"/>
        <v>0.173625</v>
      </c>
      <c r="AR20" s="68">
        <f t="shared" si="12"/>
        <v>0.21483333333333335</v>
      </c>
      <c r="AS20" s="68">
        <f>IF(OR(K17="",K17="Sem monitoramento"),"VAZIO",IFERROR(K17/($AJ20*24),"-"))</f>
        <v>0.16733333333333333</v>
      </c>
      <c r="AT20" s="68">
        <f>IF(OR(L20="",L20="Sem monitoramento"),"VAZIO",IFERROR(L20/($AJ20*24),"-"))</f>
        <v>0.19316666666666668</v>
      </c>
      <c r="AU20" s="68">
        <f>IF(OR(M20="",M20="Sem monitoramento"),"VAZIO",IFERROR(M20/($AJ20*24),"-"))</f>
        <v>0.21479166666666666</v>
      </c>
      <c r="AV20" s="68">
        <f>IF(OR(N21="",N21="Sem monitoramento"),"VAZIO",IFERROR(N21/($AJ20*24),"-"))</f>
        <v>0.10120833333333333</v>
      </c>
      <c r="AW20" s="68">
        <f t="shared" si="21"/>
        <v>0.20466666666666666</v>
      </c>
      <c r="AX20" s="68">
        <f t="shared" si="21"/>
        <v>0.19991666666666666</v>
      </c>
      <c r="AY20" s="68">
        <f>IF(OR(Q20="",Q20="Sem monitoramento"),"VAZIO",IFERROR(Q20/($AJ20*24),"-"))</f>
        <v>0.21241666666666667</v>
      </c>
      <c r="AZ20" s="68">
        <f>IF(OR(R18="",R18="Sem monitoramento"),"VAZIO",IFERROR(R18/($AJ20*24),"-"))</f>
        <v>0.12420833333333334</v>
      </c>
      <c r="BA20" s="68">
        <f>IF(OR(S21="",S21="Sem monitoramento"),"VAZIO",IFERROR(S21/($AJ20*24),"-"))</f>
        <v>0.10845833333333334</v>
      </c>
      <c r="BB20" s="68" t="e">
        <f>IF(OR(#REF!="",#REF!="Sem monitoramento"),"VAZIO",IFERROR(#REF!/($AJ20*24),"-"))</f>
        <v>#REF!</v>
      </c>
      <c r="BC20" s="68">
        <f t="shared" si="3"/>
        <v>0.16883333333333334</v>
      </c>
      <c r="BD20" s="68">
        <f>IF(OR(V19="",V19="Sem monitoramento"),"VAZIO",IFERROR(V19/($AJ20*24),"-"))</f>
        <v>8.2458333333333342E-2</v>
      </c>
      <c r="BE20" s="68">
        <f t="shared" si="3"/>
        <v>0.13333333333333333</v>
      </c>
      <c r="BF20" s="68">
        <f>IF(OR(X22="",X22="Sem monitoramento"),"VAZIO",IFERROR(X22/($AJ20*24),"-"))</f>
        <v>0.19695833333333332</v>
      </c>
      <c r="BG20" s="68">
        <f>IF(OR(Y18="",Y18="Sem monitoramento"),"VAZIO",IFERROR(Y18/($AJ20*24),"-"))</f>
        <v>0.21570833333333336</v>
      </c>
      <c r="BH20" s="68">
        <f t="shared" si="22"/>
        <v>0.19158333333333333</v>
      </c>
      <c r="BI20" s="68">
        <f t="shared" si="22"/>
        <v>0.11258333333333333</v>
      </c>
      <c r="BJ20" s="68">
        <f>IF(OR(AB20="",AB20="Sem monitoramento"),"VAZIO",IFERROR(AB20/($AJ20*24),"-"))</f>
        <v>0.18241666666666667</v>
      </c>
      <c r="BK20" s="68">
        <f t="shared" si="16"/>
        <v>0.20154166666666667</v>
      </c>
      <c r="BL20" s="68">
        <f>IF(OR(AD21="",AD21="Sem monitoramento"),"VAZIO",IFERROR(AD21/($AJ20*24),"-"))</f>
        <v>0.15437500000000001</v>
      </c>
      <c r="BM20" s="68">
        <f t="shared" si="4"/>
        <v>0.21070833333333333</v>
      </c>
      <c r="BN20" s="68">
        <f t="shared" si="4"/>
        <v>0.19870833333333332</v>
      </c>
      <c r="BO20" s="68">
        <f t="shared" si="4"/>
        <v>0.18112500000000001</v>
      </c>
      <c r="BP20" s="70">
        <f t="shared" si="5"/>
        <v>0.17365833333333333</v>
      </c>
      <c r="BQ20" s="198">
        <f t="shared" ref="BQ20:BQ30" si="23">$BQ$19</f>
        <v>0.168125</v>
      </c>
      <c r="BR20" s="72">
        <f t="shared" si="18"/>
        <v>16.8125</v>
      </c>
      <c r="BS20" s="73">
        <f t="shared" si="19"/>
        <v>7.9166666666666274E-4</v>
      </c>
      <c r="BT20" s="74">
        <f t="shared" si="8"/>
        <v>5.5333333333333345E-3</v>
      </c>
      <c r="BU20" s="15" t="s">
        <v>25</v>
      </c>
      <c r="BV20" s="3"/>
      <c r="BW20" s="2"/>
      <c r="BX20" s="2"/>
    </row>
    <row r="21" spans="2:76" x14ac:dyDescent="0.3">
      <c r="B21" s="775"/>
      <c r="C21" s="326" t="s">
        <v>26</v>
      </c>
      <c r="D21" s="223">
        <v>329.2</v>
      </c>
      <c r="E21" s="283">
        <v>352.8</v>
      </c>
      <c r="F21" s="283">
        <v>331.6</v>
      </c>
      <c r="G21" s="283">
        <v>270.8</v>
      </c>
      <c r="H21" s="283">
        <v>357.6</v>
      </c>
      <c r="I21" s="63">
        <v>315</v>
      </c>
      <c r="J21" s="283">
        <v>401.8</v>
      </c>
      <c r="K21" s="63">
        <v>312.89999999999998</v>
      </c>
      <c r="L21" s="283">
        <v>356.4</v>
      </c>
      <c r="M21" s="316">
        <v>392.9</v>
      </c>
      <c r="N21" s="282">
        <v>242.9</v>
      </c>
      <c r="O21" s="283">
        <v>377</v>
      </c>
      <c r="P21" s="63">
        <v>371</v>
      </c>
      <c r="Q21" s="283">
        <v>388.6</v>
      </c>
      <c r="R21" s="63">
        <v>171.4</v>
      </c>
      <c r="S21" s="63">
        <v>260.3</v>
      </c>
      <c r="T21" s="283">
        <v>88.8</v>
      </c>
      <c r="U21" s="283">
        <v>309.7</v>
      </c>
      <c r="V21" s="283">
        <v>173.4</v>
      </c>
      <c r="W21" s="283">
        <v>241.1</v>
      </c>
      <c r="X21" s="283">
        <v>390.4</v>
      </c>
      <c r="Y21" s="283">
        <v>376.7</v>
      </c>
      <c r="Z21" s="63">
        <v>346.1</v>
      </c>
      <c r="AA21" s="320">
        <v>199.9</v>
      </c>
      <c r="AB21" s="323">
        <v>323.3</v>
      </c>
      <c r="AC21" s="221">
        <v>354.5</v>
      </c>
      <c r="AD21" s="283">
        <v>370.5</v>
      </c>
      <c r="AE21" s="221">
        <v>378.3</v>
      </c>
      <c r="AF21" s="221">
        <v>357.4</v>
      </c>
      <c r="AG21" s="221">
        <v>321.8</v>
      </c>
      <c r="AH21" s="354">
        <v>52.1</v>
      </c>
      <c r="AI21" s="656">
        <f t="shared" si="20"/>
        <v>9516.1999999999989</v>
      </c>
      <c r="AJ21" s="118">
        <v>100</v>
      </c>
      <c r="AK21" s="121">
        <f t="shared" si="17"/>
        <v>7.6759259259259263E-3</v>
      </c>
      <c r="AL21" s="67">
        <f t="shared" si="13"/>
        <v>0.13716666666666666</v>
      </c>
      <c r="AM21" s="68">
        <f t="shared" si="12"/>
        <v>0.14699999999999999</v>
      </c>
      <c r="AN21" s="68">
        <f t="shared" si="12"/>
        <v>0.13816666666666669</v>
      </c>
      <c r="AO21" s="68">
        <f t="shared" si="12"/>
        <v>0.11283333333333334</v>
      </c>
      <c r="AP21" s="68">
        <f t="shared" si="12"/>
        <v>0.14900000000000002</v>
      </c>
      <c r="AQ21" s="68">
        <f t="shared" si="12"/>
        <v>0.13125000000000001</v>
      </c>
      <c r="AR21" s="68">
        <f t="shared" si="12"/>
        <v>0.16741666666666666</v>
      </c>
      <c r="AS21" s="68">
        <f t="shared" si="12"/>
        <v>0.13037499999999999</v>
      </c>
      <c r="AT21" s="68">
        <f t="shared" si="12"/>
        <v>0.14849999999999999</v>
      </c>
      <c r="AU21" s="68">
        <f>IF(OR(M19="",M19="Sem monitoramento"),"VAZIO",IFERROR(M19/($AJ21*24),"-"))</f>
        <v>0.177125</v>
      </c>
      <c r="AV21" s="68">
        <f>IF(OR(N22="",N22="Sem monitoramento"),"VAZIO",IFERROR(N22/($AJ21*24),"-"))</f>
        <v>0.18870833333333331</v>
      </c>
      <c r="AW21" s="68">
        <f t="shared" ref="AW21:BA31" si="24">IF(OR(O21="",O21="Sem monitoramento"),"VAZIO",IFERROR(O21/($AJ21*24),"-"))</f>
        <v>0.15708333333333332</v>
      </c>
      <c r="AX21" s="68">
        <f t="shared" si="24"/>
        <v>0.15458333333333332</v>
      </c>
      <c r="AY21" s="68">
        <f t="shared" si="24"/>
        <v>0.16191666666666668</v>
      </c>
      <c r="AZ21" s="68">
        <f t="shared" si="24"/>
        <v>7.141666666666667E-2</v>
      </c>
      <c r="BA21" s="68">
        <f>IF(OR(S22="",S22="Sem monitoramento"),"VAZIO",IFERROR(S22/($AJ21*24),"-"))</f>
        <v>0.125</v>
      </c>
      <c r="BB21" s="68">
        <f t="shared" ref="BB21:BC31" si="25">IF(OR(T21="",T21="Sem monitoramento"),"VAZIO",IFERROR(T21/($AJ21*24),"-"))</f>
        <v>3.6999999999999998E-2</v>
      </c>
      <c r="BC21" s="68">
        <f t="shared" si="25"/>
        <v>0.12904166666666667</v>
      </c>
      <c r="BD21" s="68">
        <f>IF(OR(V21="",V21="Sem monitoramento"),"VAZIO",IFERROR(V21/($AJ21*24),"-"))</f>
        <v>7.2250000000000009E-2</v>
      </c>
      <c r="BE21" s="68">
        <f>IF(OR(W21="",W21="Sem monitoramento"),"VAZIO",IFERROR(W21/($AJ21*24),"-"))</f>
        <v>0.10045833333333333</v>
      </c>
      <c r="BF21" s="68">
        <f>IF(OR(X23="",X23="Sem monitoramento"),"VAZIO",IFERROR(X23/($AJ21*24),"-"))</f>
        <v>0.17866666666666667</v>
      </c>
      <c r="BG21" s="68">
        <f>IF(OR(Y21="",Y21="Sem monitoramento"),"VAZIO",IFERROR(Y21/($AJ21*24),"-"))</f>
        <v>0.15695833333333334</v>
      </c>
      <c r="BH21" s="68">
        <f t="shared" si="22"/>
        <v>0.14420833333333336</v>
      </c>
      <c r="BI21" s="68">
        <f t="shared" si="22"/>
        <v>8.3291666666666667E-2</v>
      </c>
      <c r="BJ21" s="68">
        <f>IF(OR(AB20="",AB20="Sem monitoramento"),"VAZIO",IFERROR(AB20/($AJ21*24),"-"))</f>
        <v>0.18241666666666667</v>
      </c>
      <c r="BK21" s="68">
        <f t="shared" si="16"/>
        <v>0.14770833333333333</v>
      </c>
      <c r="BL21" s="68" t="e">
        <f>IF(OR(#REF!="",#REF!="Sem monitoramento"),"VAZIO",IFERROR(#REF!/($AJ21*24),"-"))</f>
        <v>#REF!</v>
      </c>
      <c r="BM21" s="68">
        <f t="shared" ref="BM21:BO31" si="26">IF(OR(AE21="",AE21="Sem monitoramento"),"VAZIO",IFERROR(AE21/($AJ21*24),"-"))</f>
        <v>0.15762500000000002</v>
      </c>
      <c r="BN21" s="68">
        <f t="shared" si="26"/>
        <v>0.14891666666666667</v>
      </c>
      <c r="BO21" s="68">
        <f t="shared" si="26"/>
        <v>0.13408333333333333</v>
      </c>
      <c r="BP21" s="70">
        <f t="shared" si="5"/>
        <v>0.13216944444444442</v>
      </c>
      <c r="BQ21" s="198">
        <f t="shared" si="23"/>
        <v>0.168125</v>
      </c>
      <c r="BR21" s="72">
        <f t="shared" si="18"/>
        <v>16.8125</v>
      </c>
      <c r="BS21" s="73">
        <f t="shared" si="19"/>
        <v>-2.9958333333333309E-2</v>
      </c>
      <c r="BT21" s="74">
        <f t="shared" si="8"/>
        <v>-3.5955555555555574E-2</v>
      </c>
      <c r="BU21" s="15" t="s">
        <v>26</v>
      </c>
      <c r="BV21" s="3"/>
      <c r="BW21" s="2"/>
      <c r="BX21" s="2"/>
    </row>
    <row r="22" spans="2:76" x14ac:dyDescent="0.3">
      <c r="B22" s="775"/>
      <c r="C22" s="326" t="s">
        <v>28</v>
      </c>
      <c r="D22" s="223">
        <v>516.79999999999995</v>
      </c>
      <c r="E22" s="283">
        <v>544.6</v>
      </c>
      <c r="F22" s="283">
        <v>529.79999999999995</v>
      </c>
      <c r="G22" s="283">
        <v>445.3</v>
      </c>
      <c r="H22" s="283">
        <v>568.29999999999995</v>
      </c>
      <c r="I22" s="283">
        <v>491.8</v>
      </c>
      <c r="J22" s="283">
        <v>537</v>
      </c>
      <c r="K22" s="63">
        <v>561.9</v>
      </c>
      <c r="L22" s="63">
        <v>543.79999999999995</v>
      </c>
      <c r="M22" s="63">
        <v>577.9</v>
      </c>
      <c r="N22" s="63">
        <v>452.9</v>
      </c>
      <c r="O22" s="283">
        <v>475.2</v>
      </c>
      <c r="P22" s="283">
        <v>456.2</v>
      </c>
      <c r="Q22" s="283">
        <v>456.5</v>
      </c>
      <c r="R22" s="283">
        <v>308.10000000000002</v>
      </c>
      <c r="S22" s="283">
        <v>300</v>
      </c>
      <c r="T22" s="63">
        <v>163</v>
      </c>
      <c r="U22" s="63">
        <v>450.7</v>
      </c>
      <c r="V22" s="282">
        <v>47.5</v>
      </c>
      <c r="W22" s="283">
        <v>451.7</v>
      </c>
      <c r="X22" s="63">
        <v>472.7</v>
      </c>
      <c r="Y22" s="519">
        <v>490.4</v>
      </c>
      <c r="Z22" s="15">
        <v>457.8</v>
      </c>
      <c r="AA22" s="18">
        <v>245</v>
      </c>
      <c r="AB22" s="20">
        <v>508.2</v>
      </c>
      <c r="AC22" s="15">
        <v>518.79999999999995</v>
      </c>
      <c r="AD22" s="221">
        <v>544.79999999999995</v>
      </c>
      <c r="AE22" s="15">
        <v>536.5</v>
      </c>
      <c r="AF22" s="15">
        <v>528.79999999999995</v>
      </c>
      <c r="AG22" s="15">
        <v>440.6</v>
      </c>
      <c r="AH22" s="15">
        <v>235.6</v>
      </c>
      <c r="AI22" s="656">
        <f t="shared" si="20"/>
        <v>13858.199999999999</v>
      </c>
      <c r="AJ22" s="118">
        <v>100</v>
      </c>
      <c r="AK22" s="121">
        <f t="shared" si="17"/>
        <v>1.2263888888888888E-2</v>
      </c>
      <c r="AL22" s="67">
        <f t="shared" si="13"/>
        <v>0.21533333333333332</v>
      </c>
      <c r="AM22" s="68">
        <f t="shared" si="12"/>
        <v>0.22691666666666668</v>
      </c>
      <c r="AN22" s="68">
        <f t="shared" si="12"/>
        <v>0.22074999999999997</v>
      </c>
      <c r="AO22" s="68">
        <f t="shared" si="12"/>
        <v>0.18554166666666666</v>
      </c>
      <c r="AP22" s="68">
        <f t="shared" si="12"/>
        <v>0.23679166666666665</v>
      </c>
      <c r="AQ22" s="68">
        <f t="shared" si="12"/>
        <v>0.20491666666666666</v>
      </c>
      <c r="AR22" s="68">
        <f t="shared" si="12"/>
        <v>0.22375</v>
      </c>
      <c r="AS22" s="68">
        <f t="shared" si="12"/>
        <v>0.234125</v>
      </c>
      <c r="AT22" s="68">
        <f t="shared" si="12"/>
        <v>0.2265833333333333</v>
      </c>
      <c r="AU22" s="68" t="e">
        <f>IF(OR(#REF!="",#REF!="Sem monitoramento"),"VAZIO",IFERROR(#REF!/($AJ22*24),"-"))</f>
        <v>#REF!</v>
      </c>
      <c r="AV22" s="68">
        <f>IF(OR(N22="",N22="Sem monitoramento"),"VAZIO",IFERROR(N22/($AJ22*24),"-"))</f>
        <v>0.18870833333333331</v>
      </c>
      <c r="AW22" s="68">
        <f t="shared" si="24"/>
        <v>0.19799999999999998</v>
      </c>
      <c r="AX22" s="68">
        <f t="shared" si="24"/>
        <v>0.19008333333333333</v>
      </c>
      <c r="AY22" s="68">
        <f t="shared" si="24"/>
        <v>0.19020833333333334</v>
      </c>
      <c r="AZ22" s="68">
        <f t="shared" si="24"/>
        <v>0.12837500000000002</v>
      </c>
      <c r="BA22" s="68">
        <f t="shared" si="24"/>
        <v>0.125</v>
      </c>
      <c r="BB22" s="68">
        <f t="shared" si="25"/>
        <v>6.7916666666666667E-2</v>
      </c>
      <c r="BC22" s="68">
        <f t="shared" si="25"/>
        <v>0.18779166666666666</v>
      </c>
      <c r="BD22" s="68">
        <f>IF(OR(V22="",V22="Sem monitoramento"),"VAZIO",IFERROR(V22/($AJ22*24),"-"))</f>
        <v>1.9791666666666666E-2</v>
      </c>
      <c r="BE22" s="68">
        <f>IF(OR(W22="",W22="Sem monitoramento"),"VAZIO",IFERROR(W22/($AJ22*24),"-"))</f>
        <v>0.18820833333333334</v>
      </c>
      <c r="BF22" s="68">
        <f>IF(OR(X22="",X22="Sem monitoramento"),"VAZIO",IFERROR(X22/($AJ22*24),"-"))</f>
        <v>0.19695833333333332</v>
      </c>
      <c r="BG22" s="68">
        <f>IF(OR(Y19="",Y19="Sem monitoramento"),"VAZIO",IFERROR(Y19/($AJ22*24),"-"))</f>
        <v>0.17691666666666667</v>
      </c>
      <c r="BH22" s="68">
        <f t="shared" si="22"/>
        <v>0.19075</v>
      </c>
      <c r="BI22" s="68">
        <f t="shared" si="22"/>
        <v>0.10208333333333333</v>
      </c>
      <c r="BJ22" s="68">
        <f>IF(OR(AB21="",AB21="Sem monitoramento"),"VAZIO",IFERROR(AB21/($AJ22*24),"-"))</f>
        <v>0.13470833333333335</v>
      </c>
      <c r="BK22" s="68">
        <f t="shared" si="16"/>
        <v>0.21616666666666665</v>
      </c>
      <c r="BL22" s="68">
        <f t="shared" si="16"/>
        <v>0.22699999999999998</v>
      </c>
      <c r="BM22" s="68">
        <f t="shared" si="26"/>
        <v>0.22354166666666667</v>
      </c>
      <c r="BN22" s="68">
        <f t="shared" si="26"/>
        <v>0.22033333333333333</v>
      </c>
      <c r="BO22" s="68">
        <f>IF(OR(AG23="",AG23="Sem monitoramento"),"VAZIO",IFERROR(AG23/($AJ22*24),"-"))</f>
        <v>0.16283333333333333</v>
      </c>
      <c r="BP22" s="70">
        <f t="shared" si="5"/>
        <v>0.19247499999999998</v>
      </c>
      <c r="BQ22" s="198">
        <f t="shared" si="23"/>
        <v>0.168125</v>
      </c>
      <c r="BR22" s="72">
        <f t="shared" si="18"/>
        <v>16.8125</v>
      </c>
      <c r="BS22" s="73">
        <f t="shared" si="19"/>
        <v>5.2624999999999977E-2</v>
      </c>
      <c r="BT22" s="74">
        <f t="shared" si="8"/>
        <v>2.4349999999999983E-2</v>
      </c>
      <c r="BU22" s="15" t="s">
        <v>27</v>
      </c>
      <c r="BV22" s="3"/>
      <c r="BW22" s="2"/>
      <c r="BX22" s="2"/>
    </row>
    <row r="23" spans="2:76" x14ac:dyDescent="0.3">
      <c r="B23" s="775"/>
      <c r="C23" s="326" t="s">
        <v>29</v>
      </c>
      <c r="D23" s="223">
        <v>431.4</v>
      </c>
      <c r="E23" s="63">
        <v>473.3</v>
      </c>
      <c r="F23" s="283">
        <v>403.1</v>
      </c>
      <c r="G23" s="63">
        <v>373.9</v>
      </c>
      <c r="H23" s="283">
        <v>486.2</v>
      </c>
      <c r="I23" s="63">
        <v>379.5</v>
      </c>
      <c r="J23" s="63">
        <v>431.4</v>
      </c>
      <c r="K23" s="63">
        <v>418.9</v>
      </c>
      <c r="L23" s="63">
        <v>344.4</v>
      </c>
      <c r="M23" s="316">
        <v>490.1</v>
      </c>
      <c r="N23" s="519">
        <v>370.3</v>
      </c>
      <c r="O23" s="519">
        <v>301.8</v>
      </c>
      <c r="P23" s="283">
        <v>291.5</v>
      </c>
      <c r="Q23" s="283">
        <v>358.2</v>
      </c>
      <c r="R23" s="63">
        <v>218.9</v>
      </c>
      <c r="S23" s="63">
        <v>222.5</v>
      </c>
      <c r="T23" s="316">
        <v>139.6</v>
      </c>
      <c r="U23" s="63">
        <v>396.1</v>
      </c>
      <c r="V23" s="282">
        <v>41</v>
      </c>
      <c r="W23" s="283">
        <v>393.5</v>
      </c>
      <c r="X23" s="63">
        <v>428.8</v>
      </c>
      <c r="Y23" s="63">
        <v>427.5</v>
      </c>
      <c r="Z23" s="15">
        <v>398.9</v>
      </c>
      <c r="AA23" s="18">
        <v>212.2</v>
      </c>
      <c r="AB23" s="20">
        <v>448.7</v>
      </c>
      <c r="AC23" s="15">
        <v>462.9</v>
      </c>
      <c r="AD23" s="519">
        <v>484.2</v>
      </c>
      <c r="AE23" s="15">
        <v>483.7</v>
      </c>
      <c r="AF23" s="15">
        <v>472.2</v>
      </c>
      <c r="AG23" s="15">
        <v>390.8</v>
      </c>
      <c r="AH23" s="15">
        <v>202.2</v>
      </c>
      <c r="AI23" s="656">
        <f t="shared" si="20"/>
        <v>11377.700000000004</v>
      </c>
      <c r="AJ23" s="118">
        <v>100</v>
      </c>
      <c r="AK23" s="121">
        <f t="shared" si="17"/>
        <v>9.3310185185185197E-3</v>
      </c>
      <c r="AL23" s="67">
        <f t="shared" si="13"/>
        <v>0.17974999999999999</v>
      </c>
      <c r="AM23" s="68">
        <f t="shared" si="12"/>
        <v>0.19720833333333335</v>
      </c>
      <c r="AN23" s="68">
        <f t="shared" si="12"/>
        <v>0.16795833333333335</v>
      </c>
      <c r="AO23" s="68">
        <f t="shared" si="12"/>
        <v>0.15579166666666666</v>
      </c>
      <c r="AP23" s="68">
        <f t="shared" si="12"/>
        <v>0.20258333333333334</v>
      </c>
      <c r="AQ23" s="68">
        <f t="shared" si="12"/>
        <v>0.15812499999999999</v>
      </c>
      <c r="AR23" s="68">
        <f t="shared" si="12"/>
        <v>0.17974999999999999</v>
      </c>
      <c r="AS23" s="68">
        <f t="shared" si="12"/>
        <v>0.17454166666666665</v>
      </c>
      <c r="AT23" s="68">
        <f t="shared" si="12"/>
        <v>0.14349999999999999</v>
      </c>
      <c r="AU23" s="68">
        <f>IF(OR(M22="",M22="Sem monitoramento"),"VAZIO",IFERROR(M22/($AJ23*24),"-"))</f>
        <v>0.24079166666666665</v>
      </c>
      <c r="AV23" s="68">
        <f>IF(OR(N24="",N24="Sem monitoramento"),"VAZIO",IFERROR(N24/($AJ23*24),"-"))</f>
        <v>0.65300000000000002</v>
      </c>
      <c r="AW23" s="68">
        <f>IF(OR(O20="",O20="Sem monitoramento"),"VAZIO",IFERROR(O20/($AJ23*24),"-"))</f>
        <v>0.20466666666666666</v>
      </c>
      <c r="AX23" s="68">
        <f t="shared" si="24"/>
        <v>0.12145833333333333</v>
      </c>
      <c r="AY23" s="68">
        <f t="shared" si="24"/>
        <v>0.14924999999999999</v>
      </c>
      <c r="AZ23" s="68">
        <f t="shared" si="24"/>
        <v>9.1208333333333336E-2</v>
      </c>
      <c r="BA23" s="68">
        <f t="shared" si="24"/>
        <v>9.2708333333333337E-2</v>
      </c>
      <c r="BB23" s="68">
        <f>IF(OR(T20="",T20="Sem monitoramento"),"VAZIO",IFERROR(T20/($AJ23*24),"-"))</f>
        <v>5.0083333333333334E-2</v>
      </c>
      <c r="BC23" s="68">
        <f t="shared" si="25"/>
        <v>0.16504166666666667</v>
      </c>
      <c r="BD23" s="68">
        <f>IF(OR(V23="",V23="Sem monitoramento"),"VAZIO",IFERROR(V23/($AJ23*24),"-"))</f>
        <v>1.7083333333333332E-2</v>
      </c>
      <c r="BE23" s="68" t="e">
        <f>IF(OR(#REF!="",#REF!="Sem monitoramento"),"VAZIO",IFERROR(#REF!/($AJ23*24),"-"))</f>
        <v>#REF!</v>
      </c>
      <c r="BF23" s="68">
        <f>IF(OR(X23="",X23="Sem monitoramento"),"VAZIO",IFERROR(X23/($AJ23*24),"-"))</f>
        <v>0.17866666666666667</v>
      </c>
      <c r="BG23" s="68">
        <f t="shared" ref="BG23:BG31" si="27">IF(OR(Y23="",Y23="Sem monitoramento"),"VAZIO",IFERROR(Y23/($AJ23*24),"-"))</f>
        <v>0.17812500000000001</v>
      </c>
      <c r="BH23" s="68">
        <f t="shared" si="22"/>
        <v>0.16620833333333332</v>
      </c>
      <c r="BI23" s="68">
        <f t="shared" si="22"/>
        <v>8.8416666666666657E-2</v>
      </c>
      <c r="BJ23" s="68">
        <f t="shared" si="22"/>
        <v>0.18695833333333334</v>
      </c>
      <c r="BK23" s="68">
        <f t="shared" si="16"/>
        <v>0.19287499999999999</v>
      </c>
      <c r="BL23" s="68">
        <f>IF(OR(AD24="",AD24="Sem monitoramento"),"VAZIO",IFERROR(AD24/($AJ23*24),"-"))</f>
        <v>0.78166666666666662</v>
      </c>
      <c r="BM23" s="68">
        <f t="shared" si="26"/>
        <v>0.20154166666666667</v>
      </c>
      <c r="BN23" s="68">
        <f t="shared" si="26"/>
        <v>0.19675000000000001</v>
      </c>
      <c r="BO23" s="68" t="e">
        <f>IF(OR(#REF!="",#REF!="Sem monitoramento"),"VAZIO",IFERROR(#REF!/($AJ23*24),"-"))</f>
        <v>#REF!</v>
      </c>
      <c r="BP23" s="70">
        <f t="shared" si="5"/>
        <v>0.15802361111111118</v>
      </c>
      <c r="BQ23" s="198">
        <f t="shared" si="23"/>
        <v>0.168125</v>
      </c>
      <c r="BR23" s="72">
        <f t="shared" si="18"/>
        <v>16.8125</v>
      </c>
      <c r="BS23" s="73">
        <f t="shared" si="19"/>
        <v>-1.6666666666664831E-4</v>
      </c>
      <c r="BT23" s="74">
        <f t="shared" si="8"/>
        <v>-1.0101388888888813E-2</v>
      </c>
      <c r="BU23" s="15" t="s">
        <v>28</v>
      </c>
      <c r="BV23" s="3"/>
      <c r="BW23" s="2"/>
      <c r="BX23" s="2"/>
    </row>
    <row r="24" spans="2:76" x14ac:dyDescent="0.3">
      <c r="B24" s="775"/>
      <c r="C24" s="326" t="s">
        <v>30</v>
      </c>
      <c r="D24" s="223">
        <v>1804.3</v>
      </c>
      <c r="E24" s="63">
        <v>1855.3</v>
      </c>
      <c r="F24" s="63">
        <v>1818.8</v>
      </c>
      <c r="G24" s="63">
        <v>1555.7</v>
      </c>
      <c r="H24" s="283">
        <v>1943</v>
      </c>
      <c r="I24" s="63">
        <v>1728.3</v>
      </c>
      <c r="J24" s="316">
        <f>649.5+502.4+682</f>
        <v>1833.9</v>
      </c>
      <c r="K24" s="63">
        <v>1915.7</v>
      </c>
      <c r="L24" s="63">
        <v>1857.7</v>
      </c>
      <c r="M24" s="63">
        <v>2021.8</v>
      </c>
      <c r="N24" s="63">
        <v>1567.2</v>
      </c>
      <c r="O24" s="283">
        <v>1651.8</v>
      </c>
      <c r="P24" s="283">
        <v>1567.9</v>
      </c>
      <c r="Q24" s="283">
        <v>1565.4</v>
      </c>
      <c r="R24" s="63">
        <v>1139.9000000000001</v>
      </c>
      <c r="S24" s="63">
        <v>1020</v>
      </c>
      <c r="T24" s="63">
        <v>556.20000000000005</v>
      </c>
      <c r="U24" s="63">
        <v>1567.5</v>
      </c>
      <c r="V24" s="282">
        <v>163.6</v>
      </c>
      <c r="W24" s="316">
        <v>1562.8</v>
      </c>
      <c r="X24" s="316">
        <v>1695.9</v>
      </c>
      <c r="Y24" s="63">
        <v>1669.9</v>
      </c>
      <c r="Z24" s="15">
        <v>1573.1</v>
      </c>
      <c r="AA24" s="18">
        <v>842.4</v>
      </c>
      <c r="AB24" s="323">
        <v>1791.8</v>
      </c>
      <c r="AC24" s="221">
        <f>643.4+475.6+668.2</f>
        <v>1787.2</v>
      </c>
      <c r="AD24" s="15">
        <v>1876</v>
      </c>
      <c r="AE24" s="15">
        <v>1858</v>
      </c>
      <c r="AF24" s="15">
        <v>1821.3</v>
      </c>
      <c r="AG24" s="15">
        <v>1537</v>
      </c>
      <c r="AH24" s="15">
        <v>804.3</v>
      </c>
      <c r="AI24" s="656">
        <f t="shared" si="20"/>
        <v>47953.700000000012</v>
      </c>
      <c r="AJ24" s="118">
        <v>383</v>
      </c>
      <c r="AK24" s="121">
        <f t="shared" si="17"/>
        <v>1.0992650614060535E-2</v>
      </c>
      <c r="AL24" s="67">
        <f t="shared" si="13"/>
        <v>0.19629025239338554</v>
      </c>
      <c r="AM24" s="68">
        <f t="shared" si="12"/>
        <v>0.20183855526544822</v>
      </c>
      <c r="AN24" s="68">
        <f t="shared" si="12"/>
        <v>0.19786771105308965</v>
      </c>
      <c r="AO24" s="68">
        <f t="shared" si="12"/>
        <v>0.16924499564838991</v>
      </c>
      <c r="AP24" s="68">
        <f t="shared" si="12"/>
        <v>0.21137946040034813</v>
      </c>
      <c r="AQ24" s="68">
        <f t="shared" si="12"/>
        <v>0.18802219321148825</v>
      </c>
      <c r="AR24" s="68">
        <f>IF(OR(J29="",J29="Sem monitoramento"),"VAZIO",IFERROR(J29/($AJ24*24),"-"))</f>
        <v>4.0785465622280241E-2</v>
      </c>
      <c r="AS24" s="68">
        <f t="shared" si="12"/>
        <v>0.20840948651000871</v>
      </c>
      <c r="AT24" s="68">
        <f t="shared" si="12"/>
        <v>0.20209965187119236</v>
      </c>
      <c r="AU24" s="68">
        <f t="shared" si="12"/>
        <v>0.21995213228894692</v>
      </c>
      <c r="AV24" s="68" t="e">
        <f>IF(OR(#REF!="",#REF!="Sem monitoramento"),"VAZIO",IFERROR(#REF!/($AJ24*24),"-"))</f>
        <v>#REF!</v>
      </c>
      <c r="AW24" s="68">
        <f t="shared" ref="AW24:AW31" si="28">IF(OR(O24="",O24="Sem monitoramento"),"VAZIO",IFERROR(O24/($AJ24*24),"-"))</f>
        <v>0.17969973890339425</v>
      </c>
      <c r="AX24" s="68">
        <f t="shared" si="24"/>
        <v>0.17057223672758923</v>
      </c>
      <c r="AY24" s="68">
        <f t="shared" si="24"/>
        <v>0.17030026109660576</v>
      </c>
      <c r="AZ24" s="68">
        <f t="shared" si="24"/>
        <v>0.1240100087032202</v>
      </c>
      <c r="BA24" s="68">
        <f t="shared" si="24"/>
        <v>0.11096605744125326</v>
      </c>
      <c r="BB24" s="68">
        <f t="shared" si="25"/>
        <v>6.0509138381201047E-2</v>
      </c>
      <c r="BC24" s="68">
        <f t="shared" si="25"/>
        <v>0.17052872062663185</v>
      </c>
      <c r="BD24" s="68" t="e">
        <f>IF(OR(#REF!="",#REF!="Sem monitoramento"),"VAZIO",IFERROR(#REF!/($AJ24*24),"-"))</f>
        <v>#REF!</v>
      </c>
      <c r="BE24" s="68" t="e">
        <f>IF(OR(#REF!="",#REF!="Sem monitoramento"),"VAZIO",IFERROR(#REF!/($AJ24*24),"-"))</f>
        <v>#REF!</v>
      </c>
      <c r="BF24" s="68" t="e">
        <f>IF(OR(#REF!="",#REF!="Sem monitoramento"),"VAZIO",IFERROR(#REF!/($AJ24*24),"-"))</f>
        <v>#REF!</v>
      </c>
      <c r="BG24" s="68">
        <f t="shared" si="27"/>
        <v>0.18166884247171455</v>
      </c>
      <c r="BH24" s="68">
        <f t="shared" si="22"/>
        <v>0.17113794604003479</v>
      </c>
      <c r="BI24" s="68">
        <f t="shared" si="22"/>
        <v>9.1644908616187987E-2</v>
      </c>
      <c r="BJ24" s="68">
        <f t="shared" si="22"/>
        <v>0.19493037423846823</v>
      </c>
      <c r="BK24" s="68">
        <f t="shared" si="16"/>
        <v>0.19442993907745867</v>
      </c>
      <c r="BL24" s="68" t="e">
        <f>IF(OR(#REF!="",#REF!="Sem monitoramento"),"VAZIO",IFERROR(#REF!/($AJ24*24),"-"))</f>
        <v>#REF!</v>
      </c>
      <c r="BM24" s="68">
        <f t="shared" si="26"/>
        <v>0.20213228894691035</v>
      </c>
      <c r="BN24" s="68">
        <f t="shared" si="26"/>
        <v>0.19813968668407311</v>
      </c>
      <c r="BO24" s="68">
        <f>IF(OR(AG24="",AG24="Sem monitoramento"),"VAZIO",IFERROR(AG24/($AJ24*24),"-"))</f>
        <v>0.16721061792863359</v>
      </c>
      <c r="BP24" s="70">
        <f t="shared" si="5"/>
        <v>0.17389650420655647</v>
      </c>
      <c r="BQ24" s="198">
        <f t="shared" si="23"/>
        <v>0.168125</v>
      </c>
      <c r="BR24" s="72">
        <f>AJ24*BQ24</f>
        <v>64.391874999999999</v>
      </c>
      <c r="BS24" s="73">
        <f t="shared" si="19"/>
        <v>2.9742711053089649E-2</v>
      </c>
      <c r="BT24" s="74">
        <f t="shared" si="8"/>
        <v>5.771504206556477E-3</v>
      </c>
      <c r="BU24" s="15" t="s">
        <v>29</v>
      </c>
      <c r="BV24" s="3"/>
      <c r="BW24" s="2"/>
      <c r="BX24" s="2"/>
    </row>
    <row r="25" spans="2:76" x14ac:dyDescent="0.3">
      <c r="B25" s="775"/>
      <c r="C25" s="326" t="s">
        <v>111</v>
      </c>
      <c r="D25" s="223">
        <v>569</v>
      </c>
      <c r="E25" s="63">
        <v>621.9</v>
      </c>
      <c r="F25" s="63">
        <v>553.79999999999995</v>
      </c>
      <c r="G25" s="63">
        <v>426</v>
      </c>
      <c r="H25" s="63">
        <v>519.70000000000005</v>
      </c>
      <c r="I25" s="63">
        <v>509.2</v>
      </c>
      <c r="J25" s="63">
        <v>434.5</v>
      </c>
      <c r="K25" s="63">
        <v>529.5</v>
      </c>
      <c r="L25" s="63">
        <v>509</v>
      </c>
      <c r="M25" s="63">
        <v>478.4</v>
      </c>
      <c r="N25" s="63">
        <v>502.2</v>
      </c>
      <c r="O25" s="63">
        <v>468.6</v>
      </c>
      <c r="P25" s="63">
        <v>445.6</v>
      </c>
      <c r="Q25" s="283">
        <v>509.4</v>
      </c>
      <c r="R25" s="63">
        <v>297.5</v>
      </c>
      <c r="S25" s="63">
        <v>212.1</v>
      </c>
      <c r="T25" s="316">
        <v>373.7</v>
      </c>
      <c r="U25" s="316">
        <v>533.70000000000005</v>
      </c>
      <c r="V25" s="283">
        <v>356</v>
      </c>
      <c r="W25" s="283">
        <v>438.7</v>
      </c>
      <c r="X25" s="63">
        <v>373.6</v>
      </c>
      <c r="Y25" s="63">
        <v>462.3</v>
      </c>
      <c r="Z25" s="148">
        <v>464.5</v>
      </c>
      <c r="AA25" s="18">
        <v>304.10000000000002</v>
      </c>
      <c r="AB25" s="20">
        <v>495.1</v>
      </c>
      <c r="AC25" s="15">
        <v>494.4</v>
      </c>
      <c r="AD25" s="15">
        <v>489.5</v>
      </c>
      <c r="AE25" s="15">
        <v>490.1</v>
      </c>
      <c r="AF25" s="15">
        <v>524.6</v>
      </c>
      <c r="AG25" s="15">
        <v>474.4</v>
      </c>
      <c r="AH25" s="15">
        <v>290</v>
      </c>
      <c r="AI25" s="656">
        <f t="shared" si="20"/>
        <v>14151.1</v>
      </c>
      <c r="AJ25" s="118">
        <v>100</v>
      </c>
      <c r="AK25" s="121">
        <f t="shared" si="17"/>
        <v>1.2819444444444444E-2</v>
      </c>
      <c r="AL25" s="67">
        <f t="shared" si="13"/>
        <v>0.23708333333333334</v>
      </c>
      <c r="AM25" s="68">
        <f t="shared" si="12"/>
        <v>0.25912499999999999</v>
      </c>
      <c r="AN25" s="68">
        <f t="shared" si="12"/>
        <v>0.23074999999999998</v>
      </c>
      <c r="AO25" s="68">
        <f t="shared" si="12"/>
        <v>0.17749999999999999</v>
      </c>
      <c r="AP25" s="68">
        <f t="shared" si="12"/>
        <v>0.21654166666666669</v>
      </c>
      <c r="AQ25" s="68">
        <f t="shared" si="12"/>
        <v>0.21216666666666667</v>
      </c>
      <c r="AR25" s="68">
        <f>IF(OR(J25="",J25="Sem monitoramento"),"VAZIO",IFERROR(J25/($AJ25*24),"-"))</f>
        <v>0.18104166666666666</v>
      </c>
      <c r="AS25" s="68">
        <f t="shared" si="12"/>
        <v>0.22062499999999999</v>
      </c>
      <c r="AT25" s="68">
        <f t="shared" si="12"/>
        <v>0.21208333333333335</v>
      </c>
      <c r="AU25" s="68">
        <f t="shared" si="12"/>
        <v>0.19933333333333333</v>
      </c>
      <c r="AV25" s="68" t="e">
        <f>IF(OR(#REF!="",#REF!="Sem monitoramento"),"VAZIO",IFERROR(#REF!/($AJ25*24),"-"))</f>
        <v>#REF!</v>
      </c>
      <c r="AW25" s="68">
        <f t="shared" si="28"/>
        <v>0.19525000000000001</v>
      </c>
      <c r="AX25" s="68">
        <f t="shared" si="24"/>
        <v>0.18566666666666667</v>
      </c>
      <c r="AY25" s="68">
        <f t="shared" si="24"/>
        <v>0.21224999999999999</v>
      </c>
      <c r="AZ25" s="68">
        <f t="shared" si="24"/>
        <v>0.12395833333333334</v>
      </c>
      <c r="BA25" s="68">
        <f t="shared" si="24"/>
        <v>8.8374999999999995E-2</v>
      </c>
      <c r="BB25" s="68">
        <f>IF(OR(T26="",T26="Sem monitoramento"),"VAZIO",IFERROR(T26/($AJ25*24),"-"))</f>
        <v>7.5624999999999998E-2</v>
      </c>
      <c r="BC25" s="68">
        <f>IF(OR(U26="",U26="Sem monitoramento"),"VAZIO",IFERROR(U26/($AJ25*24),"-"))</f>
        <v>0.19641666666666666</v>
      </c>
      <c r="BD25" s="68">
        <f t="shared" ref="BD25:BD31" si="29">IF(OR(V25="",V25="Sem monitoramento"),"VAZIO",IFERROR(V25/($AJ25*24),"-"))</f>
        <v>0.14833333333333334</v>
      </c>
      <c r="BE25" s="68" t="e">
        <f>IF(OR(#REF!="",#REF!="Sem monitoramento"),"VAZIO",IFERROR(#REF!/($AJ25*24),"-"))</f>
        <v>#REF!</v>
      </c>
      <c r="BF25" s="68">
        <f t="shared" ref="BF25:BF31" si="30">IF(OR(X25="",X25="Sem monitoramento"),"VAZIO",IFERROR(X25/($AJ25*24),"-"))</f>
        <v>0.15566666666666668</v>
      </c>
      <c r="BG25" s="68">
        <f t="shared" si="27"/>
        <v>0.19262500000000002</v>
      </c>
      <c r="BH25" s="68">
        <f>IF(OR(Z26="",Z26="Sem monitoramento"),"VAZIO",IFERROR(Z26/($AJ25*24),"-"))</f>
        <v>0.19316666666666668</v>
      </c>
      <c r="BI25" s="68">
        <f>IF(OR(AA25="",AA25="Sem monitoramento"),"VAZIO",IFERROR(AA25/($AJ25*24),"-"))</f>
        <v>0.12670833333333334</v>
      </c>
      <c r="BJ25" s="68">
        <f t="shared" si="22"/>
        <v>0.20629166666666668</v>
      </c>
      <c r="BK25" s="68">
        <f t="shared" si="16"/>
        <v>0.20599999999999999</v>
      </c>
      <c r="BL25" s="68">
        <f t="shared" si="16"/>
        <v>0.20395833333333332</v>
      </c>
      <c r="BM25" s="68">
        <f t="shared" si="26"/>
        <v>0.20420833333333335</v>
      </c>
      <c r="BN25" s="68">
        <f t="shared" si="26"/>
        <v>0.21858333333333335</v>
      </c>
      <c r="BO25" s="68">
        <f>IF(OR(AG25="",AG25="Sem monitoramento"),"VAZIO",IFERROR(AG25/($AJ25*24),"-"))</f>
        <v>0.19766666666666666</v>
      </c>
      <c r="BP25" s="70">
        <f t="shared" si="5"/>
        <v>0.19654305555555557</v>
      </c>
      <c r="BQ25" s="198">
        <f t="shared" si="23"/>
        <v>0.168125</v>
      </c>
      <c r="BR25" s="72">
        <f t="shared" si="18"/>
        <v>16.8125</v>
      </c>
      <c r="BS25" s="73">
        <f t="shared" si="19"/>
        <v>6.2624999999999986E-2</v>
      </c>
      <c r="BT25" s="74">
        <f t="shared" si="8"/>
        <v>2.8418055555555571E-2</v>
      </c>
      <c r="BU25" s="15" t="s">
        <v>30</v>
      </c>
      <c r="BV25" s="3"/>
      <c r="BW25" s="2"/>
      <c r="BX25" s="2"/>
    </row>
    <row r="26" spans="2:76" x14ac:dyDescent="0.3">
      <c r="B26" s="775"/>
      <c r="C26" s="326" t="s">
        <v>32</v>
      </c>
      <c r="D26" s="62">
        <v>540.4</v>
      </c>
      <c r="E26" s="283">
        <v>518.4</v>
      </c>
      <c r="F26" s="63">
        <v>507.2</v>
      </c>
      <c r="G26" s="63">
        <v>402.5</v>
      </c>
      <c r="H26" s="63">
        <v>537.79999999999995</v>
      </c>
      <c r="I26" s="283">
        <v>438.6</v>
      </c>
      <c r="J26" s="63">
        <v>430.2</v>
      </c>
      <c r="K26" s="63">
        <v>439.3</v>
      </c>
      <c r="L26" s="63">
        <v>529.9</v>
      </c>
      <c r="M26" s="283">
        <v>488.7</v>
      </c>
      <c r="N26" s="519">
        <v>384.1</v>
      </c>
      <c r="O26" s="63">
        <v>438.2</v>
      </c>
      <c r="P26" s="63">
        <v>435</v>
      </c>
      <c r="Q26" s="283">
        <v>401</v>
      </c>
      <c r="R26" s="283">
        <v>315.39999999999998</v>
      </c>
      <c r="S26" s="63">
        <v>262.89999999999998</v>
      </c>
      <c r="T26" s="63">
        <v>181.5</v>
      </c>
      <c r="U26" s="63">
        <v>471.4</v>
      </c>
      <c r="V26" s="283">
        <v>285.39999999999998</v>
      </c>
      <c r="W26" s="283">
        <v>330.3</v>
      </c>
      <c r="X26" s="63">
        <v>382.6</v>
      </c>
      <c r="Y26" s="63">
        <v>511.1</v>
      </c>
      <c r="Z26" s="221">
        <v>463.6</v>
      </c>
      <c r="AA26" s="320">
        <v>251.4</v>
      </c>
      <c r="AB26" s="323">
        <v>489.3</v>
      </c>
      <c r="AC26" s="15">
        <v>514.9</v>
      </c>
      <c r="AD26" s="221">
        <v>500.2</v>
      </c>
      <c r="AE26" s="15">
        <v>503.2</v>
      </c>
      <c r="AF26" s="283">
        <v>466.5</v>
      </c>
      <c r="AG26" s="283">
        <v>460.1</v>
      </c>
      <c r="AH26" s="283">
        <v>212.8</v>
      </c>
      <c r="AI26" s="656">
        <f>SUM(D26:AH26)</f>
        <v>13093.9</v>
      </c>
      <c r="AJ26" s="118">
        <v>100</v>
      </c>
      <c r="AK26" s="121">
        <f t="shared" si="17"/>
        <v>1.1740740740740741E-2</v>
      </c>
      <c r="AL26" s="67">
        <f t="shared" si="13"/>
        <v>0.22516666666666665</v>
      </c>
      <c r="AM26" s="68">
        <f t="shared" ref="AM26:AO27" si="31">IF(OR(E26="",E26="Sem monitoramento"),"VAZIO",IFERROR(E26/($AJ26*24),"-"))</f>
        <v>0.216</v>
      </c>
      <c r="AN26" s="68">
        <f t="shared" si="31"/>
        <v>0.21133333333333332</v>
      </c>
      <c r="AO26" s="68">
        <f t="shared" si="31"/>
        <v>0.16770833333333332</v>
      </c>
      <c r="AP26" s="68" t="e">
        <f>IF(OR(#REF!="",#REF!="Sem monitoramento"),"VAZIO",IFERROR(#REF!/($AJ26*24),"-"))</f>
        <v>#REF!</v>
      </c>
      <c r="AQ26" s="68">
        <f t="shared" ref="AQ26:AQ31" si="32">IF(OR(I26="",I26="Sem monitoramento"),"VAZIO",IFERROR(I26/($AJ26*24),"-"))</f>
        <v>0.18275</v>
      </c>
      <c r="AR26" s="68">
        <f>IF(OR(J26="",J26="Sem monitoramento"),"VAZIO",IFERROR(J26/($AJ26*24),"-"))</f>
        <v>0.17924999999999999</v>
      </c>
      <c r="AS26" s="68">
        <f t="shared" ref="AS26:AU31" si="33">IF(OR(K26="",K26="Sem monitoramento"),"VAZIO",IFERROR(K26/($AJ26*24),"-"))</f>
        <v>0.18304166666666666</v>
      </c>
      <c r="AT26" s="68">
        <f t="shared" si="33"/>
        <v>0.22079166666666666</v>
      </c>
      <c r="AU26" s="68">
        <f t="shared" si="33"/>
        <v>0.203625</v>
      </c>
      <c r="AV26" s="68">
        <f>IF(OR(N25="",N25="Sem monitoramento"),"VAZIO",IFERROR(N25/($AJ26*24),"-"))</f>
        <v>0.20924999999999999</v>
      </c>
      <c r="AW26" s="68">
        <f t="shared" si="28"/>
        <v>0.18258333333333332</v>
      </c>
      <c r="AX26" s="68">
        <f t="shared" si="24"/>
        <v>0.18124999999999999</v>
      </c>
      <c r="AY26" s="68">
        <f t="shared" si="24"/>
        <v>0.16708333333333333</v>
      </c>
      <c r="AZ26" s="68">
        <f t="shared" si="24"/>
        <v>0.13141666666666665</v>
      </c>
      <c r="BA26" s="68">
        <f t="shared" si="24"/>
        <v>0.10954166666666666</v>
      </c>
      <c r="BB26" s="68" t="e">
        <f>IF(OR(#REF!="",#REF!="Sem monitoramento"),"VAZIO",IFERROR(#REF!/($AJ26*24),"-"))</f>
        <v>#REF!</v>
      </c>
      <c r="BC26" s="68" t="e">
        <f>IF(OR(#REF!="",#REF!="Sem monitoramento"),"VAZIO",IFERROR(#REF!/($AJ26*24),"-"))</f>
        <v>#REF!</v>
      </c>
      <c r="BD26" s="68">
        <f t="shared" si="29"/>
        <v>0.11891666666666666</v>
      </c>
      <c r="BE26" s="68">
        <f>IF(OR(W25="",W25="Sem monitoramento"),"VAZIO",IFERROR(W25/($AJ26*24),"-"))</f>
        <v>0.18279166666666666</v>
      </c>
      <c r="BF26" s="68">
        <f t="shared" si="30"/>
        <v>0.15941666666666668</v>
      </c>
      <c r="BG26" s="68">
        <f t="shared" si="27"/>
        <v>0.21295833333333333</v>
      </c>
      <c r="BH26" s="68" t="e">
        <f>IF(OR(#REF!="",#REF!="Sem monitoramento"),"VAZIO",IFERROR(#REF!/($AJ26*24),"-"))</f>
        <v>#REF!</v>
      </c>
      <c r="BI26" s="68">
        <f>IF(OR(AA26="",AA26="Sem monitoramento"),"VAZIO",IFERROR(AA26/($AJ26*24),"-"))</f>
        <v>0.10475</v>
      </c>
      <c r="BJ26" s="68">
        <f t="shared" si="22"/>
        <v>0.203875</v>
      </c>
      <c r="BK26" s="68">
        <f t="shared" si="16"/>
        <v>0.21454166666666666</v>
      </c>
      <c r="BL26" s="68">
        <f t="shared" si="16"/>
        <v>0.20841666666666667</v>
      </c>
      <c r="BM26" s="68">
        <f t="shared" si="26"/>
        <v>0.20966666666666667</v>
      </c>
      <c r="BN26" s="68">
        <f t="shared" si="26"/>
        <v>0.19437499999999999</v>
      </c>
      <c r="BO26" s="68">
        <f>IF(OR(AG26="",AG26="Sem monitoramento"),"VAZIO",IFERROR(AG26/($AJ26*24),"-"))</f>
        <v>0.19170833333333334</v>
      </c>
      <c r="BP26" s="70">
        <f t="shared" si="5"/>
        <v>0.18185972222222221</v>
      </c>
      <c r="BQ26" s="198">
        <f t="shared" si="23"/>
        <v>0.168125</v>
      </c>
      <c r="BR26" s="72">
        <f t="shared" si="18"/>
        <v>16.8125</v>
      </c>
      <c r="BS26" s="73">
        <f t="shared" si="19"/>
        <v>4.3208333333333321E-2</v>
      </c>
      <c r="BT26" s="74">
        <f t="shared" si="8"/>
        <v>1.3734722222222218E-2</v>
      </c>
      <c r="BU26" s="15" t="s">
        <v>111</v>
      </c>
      <c r="BV26" s="3"/>
      <c r="BW26" s="2"/>
      <c r="BX26" s="2"/>
    </row>
    <row r="27" spans="2:76" x14ac:dyDescent="0.3">
      <c r="B27" s="775"/>
      <c r="C27" s="326" t="s">
        <v>288</v>
      </c>
      <c r="D27" s="223">
        <v>485.3</v>
      </c>
      <c r="E27" s="63">
        <v>487.4</v>
      </c>
      <c r="F27" s="63">
        <v>453.4</v>
      </c>
      <c r="G27" s="308">
        <v>357.5</v>
      </c>
      <c r="H27" s="316">
        <v>468.4</v>
      </c>
      <c r="I27" s="283">
        <v>449.1</v>
      </c>
      <c r="J27" s="283">
        <v>486</v>
      </c>
      <c r="K27" s="283">
        <v>470.3</v>
      </c>
      <c r="L27" s="283">
        <v>486.4</v>
      </c>
      <c r="M27" s="283">
        <v>493.9</v>
      </c>
      <c r="N27" s="283">
        <v>427.2</v>
      </c>
      <c r="O27" s="283">
        <v>392.6</v>
      </c>
      <c r="P27" s="63">
        <v>432.8</v>
      </c>
      <c r="Q27" s="283">
        <v>429.2</v>
      </c>
      <c r="R27" s="283">
        <v>385.5</v>
      </c>
      <c r="S27" s="63">
        <v>232.7</v>
      </c>
      <c r="T27" s="283">
        <v>189</v>
      </c>
      <c r="U27" s="283">
        <v>469.9</v>
      </c>
      <c r="V27" s="283">
        <v>261.10000000000002</v>
      </c>
      <c r="W27" s="283">
        <v>337.1</v>
      </c>
      <c r="X27" s="283">
        <v>325.5</v>
      </c>
      <c r="Y27" s="283">
        <v>425.6</v>
      </c>
      <c r="Z27" s="221">
        <v>357.4</v>
      </c>
      <c r="AA27" s="283">
        <v>211.2</v>
      </c>
      <c r="AB27" s="323">
        <v>447.8</v>
      </c>
      <c r="AC27" s="282">
        <v>327.3</v>
      </c>
      <c r="AD27" s="282">
        <v>338.6</v>
      </c>
      <c r="AE27" s="283">
        <v>465.7</v>
      </c>
      <c r="AF27" s="283">
        <v>446.2</v>
      </c>
      <c r="AG27" s="283">
        <v>400.1</v>
      </c>
      <c r="AH27" s="283">
        <v>217.7</v>
      </c>
      <c r="AI27" s="656">
        <f t="shared" si="20"/>
        <v>12157.900000000001</v>
      </c>
      <c r="AJ27" s="118">
        <v>100</v>
      </c>
      <c r="AK27" s="121">
        <f t="shared" si="17"/>
        <v>1.049537037037037E-2</v>
      </c>
      <c r="AL27" s="67">
        <f t="shared" si="13"/>
        <v>0.20220833333333335</v>
      </c>
      <c r="AM27" s="68">
        <f t="shared" si="31"/>
        <v>0.20308333333333331</v>
      </c>
      <c r="AN27" s="68">
        <f t="shared" si="31"/>
        <v>0.18891666666666665</v>
      </c>
      <c r="AO27" s="68">
        <f t="shared" si="31"/>
        <v>0.14895833333333333</v>
      </c>
      <c r="AP27" s="68">
        <f>IF(OR(H26="",H26="Sem monitoramento"),"VAZIO",IFERROR(H26/($AJ27*24),"-"))</f>
        <v>0.2240833333333333</v>
      </c>
      <c r="AQ27" s="68">
        <f t="shared" si="32"/>
        <v>0.18712500000000001</v>
      </c>
      <c r="AR27" s="68">
        <f>IF(OR(J27="",J27="Sem monitoramento"),"VAZIO",IFERROR(J27/($AJ27*24),"-"))</f>
        <v>0.20250000000000001</v>
      </c>
      <c r="AS27" s="68">
        <f t="shared" si="33"/>
        <v>0.19595833333333335</v>
      </c>
      <c r="AT27" s="68">
        <f t="shared" si="33"/>
        <v>0.20266666666666666</v>
      </c>
      <c r="AU27" s="68">
        <f t="shared" si="33"/>
        <v>0.20579166666666665</v>
      </c>
      <c r="AV27" s="68">
        <f>IF(OR(N27="",N27="Sem monitoramento"),"VAZIO",IFERROR(N27/($AJ27*24),"-"))</f>
        <v>0.17799999999999999</v>
      </c>
      <c r="AW27" s="68">
        <f t="shared" si="28"/>
        <v>0.16358333333333333</v>
      </c>
      <c r="AX27" s="68">
        <f t="shared" si="24"/>
        <v>0.18033333333333335</v>
      </c>
      <c r="AY27" s="68">
        <f t="shared" si="24"/>
        <v>0.17883333333333332</v>
      </c>
      <c r="AZ27" s="68">
        <f t="shared" si="24"/>
        <v>0.16062499999999999</v>
      </c>
      <c r="BA27" s="68">
        <f t="shared" si="24"/>
        <v>9.6958333333333327E-2</v>
      </c>
      <c r="BB27" s="68">
        <f>IF(OR(T27="",T27="Sem monitoramento"),"VAZIO",IFERROR(T27/($AJ27*24),"-"))</f>
        <v>7.8750000000000001E-2</v>
      </c>
      <c r="BC27" s="68">
        <f t="shared" si="25"/>
        <v>0.19579166666666667</v>
      </c>
      <c r="BD27" s="68">
        <f t="shared" si="29"/>
        <v>0.10879166666666668</v>
      </c>
      <c r="BE27" s="68">
        <f>IF(OR(W27="",W27="Sem monitoramento"),"VAZIO",IFERROR(W27/($AJ27*24),"-"))</f>
        <v>0.14045833333333335</v>
      </c>
      <c r="BF27" s="68">
        <f t="shared" si="30"/>
        <v>0.135625</v>
      </c>
      <c r="BG27" s="68">
        <f t="shared" si="27"/>
        <v>0.17733333333333334</v>
      </c>
      <c r="BH27" s="68">
        <f>IF(OR(Z27="",Z27="Sem monitoramento"),"VAZIO",IFERROR(Z27/($AJ27*24),"-"))</f>
        <v>0.14891666666666667</v>
      </c>
      <c r="BI27" s="68" t="e">
        <f>IF(OR(#REF!="",#REF!="Sem monitoramento"),"VAZIO",IFERROR(#REF!/($AJ27*24),"-"))</f>
        <v>#REF!</v>
      </c>
      <c r="BJ27" s="68">
        <f t="shared" si="22"/>
        <v>0.18658333333333335</v>
      </c>
      <c r="BK27" s="68">
        <f t="shared" si="16"/>
        <v>0.136375</v>
      </c>
      <c r="BL27" s="68">
        <f t="shared" si="16"/>
        <v>0.14108333333333334</v>
      </c>
      <c r="BM27" s="68">
        <f t="shared" si="26"/>
        <v>0.19404166666666667</v>
      </c>
      <c r="BN27" s="68">
        <f t="shared" si="26"/>
        <v>0.18591666666666667</v>
      </c>
      <c r="BO27" s="68">
        <f>IF(OR(AG27="",AG27="Sem monitoramento"),"VAZIO",IFERROR(AG27/($AJ27*24),"-"))</f>
        <v>0.16670833333333335</v>
      </c>
      <c r="BP27" s="70">
        <f t="shared" si="5"/>
        <v>0.16885972222222223</v>
      </c>
      <c r="BQ27" s="198">
        <f t="shared" si="23"/>
        <v>0.168125</v>
      </c>
      <c r="BR27" s="72">
        <f t="shared" si="18"/>
        <v>16.8125</v>
      </c>
      <c r="BS27" s="73">
        <f t="shared" si="19"/>
        <v>2.0791666666666653E-2</v>
      </c>
      <c r="BT27" s="74">
        <f t="shared" si="8"/>
        <v>7.3472222222223382E-4</v>
      </c>
      <c r="BU27" s="15" t="s">
        <v>32</v>
      </c>
      <c r="BV27" s="3"/>
      <c r="BW27" s="2"/>
      <c r="BX27" s="2"/>
    </row>
    <row r="28" spans="2:76" x14ac:dyDescent="0.3">
      <c r="B28" s="775"/>
      <c r="C28" s="326" t="s">
        <v>112</v>
      </c>
      <c r="D28" s="223">
        <v>467.9</v>
      </c>
      <c r="E28" s="223">
        <v>455</v>
      </c>
      <c r="F28" s="63">
        <v>451.7</v>
      </c>
      <c r="G28" s="308">
        <v>321</v>
      </c>
      <c r="H28" s="283">
        <v>411.7</v>
      </c>
      <c r="I28" s="283">
        <v>390.5</v>
      </c>
      <c r="J28" s="283">
        <v>408.9</v>
      </c>
      <c r="K28" s="283">
        <v>420.7</v>
      </c>
      <c r="L28" s="283">
        <v>492.9</v>
      </c>
      <c r="M28" s="63">
        <v>480.9</v>
      </c>
      <c r="N28" s="63">
        <v>427.3</v>
      </c>
      <c r="O28" s="283">
        <v>382.4</v>
      </c>
      <c r="P28" s="283">
        <v>407.2</v>
      </c>
      <c r="Q28" s="283">
        <v>403.1</v>
      </c>
      <c r="R28" s="283">
        <v>347</v>
      </c>
      <c r="S28" s="283">
        <v>217.1</v>
      </c>
      <c r="T28" s="283">
        <v>149.5</v>
      </c>
      <c r="U28" s="283">
        <v>376.7</v>
      </c>
      <c r="V28" s="283">
        <v>248.7</v>
      </c>
      <c r="W28" s="283">
        <v>279.39999999999998</v>
      </c>
      <c r="X28" s="283">
        <v>285.89999999999998</v>
      </c>
      <c r="Y28" s="283">
        <v>389.8</v>
      </c>
      <c r="Z28" s="283">
        <v>360.9</v>
      </c>
      <c r="AA28" s="519">
        <v>197.4</v>
      </c>
      <c r="AB28" s="323">
        <v>417.4</v>
      </c>
      <c r="AC28" s="282">
        <v>289.10000000000002</v>
      </c>
      <c r="AD28" s="283">
        <v>295</v>
      </c>
      <c r="AE28" s="221">
        <v>431.8</v>
      </c>
      <c r="AF28" s="221">
        <v>440</v>
      </c>
      <c r="AG28" s="221">
        <v>358.7</v>
      </c>
      <c r="AH28" s="221">
        <v>205.8</v>
      </c>
      <c r="AI28" s="656">
        <f>SUM(D28:AH28)</f>
        <v>11211.399999999998</v>
      </c>
      <c r="AJ28" s="301">
        <v>100</v>
      </c>
      <c r="AK28" s="121">
        <f t="shared" si="17"/>
        <v>1.0456018518518519E-2</v>
      </c>
      <c r="AL28" s="302" t="e">
        <f>IF(OR(#REF!="",#REF!="Sem monitoramento"),"VAZIO",IFERROR(#REF!/($AJ28*24),"-"))</f>
        <v>#REF!</v>
      </c>
      <c r="AM28" s="303" t="e">
        <f>IF(OR(#REF!="",#REF!="Sem monitoramento"),"VAZIO",IFERROR(#REF!/($AJ28*24),"-"))</f>
        <v>#REF!</v>
      </c>
      <c r="AN28" s="303">
        <f t="shared" ref="AN28:AP31" si="34">IF(OR(F28="",F28="Sem monitoramento"),"VAZIO",IFERROR(F28/($AJ28*24),"-"))</f>
        <v>0.18820833333333334</v>
      </c>
      <c r="AO28" s="303">
        <f t="shared" si="34"/>
        <v>0.13375000000000001</v>
      </c>
      <c r="AP28" s="303">
        <f t="shared" si="34"/>
        <v>0.17154166666666668</v>
      </c>
      <c r="AQ28" s="303">
        <f t="shared" si="32"/>
        <v>0.16270833333333334</v>
      </c>
      <c r="AR28" s="303">
        <f>IF(OR(J28="",J28="Sem monitoramento"),"VAZIO",IFERROR(J28/($AJ28*24),"-"))</f>
        <v>0.170375</v>
      </c>
      <c r="AS28" s="303">
        <f t="shared" si="33"/>
        <v>0.17529166666666665</v>
      </c>
      <c r="AT28" s="303">
        <f t="shared" si="33"/>
        <v>0.205375</v>
      </c>
      <c r="AU28" s="303">
        <f t="shared" si="33"/>
        <v>0.200375</v>
      </c>
      <c r="AV28" s="303">
        <f>IF(OR(N28="",N28="Sem monitoramento"),"VAZIO",IFERROR(N28/($AJ28*24),"-"))</f>
        <v>0.17804166666666668</v>
      </c>
      <c r="AW28" s="303">
        <f t="shared" si="28"/>
        <v>0.15933333333333333</v>
      </c>
      <c r="AX28" s="303">
        <f t="shared" si="24"/>
        <v>0.16966666666666666</v>
      </c>
      <c r="AY28" s="303">
        <f t="shared" si="24"/>
        <v>0.16795833333333335</v>
      </c>
      <c r="AZ28" s="303">
        <f t="shared" si="24"/>
        <v>0.14458333333333334</v>
      </c>
      <c r="BA28" s="303">
        <f t="shared" si="24"/>
        <v>9.0458333333333335E-2</v>
      </c>
      <c r="BB28" s="303">
        <f>IF(OR(T28="",T28="Sem monitoramento"),"VAZIO",IFERROR(T28/($AJ28*24),"-"))</f>
        <v>6.2291666666666669E-2</v>
      </c>
      <c r="BC28" s="303">
        <f t="shared" si="25"/>
        <v>0.15695833333333334</v>
      </c>
      <c r="BD28" s="303">
        <f t="shared" si="29"/>
        <v>0.10362499999999999</v>
      </c>
      <c r="BE28" s="303">
        <f>IF(OR(X28="",X28="Sem monitoramento"),"VAZIO",IFERROR(X28/($AJ28*24),"-"))</f>
        <v>0.11912499999999999</v>
      </c>
      <c r="BF28" s="303" t="e">
        <f>IF(OR(#REF!="",#REF!="Sem monitoramento"),"VAZIO",IFERROR(#REF!/($AJ28*24),"-"))</f>
        <v>#REF!</v>
      </c>
      <c r="BG28" s="303">
        <f t="shared" si="27"/>
        <v>0.16241666666666668</v>
      </c>
      <c r="BH28" s="303">
        <f>IF(OR(Z28="",Z28="Sem monitoramento"),"VAZIO",IFERROR(Z28/($AJ28*24),"-"))</f>
        <v>0.15037499999999998</v>
      </c>
      <c r="BI28" s="303">
        <f>IF(OR(AA27="",AA27="Sem monitoramento"),"VAZIO",IFERROR(AA27/($AJ28*24),"-"))</f>
        <v>8.7999999999999995E-2</v>
      </c>
      <c r="BJ28" s="303">
        <f t="shared" si="22"/>
        <v>0.17391666666666666</v>
      </c>
      <c r="BK28" s="303">
        <f t="shared" si="16"/>
        <v>0.12045833333333335</v>
      </c>
      <c r="BL28" s="303">
        <f t="shared" si="16"/>
        <v>0.12291666666666666</v>
      </c>
      <c r="BM28" s="303">
        <f t="shared" si="26"/>
        <v>0.17991666666666667</v>
      </c>
      <c r="BN28" s="303" t="e">
        <f>IF(OR(#REF!="",#REF!="Sem monitoramento"),"VAZIO",IFERROR(#REF!/($AJ28*24),"-"))</f>
        <v>#REF!</v>
      </c>
      <c r="BO28" s="303" t="e">
        <f>IF(OR(#REF!="",#REF!="Sem monitoramento"),"VAZIO",IFERROR(#REF!/($AJ28*24),"-"))</f>
        <v>#REF!</v>
      </c>
      <c r="BP28" s="304">
        <f>AI28/(AJ28*(COUNTA(D28:AG28)*24))</f>
        <v>0.15571388888888885</v>
      </c>
      <c r="BQ28" s="198">
        <f t="shared" si="23"/>
        <v>0.168125</v>
      </c>
      <c r="BR28" s="72">
        <f t="shared" si="18"/>
        <v>16.8125</v>
      </c>
      <c r="BS28" s="73">
        <f t="shared" si="19"/>
        <v>2.0083333333333342E-2</v>
      </c>
      <c r="BT28" s="74">
        <f>BP28-BQ28</f>
        <v>-1.2411111111111151E-2</v>
      </c>
      <c r="BU28" s="15" t="s">
        <v>440</v>
      </c>
      <c r="BV28" s="3"/>
      <c r="BW28" s="2"/>
      <c r="BX28" s="2"/>
    </row>
    <row r="29" spans="2:76" ht="15" thickBot="1" x14ac:dyDescent="0.35">
      <c r="B29" s="775"/>
      <c r="C29" s="326" t="s">
        <v>289</v>
      </c>
      <c r="D29" s="223">
        <v>395.8</v>
      </c>
      <c r="E29" s="283">
        <v>412.5</v>
      </c>
      <c r="F29" s="283">
        <v>391.2</v>
      </c>
      <c r="G29" s="308">
        <v>296.39999999999998</v>
      </c>
      <c r="H29" s="283">
        <v>384.4</v>
      </c>
      <c r="I29" s="308">
        <v>349.1</v>
      </c>
      <c r="J29" s="63">
        <v>374.9</v>
      </c>
      <c r="K29" s="283">
        <v>362.6</v>
      </c>
      <c r="L29" s="283">
        <v>412</v>
      </c>
      <c r="M29" s="283">
        <v>413.5</v>
      </c>
      <c r="N29" s="316">
        <v>370.3</v>
      </c>
      <c r="O29" s="283">
        <v>336.9</v>
      </c>
      <c r="P29" s="283">
        <v>354.5</v>
      </c>
      <c r="Q29" s="283">
        <v>349</v>
      </c>
      <c r="R29" s="283">
        <v>307</v>
      </c>
      <c r="S29" s="283">
        <v>186.5</v>
      </c>
      <c r="T29" s="283">
        <v>148.30000000000001</v>
      </c>
      <c r="U29" s="283">
        <v>384.6</v>
      </c>
      <c r="V29" s="283">
        <v>214.4</v>
      </c>
      <c r="W29" s="283">
        <v>234</v>
      </c>
      <c r="X29" s="283">
        <v>240.2</v>
      </c>
      <c r="Y29" s="283">
        <v>334.9</v>
      </c>
      <c r="Z29" s="221">
        <v>303.60000000000002</v>
      </c>
      <c r="AA29" s="320">
        <v>163.30000000000001</v>
      </c>
      <c r="AB29" s="323">
        <v>440</v>
      </c>
      <c r="AC29" s="282">
        <v>0</v>
      </c>
      <c r="AD29" s="283">
        <v>410</v>
      </c>
      <c r="AE29" s="221">
        <v>353.3</v>
      </c>
      <c r="AF29" s="241">
        <v>341.3</v>
      </c>
      <c r="AG29" s="221">
        <v>305.2</v>
      </c>
      <c r="AH29" s="221">
        <v>162.9</v>
      </c>
      <c r="AI29" s="656">
        <f t="shared" si="20"/>
        <v>9732.5999999999985</v>
      </c>
      <c r="AJ29" s="119">
        <v>100</v>
      </c>
      <c r="AK29" s="121">
        <f t="shared" si="17"/>
        <v>9.0555555555555545E-3</v>
      </c>
      <c r="AL29" s="98">
        <f>IF(OR(D28="",D28="Sem monitoramento"),"VAZIO",IFERROR(D28/($AJ29*24),"-"))</f>
        <v>0.19495833333333332</v>
      </c>
      <c r="AM29" s="99">
        <f>IF(OR(E29="",E29="Sem monitoramento"),"VAZIO",IFERROR(E29/($AJ29*24),"-"))</f>
        <v>0.171875</v>
      </c>
      <c r="AN29" s="99">
        <f t="shared" si="34"/>
        <v>0.16300000000000001</v>
      </c>
      <c r="AO29" s="99">
        <f t="shared" si="34"/>
        <v>0.12349999999999998</v>
      </c>
      <c r="AP29" s="99">
        <f t="shared" si="34"/>
        <v>0.16016666666666665</v>
      </c>
      <c r="AQ29" s="99">
        <f t="shared" si="32"/>
        <v>0.14545833333333336</v>
      </c>
      <c r="AR29" s="99">
        <f>IF(OR(J30="",J30="Sem monitoramento"),"VAZIO",IFERROR(J30/($AJ29*24),"-"))</f>
        <v>0.157</v>
      </c>
      <c r="AS29" s="99">
        <f t="shared" si="33"/>
        <v>0.15108333333333335</v>
      </c>
      <c r="AT29" s="99">
        <f t="shared" si="33"/>
        <v>0.17166666666666666</v>
      </c>
      <c r="AU29" s="99">
        <f t="shared" si="33"/>
        <v>0.17229166666666668</v>
      </c>
      <c r="AV29" s="99">
        <f>IF(OR(N30="",N30="Sem monitoramento"),"VAZIO",IFERROR(N30/($AJ29*24),"-"))</f>
        <v>0.16650000000000001</v>
      </c>
      <c r="AW29" s="99">
        <f t="shared" si="28"/>
        <v>0.140375</v>
      </c>
      <c r="AX29" s="99">
        <f t="shared" si="24"/>
        <v>0.14770833333333333</v>
      </c>
      <c r="AY29" s="99">
        <f t="shared" si="24"/>
        <v>0.14541666666666667</v>
      </c>
      <c r="AZ29" s="99">
        <f t="shared" si="24"/>
        <v>0.12791666666666668</v>
      </c>
      <c r="BA29" s="99">
        <f t="shared" si="24"/>
        <v>7.7708333333333338E-2</v>
      </c>
      <c r="BB29" s="99">
        <f>IF(OR(T29="",T29="Sem monitoramento"),"VAZIO",IFERROR(T29/($AJ29*24),"-"))</f>
        <v>6.1791666666666668E-2</v>
      </c>
      <c r="BC29" s="99">
        <f t="shared" si="25"/>
        <v>0.16025</v>
      </c>
      <c r="BD29" s="99">
        <f t="shared" si="29"/>
        <v>8.9333333333333334E-2</v>
      </c>
      <c r="BE29" s="99">
        <f>IF(OR(X29="",X29="Sem monitoramento"),"VAZIO",IFERROR(X29/($AJ29*24),"-"))</f>
        <v>0.10008333333333333</v>
      </c>
      <c r="BF29" s="99" t="e">
        <f>IF(OR(#REF!="",#REF!="Sem monitoramento"),"VAZIO",IFERROR(#REF!/($AJ29*24),"-"))</f>
        <v>#REF!</v>
      </c>
      <c r="BG29" s="99">
        <f t="shared" si="27"/>
        <v>0.13954166666666665</v>
      </c>
      <c r="BH29" s="99">
        <f>IF(OR(Z29="",Z29="Sem monitoramento"),"VAZIO",IFERROR(Z29/($AJ29*24),"-"))</f>
        <v>0.1265</v>
      </c>
      <c r="BI29" s="99">
        <f>IF(OR(AA29="",AA29="Sem monitoramento"),"VAZIO",IFERROR(AA29/($AJ29*24),"-"))</f>
        <v>6.8041666666666667E-2</v>
      </c>
      <c r="BJ29" s="99">
        <f t="shared" si="22"/>
        <v>0.18333333333333332</v>
      </c>
      <c r="BK29" s="99">
        <f t="shared" si="16"/>
        <v>0</v>
      </c>
      <c r="BL29" s="99">
        <f t="shared" si="16"/>
        <v>0.17083333333333334</v>
      </c>
      <c r="BM29" s="99">
        <f t="shared" si="26"/>
        <v>0.14720833333333333</v>
      </c>
      <c r="BN29" s="99">
        <f>IF(OR(AF28="",AF28="Sem monitoramento"),"VAZIO",IFERROR(AF28/($AJ29*24),"-"))</f>
        <v>0.18333333333333332</v>
      </c>
      <c r="BO29" s="99">
        <f>IF(OR(AG28="",AG28="Sem monitoramento"),"VAZIO",IFERROR(AG28/($AJ29*24),"-"))</f>
        <v>0.14945833333333333</v>
      </c>
      <c r="BP29" s="101">
        <f t="shared" si="5"/>
        <v>0.13517499999999999</v>
      </c>
      <c r="BQ29" s="198">
        <f t="shared" si="23"/>
        <v>0.168125</v>
      </c>
      <c r="BR29" s="72">
        <f t="shared" si="18"/>
        <v>16.8125</v>
      </c>
      <c r="BS29" s="73">
        <f t="shared" si="19"/>
        <v>-5.1249999999999907E-3</v>
      </c>
      <c r="BT29" s="74">
        <f t="shared" si="8"/>
        <v>-3.2950000000000007E-2</v>
      </c>
      <c r="BU29" s="15" t="s">
        <v>112</v>
      </c>
      <c r="BV29" s="3"/>
      <c r="BW29" s="2"/>
      <c r="BX29" s="2"/>
    </row>
    <row r="30" spans="2:76" ht="15" thickBot="1" x14ac:dyDescent="0.35">
      <c r="B30" s="773" t="s">
        <v>290</v>
      </c>
      <c r="C30" s="326" t="s">
        <v>291</v>
      </c>
      <c r="D30" s="223">
        <v>383.8</v>
      </c>
      <c r="E30" s="31">
        <v>467.2</v>
      </c>
      <c r="F30" s="63">
        <v>378.2</v>
      </c>
      <c r="G30" s="63">
        <v>315.8</v>
      </c>
      <c r="H30" s="283">
        <v>472.8</v>
      </c>
      <c r="I30" s="470">
        <v>431</v>
      </c>
      <c r="J30" s="308">
        <v>376.8</v>
      </c>
      <c r="K30" s="283">
        <v>407.4</v>
      </c>
      <c r="L30" s="283">
        <v>470.1</v>
      </c>
      <c r="M30" s="283">
        <v>498.5</v>
      </c>
      <c r="N30" s="283">
        <v>399.6</v>
      </c>
      <c r="O30" s="283">
        <v>424.6</v>
      </c>
      <c r="P30" s="282">
        <v>166.7</v>
      </c>
      <c r="Q30" s="283">
        <v>440.4</v>
      </c>
      <c r="R30" s="283">
        <v>296.8</v>
      </c>
      <c r="S30" s="283">
        <v>246.5</v>
      </c>
      <c r="T30" s="283">
        <v>123.7</v>
      </c>
      <c r="U30" s="283">
        <v>403.7</v>
      </c>
      <c r="V30" s="283">
        <v>280.10000000000002</v>
      </c>
      <c r="W30" s="283">
        <v>285.10000000000002</v>
      </c>
      <c r="X30" s="283">
        <v>426.7</v>
      </c>
      <c r="Y30" s="320">
        <v>447.5</v>
      </c>
      <c r="Z30" s="320">
        <v>408</v>
      </c>
      <c r="AA30" s="320">
        <v>225.5</v>
      </c>
      <c r="AB30" s="323">
        <v>477.1</v>
      </c>
      <c r="AC30" s="15">
        <v>410.1</v>
      </c>
      <c r="AD30" s="221">
        <v>439.6</v>
      </c>
      <c r="AE30" s="221">
        <v>457.8</v>
      </c>
      <c r="AF30" s="15">
        <v>464.8</v>
      </c>
      <c r="AG30" s="15">
        <v>364.1</v>
      </c>
      <c r="AH30" s="15">
        <v>205.9</v>
      </c>
      <c r="AI30" s="656">
        <f t="shared" si="20"/>
        <v>11595.9</v>
      </c>
      <c r="AJ30" s="2">
        <v>100</v>
      </c>
      <c r="AK30" s="285">
        <f t="shared" si="17"/>
        <v>8.7546296296296296E-3</v>
      </c>
      <c r="AL30" s="98">
        <f>IF(OR(D30="",D30="Sem monitoramento"),"VAZIO",IFERROR(D30/($AJ30*24),"-"))</f>
        <v>0.15991666666666668</v>
      </c>
      <c r="AM30" s="99">
        <f>IF(OR(E28="",E28="Sem monitoramento"),"VAZIO",IFERROR(E28/($AJ30*24),"-"))</f>
        <v>0.18958333333333333</v>
      </c>
      <c r="AN30" s="99">
        <f t="shared" si="34"/>
        <v>0.15758333333333333</v>
      </c>
      <c r="AO30" s="99">
        <f t="shared" si="34"/>
        <v>0.13158333333333333</v>
      </c>
      <c r="AP30" s="99">
        <f t="shared" si="34"/>
        <v>0.19700000000000001</v>
      </c>
      <c r="AQ30" s="99">
        <f t="shared" si="32"/>
        <v>0.17958333333333334</v>
      </c>
      <c r="AR30" s="99" t="e">
        <f>IF(OR(#REF!="",#REF!="Sem monitoramento"),"VAZIO",IFERROR(#REF!/($AJ30*24),"-"))</f>
        <v>#REF!</v>
      </c>
      <c r="AS30" s="99">
        <f t="shared" si="33"/>
        <v>0.16974999999999998</v>
      </c>
      <c r="AT30" s="99">
        <f t="shared" si="33"/>
        <v>0.19587500000000002</v>
      </c>
      <c r="AU30" s="99">
        <f t="shared" si="33"/>
        <v>0.20770833333333333</v>
      </c>
      <c r="AV30" s="99" t="e">
        <f>IF(OR(#REF!="",#REF!="Sem monitoramento"),"VAZIO",IFERROR(#REF!/($AJ30*24),"-"))</f>
        <v>#REF!</v>
      </c>
      <c r="AW30" s="99">
        <f t="shared" si="28"/>
        <v>0.17691666666666667</v>
      </c>
      <c r="AX30" s="99">
        <f t="shared" si="24"/>
        <v>6.945833333333333E-2</v>
      </c>
      <c r="AY30" s="99">
        <f t="shared" si="24"/>
        <v>0.1835</v>
      </c>
      <c r="AZ30" s="99">
        <f t="shared" si="24"/>
        <v>0.12366666666666667</v>
      </c>
      <c r="BA30" s="99">
        <f t="shared" si="24"/>
        <v>0.10270833333333333</v>
      </c>
      <c r="BB30" s="99">
        <f>IF(OR(T30="",T30="Sem monitoramento"),"VAZIO",IFERROR(T30/($AJ30*24),"-"))</f>
        <v>5.1541666666666666E-2</v>
      </c>
      <c r="BC30" s="99">
        <f t="shared" si="25"/>
        <v>0.16820833333333332</v>
      </c>
      <c r="BD30" s="99">
        <f t="shared" si="29"/>
        <v>0.11670833333333334</v>
      </c>
      <c r="BE30" s="99">
        <f>IF(OR(W30="",W30="Sem monitoramento"),"VAZIO",IFERROR(W30/($AJ30*24),"-"))</f>
        <v>0.11879166666666667</v>
      </c>
      <c r="BF30" s="99">
        <f t="shared" si="30"/>
        <v>0.17779166666666665</v>
      </c>
      <c r="BG30" s="99">
        <f t="shared" si="27"/>
        <v>0.18645833333333334</v>
      </c>
      <c r="BH30" s="99">
        <f>IF(OR(Z30="",Z30="Sem monitoramento"),"VAZIO",IFERROR(Z30/($AJ30*24),"-"))</f>
        <v>0.17</v>
      </c>
      <c r="BI30" s="99">
        <f>IF(OR(AA30="",AA30="Sem monitoramento"),"VAZIO",IFERROR(AA30/($AJ30*24),"-"))</f>
        <v>9.3958333333333338E-2</v>
      </c>
      <c r="BJ30" s="99">
        <f t="shared" si="22"/>
        <v>0.19879166666666667</v>
      </c>
      <c r="BK30" s="99">
        <f t="shared" si="16"/>
        <v>0.170875</v>
      </c>
      <c r="BL30" s="99">
        <f t="shared" si="16"/>
        <v>0.18316666666666667</v>
      </c>
      <c r="BM30" s="99">
        <f t="shared" si="26"/>
        <v>0.19075</v>
      </c>
      <c r="BN30" s="286">
        <f t="shared" si="26"/>
        <v>0.19366666666666668</v>
      </c>
      <c r="BO30" s="286">
        <f>IF(OR(AG30="",AG30="Sem monitoramento"),"VAZIO",IFERROR(AG30/($AJ30*24),"-"))</f>
        <v>0.15170833333333333</v>
      </c>
      <c r="BP30" s="286">
        <f t="shared" si="5"/>
        <v>0.16105416666666666</v>
      </c>
      <c r="BQ30" s="198">
        <f t="shared" si="23"/>
        <v>0.168125</v>
      </c>
      <c r="BR30" s="72">
        <f t="shared" si="18"/>
        <v>16.8125</v>
      </c>
      <c r="BS30" s="73">
        <f t="shared" si="19"/>
        <v>-1.0541666666666671E-2</v>
      </c>
      <c r="BT30" s="74">
        <f t="shared" si="8"/>
        <v>-7.0708333333333317E-3</v>
      </c>
      <c r="BU30" s="2"/>
      <c r="BV30" s="3"/>
      <c r="BW30" s="2"/>
      <c r="BX30" s="2"/>
    </row>
    <row r="31" spans="2:76" ht="15" thickBot="1" x14ac:dyDescent="0.35">
      <c r="B31" s="777"/>
      <c r="C31" s="329" t="s">
        <v>563</v>
      </c>
      <c r="D31" s="224">
        <v>361.1</v>
      </c>
      <c r="E31" s="93">
        <v>430.7</v>
      </c>
      <c r="F31" s="93">
        <v>371</v>
      </c>
      <c r="G31" s="115">
        <v>306.3</v>
      </c>
      <c r="H31" s="532">
        <v>422.22</v>
      </c>
      <c r="I31" s="115">
        <v>377.5</v>
      </c>
      <c r="J31" s="115">
        <v>432.9</v>
      </c>
      <c r="K31" s="93">
        <v>434.7</v>
      </c>
      <c r="L31" s="93">
        <v>446.3</v>
      </c>
      <c r="M31" s="93">
        <v>478.8</v>
      </c>
      <c r="N31" s="93">
        <v>409.1</v>
      </c>
      <c r="O31" s="318">
        <v>387.1</v>
      </c>
      <c r="P31" s="93">
        <v>373.9</v>
      </c>
      <c r="Q31" s="318">
        <v>425.9</v>
      </c>
      <c r="R31" s="318">
        <v>204.8</v>
      </c>
      <c r="S31" s="318">
        <v>219.9</v>
      </c>
      <c r="T31" s="318">
        <v>102.1</v>
      </c>
      <c r="U31" s="622">
        <v>199.9</v>
      </c>
      <c r="V31" s="318">
        <v>228.1</v>
      </c>
      <c r="W31" s="318">
        <v>226.9</v>
      </c>
      <c r="X31" s="277">
        <v>406.4</v>
      </c>
      <c r="Y31" s="318">
        <v>402.9</v>
      </c>
      <c r="Z31" s="318">
        <v>348.1</v>
      </c>
      <c r="AA31" s="318">
        <v>178.9</v>
      </c>
      <c r="AB31" s="655">
        <v>446.3</v>
      </c>
      <c r="AC31" s="22">
        <v>368.1</v>
      </c>
      <c r="AD31" s="277">
        <v>389.8</v>
      </c>
      <c r="AE31" s="93">
        <v>430.3</v>
      </c>
      <c r="AF31" s="22">
        <v>392.1</v>
      </c>
      <c r="AG31" s="277">
        <v>311.3</v>
      </c>
      <c r="AH31" s="22">
        <v>172.7</v>
      </c>
      <c r="AI31" s="335">
        <f t="shared" si="20"/>
        <v>10686.119999999997</v>
      </c>
      <c r="AJ31" s="2"/>
      <c r="AK31" s="285"/>
      <c r="AL31" s="286" t="str">
        <f>IF(OR(D31="",D31="Sem monitoramento"),"VAZIO",IFERROR(D31/($AJ31*24),"-"))</f>
        <v>-</v>
      </c>
      <c r="AM31" s="286" t="str">
        <f>IF(OR(E31="",E31="Sem monitoramento"),"VAZIO",IFERROR(E31/($AJ31*24),"-"))</f>
        <v>-</v>
      </c>
      <c r="AN31" s="286" t="str">
        <f t="shared" si="34"/>
        <v>-</v>
      </c>
      <c r="AO31" s="286" t="str">
        <f t="shared" si="34"/>
        <v>-</v>
      </c>
      <c r="AP31" s="286" t="str">
        <f t="shared" si="34"/>
        <v>-</v>
      </c>
      <c r="AQ31" s="286" t="str">
        <f t="shared" si="32"/>
        <v>-</v>
      </c>
      <c r="AR31" s="286" t="str">
        <f>IF(OR(J31="",J31="Sem monitoramento"),"VAZIO",IFERROR(J31/($AJ31*24),"-"))</f>
        <v>-</v>
      </c>
      <c r="AS31" s="286" t="str">
        <f t="shared" si="33"/>
        <v>-</v>
      </c>
      <c r="AT31" s="286" t="str">
        <f t="shared" si="33"/>
        <v>-</v>
      </c>
      <c r="AU31" s="286" t="str">
        <f t="shared" si="33"/>
        <v>-</v>
      </c>
      <c r="AV31" s="286" t="str">
        <f>IF(OR(N31="",N31="Sem monitoramento"),"VAZIO",IFERROR(N31/($AJ31*24),"-"))</f>
        <v>-</v>
      </c>
      <c r="AW31" s="286" t="str">
        <f t="shared" si="28"/>
        <v>-</v>
      </c>
      <c r="AX31" s="286" t="str">
        <f t="shared" si="24"/>
        <v>-</v>
      </c>
      <c r="AY31" s="286" t="str">
        <f t="shared" si="24"/>
        <v>-</v>
      </c>
      <c r="AZ31" s="286" t="str">
        <f t="shared" si="24"/>
        <v>-</v>
      </c>
      <c r="BA31" s="286" t="str">
        <f t="shared" si="24"/>
        <v>-</v>
      </c>
      <c r="BB31" s="286" t="str">
        <f>IF(OR(T31="",T31="Sem monitoramento"),"VAZIO",IFERROR(T31/($AJ31*24),"-"))</f>
        <v>-</v>
      </c>
      <c r="BC31" s="286" t="str">
        <f t="shared" si="25"/>
        <v>-</v>
      </c>
      <c r="BD31" s="286" t="str">
        <f t="shared" si="29"/>
        <v>-</v>
      </c>
      <c r="BE31" s="286" t="str">
        <f>IF(OR(W31="",W31="Sem monitoramento"),"VAZIO",IFERROR(W31/($AJ31*24),"-"))</f>
        <v>-</v>
      </c>
      <c r="BF31" s="286" t="str">
        <f t="shared" si="30"/>
        <v>-</v>
      </c>
      <c r="BG31" s="286" t="str">
        <f t="shared" si="27"/>
        <v>-</v>
      </c>
      <c r="BH31" s="286" t="str">
        <f>IF(OR(Z31="",Z31="Sem monitoramento"),"VAZIO",IFERROR(Z31/($AJ31*24),"-"))</f>
        <v>-</v>
      </c>
      <c r="BI31" s="286" t="str">
        <f>IF(OR(AA31="",AA31="Sem monitoramento"),"VAZIO",IFERROR(AA31/($AJ31*24),"-"))</f>
        <v>-</v>
      </c>
      <c r="BJ31" s="286" t="str">
        <f t="shared" si="22"/>
        <v>-</v>
      </c>
      <c r="BK31" s="286" t="str">
        <f t="shared" si="16"/>
        <v>-</v>
      </c>
      <c r="BL31" s="286" t="str">
        <f t="shared" si="16"/>
        <v>-</v>
      </c>
      <c r="BM31" s="286" t="str">
        <f t="shared" si="26"/>
        <v>-</v>
      </c>
      <c r="BN31" s="286" t="str">
        <f t="shared" si="26"/>
        <v>-</v>
      </c>
      <c r="BO31" s="286" t="str">
        <f>IF(OR(AG31="",AG31="Sem monitoramento"),"VAZIO",IFERROR(AG31/($AJ31*24),"-"))</f>
        <v>-</v>
      </c>
      <c r="BP31" s="286" t="e">
        <f t="shared" si="5"/>
        <v>#DIV/0!</v>
      </c>
      <c r="BQ31" s="198"/>
      <c r="BR31" s="287"/>
      <c r="BS31" s="288"/>
      <c r="BT31" s="289"/>
      <c r="BU31" s="2"/>
      <c r="BV31" s="3"/>
      <c r="BW31" s="2"/>
      <c r="BX31" s="2"/>
    </row>
    <row r="32" spans="2:76" ht="18" x14ac:dyDescent="0.3">
      <c r="B32" s="776" t="s">
        <v>113</v>
      </c>
      <c r="C32" s="776"/>
      <c r="D32" s="103">
        <f>SUM(D5:D31)</f>
        <v>10503.899999999998</v>
      </c>
      <c r="E32" s="103">
        <f>SUM(E5:E31)</f>
        <v>10895.300000000001</v>
      </c>
      <c r="F32" s="103">
        <f>SUM(F5:F31)</f>
        <v>10147.900000000003</v>
      </c>
      <c r="G32" s="103">
        <f>SUM(G5:G31)</f>
        <v>8335.9999999999982</v>
      </c>
      <c r="H32" s="103">
        <f t="shared" ref="H32:AH32" si="35">SUM(H5:H31)</f>
        <v>10868.519999999999</v>
      </c>
      <c r="I32" s="103">
        <f t="shared" si="35"/>
        <v>9822.6</v>
      </c>
      <c r="J32" s="103">
        <f t="shared" si="35"/>
        <v>10375.799999999999</v>
      </c>
      <c r="K32" s="103">
        <f t="shared" si="35"/>
        <v>10351.5</v>
      </c>
      <c r="L32" s="103">
        <f t="shared" si="35"/>
        <v>11156.899999999998</v>
      </c>
      <c r="M32" s="103">
        <f t="shared" si="35"/>
        <v>11601.099999999999</v>
      </c>
      <c r="N32" s="103">
        <f t="shared" si="35"/>
        <v>9865.9999999999982</v>
      </c>
      <c r="O32" s="103">
        <f t="shared" si="35"/>
        <v>10284.300000000001</v>
      </c>
      <c r="P32" s="103">
        <f t="shared" si="35"/>
        <v>9802.9</v>
      </c>
      <c r="Q32" s="103">
        <f t="shared" si="35"/>
        <v>10007.4</v>
      </c>
      <c r="R32" s="103">
        <f t="shared" si="35"/>
        <v>6624.3</v>
      </c>
      <c r="S32" s="103">
        <f t="shared" si="35"/>
        <v>6137.5999999999995</v>
      </c>
      <c r="T32" s="103">
        <f>SUM(T5:T31)</f>
        <v>3593.6</v>
      </c>
      <c r="U32" s="103">
        <f>SUM(U5:U31)</f>
        <v>9866.7000000000007</v>
      </c>
      <c r="V32" s="103">
        <f t="shared" si="35"/>
        <v>5003.6000000000013</v>
      </c>
      <c r="W32" s="103">
        <f t="shared" si="35"/>
        <v>8536.2999999999993</v>
      </c>
      <c r="X32" s="103">
        <f t="shared" si="35"/>
        <v>10109.300000000001</v>
      </c>
      <c r="Y32" s="103">
        <f t="shared" si="35"/>
        <v>10689.599999999999</v>
      </c>
      <c r="Z32" s="103">
        <f t="shared" si="35"/>
        <v>9656.7000000000007</v>
      </c>
      <c r="AA32" s="103">
        <f t="shared" si="35"/>
        <v>5493.4999999999991</v>
      </c>
      <c r="AB32" s="103">
        <f>SUM(AB5:AB31)</f>
        <v>11176.499999999998</v>
      </c>
      <c r="AC32" s="103">
        <f t="shared" si="35"/>
        <v>10352.499999999998</v>
      </c>
      <c r="AD32" s="103">
        <f t="shared" si="35"/>
        <v>11258.7</v>
      </c>
      <c r="AE32" s="103">
        <f t="shared" si="35"/>
        <v>11579.3</v>
      </c>
      <c r="AF32" s="103">
        <f t="shared" si="35"/>
        <v>11299.8</v>
      </c>
      <c r="AG32" s="103">
        <f t="shared" si="35"/>
        <v>9610.5000000000018</v>
      </c>
      <c r="AH32" s="103">
        <f t="shared" si="35"/>
        <v>4622.2999999999993</v>
      </c>
      <c r="AI32" s="189">
        <f>SUM(AI5:AI31)</f>
        <v>289630.92000000004</v>
      </c>
      <c r="AJ32" s="104">
        <f>SUM(AJ5:AJ31)</f>
        <v>2329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V32" s="3"/>
      <c r="BW32" s="2"/>
      <c r="BX32" s="2"/>
    </row>
    <row r="33" spans="2:76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90" t="str">
        <f>_xlfn.CONCAT(ROUND(AI32/1000,3)," MWh")</f>
        <v>289,631 MWh</v>
      </c>
      <c r="AJ33" s="2"/>
      <c r="AN33" s="778">
        <v>12</v>
      </c>
      <c r="AW33">
        <v>1000</v>
      </c>
      <c r="AX33">
        <v>1000</v>
      </c>
      <c r="BR33" s="9"/>
      <c r="BT33" s="2"/>
      <c r="BV33" s="2"/>
      <c r="BW33" s="2"/>
      <c r="BX33" s="2"/>
    </row>
    <row r="34" spans="2:76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5"/>
      <c r="AI34" s="191" t="str">
        <f>_xlfn.CONCAT(ROUND($AI$32/COUNTIF($D$32:$AG$32,"&lt;&gt;0"),3)," kWh")</f>
        <v>9654,364 kWh</v>
      </c>
      <c r="AJ34" s="2"/>
      <c r="AK34" s="2"/>
      <c r="AL34" s="2"/>
      <c r="AM34" s="2"/>
      <c r="AN34" s="779"/>
      <c r="AV34">
        <v>900</v>
      </c>
      <c r="AW34">
        <v>100</v>
      </c>
      <c r="BR34" s="11"/>
      <c r="BT34" s="106"/>
      <c r="BU34" s="3" t="s">
        <v>114</v>
      </c>
    </row>
    <row r="35" spans="2:76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5"/>
      <c r="AI35" s="191" t="str">
        <f>_xlfn.CONCAT(ROUND($AI$32/COUNTIF($D$32:$AG$32,"&lt;&gt;0"),3)*30," kWh")</f>
        <v>289630,92 kWh</v>
      </c>
      <c r="AJ35" s="2"/>
      <c r="AK35" s="2"/>
      <c r="AL35" s="2"/>
      <c r="AM35" s="2"/>
      <c r="AN35" s="780"/>
      <c r="BR35" s="2"/>
      <c r="BT35" s="109"/>
      <c r="BU35" s="5" t="s">
        <v>116</v>
      </c>
    </row>
    <row r="36" spans="2:76" x14ac:dyDescent="0.3">
      <c r="I36">
        <v>50190</v>
      </c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5"/>
      <c r="AI36" s="191" t="str">
        <f>_xlfn.CONCAT(ROUND(($AI$32/COUNTIF($D$32:$AG$32,"&lt;&gt;0"))*30/1000,3)," MWh")</f>
        <v>289,631 MWh</v>
      </c>
      <c r="AN36" s="778">
        <v>67</v>
      </c>
    </row>
    <row r="37" spans="2:76" x14ac:dyDescent="0.3">
      <c r="E37" s="436">
        <v>558.9</v>
      </c>
      <c r="F37">
        <v>403.7</v>
      </c>
      <c r="G37">
        <v>563.5</v>
      </c>
      <c r="I37">
        <v>51533</v>
      </c>
      <c r="T37">
        <f>T36-T35+1.8</f>
        <v>477.8</v>
      </c>
      <c r="X37" s="102"/>
      <c r="AC37">
        <v>53196</v>
      </c>
      <c r="AN37" s="779"/>
    </row>
    <row r="38" spans="2:76" x14ac:dyDescent="0.3">
      <c r="I38">
        <f>I37-I36</f>
        <v>1343</v>
      </c>
      <c r="AC38">
        <v>60.6</v>
      </c>
      <c r="AN38" s="780"/>
    </row>
    <row r="39" spans="2:76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  <c r="AN39" s="778">
        <v>49</v>
      </c>
    </row>
    <row r="40" spans="2:76" x14ac:dyDescent="0.3">
      <c r="N40">
        <v>91151.5</v>
      </c>
      <c r="O40">
        <f>N41-N40</f>
        <v>734</v>
      </c>
      <c r="X40" s="102"/>
      <c r="AF40">
        <f>AF39-20.4</f>
        <v>53905.2</v>
      </c>
      <c r="AN40" s="779"/>
    </row>
    <row r="41" spans="2:76" x14ac:dyDescent="0.3">
      <c r="N41">
        <v>91885.5</v>
      </c>
      <c r="X41" s="102"/>
      <c r="AF41">
        <f>AF40-AD39</f>
        <v>263.19999999999709</v>
      </c>
      <c r="AN41" s="780"/>
    </row>
    <row r="42" spans="2:76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  <c r="AN42" s="778">
        <v>33</v>
      </c>
    </row>
    <row r="43" spans="2:76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H43" s="281"/>
      <c r="AM43" s="63">
        <v>19.7</v>
      </c>
      <c r="AN43" s="779"/>
    </row>
    <row r="44" spans="2:76" x14ac:dyDescent="0.3">
      <c r="B44" s="751" t="s">
        <v>6</v>
      </c>
      <c r="C44" s="18" t="s">
        <v>7</v>
      </c>
      <c r="D44" s="163">
        <f>D5+Agosto23!AF41</f>
        <v>48892.5</v>
      </c>
      <c r="E44" s="164">
        <f t="shared" ref="E44:F59" si="36">D44+E5</f>
        <v>48943</v>
      </c>
      <c r="F44" s="164">
        <f t="shared" si="36"/>
        <v>48994.7</v>
      </c>
      <c r="G44" s="165">
        <v>49036.4</v>
      </c>
      <c r="H44" s="166">
        <v>49076</v>
      </c>
      <c r="I44" s="163">
        <f t="shared" ref="I44:V59" si="37">H44+I5</f>
        <v>49121.4</v>
      </c>
      <c r="J44" s="163">
        <f t="shared" si="37"/>
        <v>49170.700000000004</v>
      </c>
      <c r="K44" s="163">
        <f t="shared" si="37"/>
        <v>49223.700000000004</v>
      </c>
      <c r="L44" s="163">
        <f t="shared" si="37"/>
        <v>49286.400000000001</v>
      </c>
      <c r="M44" s="163">
        <f t="shared" si="37"/>
        <v>49343.4</v>
      </c>
      <c r="N44" s="163">
        <f t="shared" si="37"/>
        <v>49395.3</v>
      </c>
      <c r="O44" s="163">
        <f t="shared" si="37"/>
        <v>49447.700000000004</v>
      </c>
      <c r="P44" s="163">
        <f t="shared" si="37"/>
        <v>49496.500000000007</v>
      </c>
      <c r="Q44" s="163">
        <f t="shared" si="37"/>
        <v>49527.900000000009</v>
      </c>
      <c r="R44" s="163">
        <f t="shared" si="37"/>
        <v>49555.500000000007</v>
      </c>
      <c r="S44" s="163">
        <f t="shared" si="37"/>
        <v>49577.500000000007</v>
      </c>
      <c r="T44" s="163">
        <f t="shared" si="37"/>
        <v>49592.500000000007</v>
      </c>
      <c r="U44" s="163">
        <f t="shared" si="37"/>
        <v>49641.100000000006</v>
      </c>
      <c r="V44" s="163">
        <f t="shared" si="37"/>
        <v>49671.700000000004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M44" s="63">
        <f>20.7+88.5</f>
        <v>109.2</v>
      </c>
      <c r="AN44" s="780"/>
    </row>
    <row r="45" spans="2:76" x14ac:dyDescent="0.3">
      <c r="B45" s="752"/>
      <c r="C45" s="18" t="s">
        <v>8</v>
      </c>
      <c r="D45" s="163">
        <f>D6+Agosto23!AF42</f>
        <v>99073.600000000006</v>
      </c>
      <c r="E45" s="164">
        <f t="shared" si="36"/>
        <v>99345.900000000009</v>
      </c>
      <c r="F45" s="164">
        <f t="shared" si="36"/>
        <v>99643.700000000012</v>
      </c>
      <c r="G45" s="165">
        <f>21775+78123.8</f>
        <v>99898.8</v>
      </c>
      <c r="H45" s="166">
        <f>21823+78322.8</f>
        <v>100145.8</v>
      </c>
      <c r="I45" s="163">
        <f t="shared" si="37"/>
        <v>100439.7</v>
      </c>
      <c r="J45" s="163">
        <f t="shared" si="37"/>
        <v>100727.4</v>
      </c>
      <c r="K45" s="163">
        <f t="shared" si="37"/>
        <v>100993.59999999999</v>
      </c>
      <c r="L45" s="163">
        <f t="shared" si="37"/>
        <v>101360.99999999999</v>
      </c>
      <c r="M45" s="163">
        <f t="shared" si="37"/>
        <v>101720.39999999998</v>
      </c>
      <c r="N45" s="163">
        <f t="shared" si="37"/>
        <v>101936.59999999998</v>
      </c>
      <c r="O45" s="163">
        <f t="shared" si="37"/>
        <v>102273.09999999998</v>
      </c>
      <c r="P45" s="163">
        <f t="shared" si="37"/>
        <v>102561.19999999998</v>
      </c>
      <c r="Q45" s="163">
        <f t="shared" si="37"/>
        <v>102805.39999999998</v>
      </c>
      <c r="R45" s="163">
        <f t="shared" si="37"/>
        <v>102951.19999999998</v>
      </c>
      <c r="S45" s="163">
        <f t="shared" si="37"/>
        <v>103079.79999999999</v>
      </c>
      <c r="T45" s="163">
        <f t="shared" si="37"/>
        <v>103161.69999999998</v>
      </c>
      <c r="U45" s="163">
        <f t="shared" si="37"/>
        <v>103454.89999999998</v>
      </c>
      <c r="V45" s="163">
        <f t="shared" si="37"/>
        <v>103626.99999999999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v>82.2</v>
      </c>
      <c r="AN45" s="778">
        <v>12</v>
      </c>
    </row>
    <row r="46" spans="2:76" x14ac:dyDescent="0.3">
      <c r="B46" s="752"/>
      <c r="C46" s="18" t="s">
        <v>9</v>
      </c>
      <c r="D46" s="163">
        <f>D7+Agosto23!AF43</f>
        <v>69887.8</v>
      </c>
      <c r="E46" s="164">
        <f t="shared" si="36"/>
        <v>70110.7</v>
      </c>
      <c r="F46" s="164">
        <f t="shared" si="36"/>
        <v>70315.399999999994</v>
      </c>
      <c r="G46" s="165">
        <v>70458.2</v>
      </c>
      <c r="H46" s="166">
        <v>70615.5</v>
      </c>
      <c r="I46" s="163">
        <f t="shared" si="37"/>
        <v>70812.3</v>
      </c>
      <c r="J46" s="163">
        <f t="shared" si="37"/>
        <v>71023.5</v>
      </c>
      <c r="K46" s="163">
        <f t="shared" si="37"/>
        <v>71259.5</v>
      </c>
      <c r="L46" s="163">
        <f t="shared" si="37"/>
        <v>71527.899999999994</v>
      </c>
      <c r="M46" s="163">
        <f t="shared" si="37"/>
        <v>71765</v>
      </c>
      <c r="N46" s="163">
        <f t="shared" si="37"/>
        <v>71977.899999999994</v>
      </c>
      <c r="O46" s="163">
        <f t="shared" si="37"/>
        <v>72195.099999999991</v>
      </c>
      <c r="P46" s="163">
        <f t="shared" si="37"/>
        <v>72397.099999999991</v>
      </c>
      <c r="Q46" s="163">
        <f t="shared" si="37"/>
        <v>72520.299999999988</v>
      </c>
      <c r="R46" s="163">
        <f t="shared" si="37"/>
        <v>72641.599999999991</v>
      </c>
      <c r="S46" s="163">
        <f t="shared" si="37"/>
        <v>72742.099999999991</v>
      </c>
      <c r="T46" s="163">
        <f t="shared" si="37"/>
        <v>72811.399999999994</v>
      </c>
      <c r="U46" s="163" t="e">
        <f>T46+#REF!</f>
        <v>#REF!</v>
      </c>
      <c r="V46" s="163" t="e">
        <f t="shared" si="37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57.3</v>
      </c>
      <c r="AN46" s="779"/>
    </row>
    <row r="47" spans="2:76" x14ac:dyDescent="0.3">
      <c r="B47" s="752"/>
      <c r="C47" s="18" t="s">
        <v>10</v>
      </c>
      <c r="D47" s="163">
        <f>D8+Agosto23!AF44</f>
        <v>95749.7</v>
      </c>
      <c r="E47" s="164">
        <f t="shared" si="36"/>
        <v>95878.2</v>
      </c>
      <c r="F47" s="164">
        <f t="shared" si="36"/>
        <v>95993</v>
      </c>
      <c r="G47" s="165">
        <v>96154</v>
      </c>
      <c r="H47" s="166">
        <v>96261.9</v>
      </c>
      <c r="I47" s="163" t="e">
        <f>H47+#REF!</f>
        <v>#REF!</v>
      </c>
      <c r="J47" s="163" t="e">
        <f t="shared" si="37"/>
        <v>#REF!</v>
      </c>
      <c r="K47" s="163" t="e">
        <f t="shared" si="37"/>
        <v>#REF!</v>
      </c>
      <c r="L47" s="163" t="e">
        <f t="shared" si="37"/>
        <v>#REF!</v>
      </c>
      <c r="M47" s="163" t="e">
        <f t="shared" si="37"/>
        <v>#REF!</v>
      </c>
      <c r="N47" s="163" t="e">
        <f t="shared" si="37"/>
        <v>#REF!</v>
      </c>
      <c r="O47" s="163" t="e">
        <f t="shared" si="37"/>
        <v>#REF!</v>
      </c>
      <c r="P47" s="163" t="e">
        <f t="shared" si="37"/>
        <v>#REF!</v>
      </c>
      <c r="Q47" s="163" t="e">
        <f t="shared" si="37"/>
        <v>#REF!</v>
      </c>
      <c r="R47" s="163" t="e">
        <f t="shared" si="37"/>
        <v>#REF!</v>
      </c>
      <c r="S47" s="163" t="e">
        <f t="shared" si="37"/>
        <v>#REF!</v>
      </c>
      <c r="T47" s="163" t="e">
        <f t="shared" si="37"/>
        <v>#REF!</v>
      </c>
      <c r="U47" s="163" t="e">
        <f>T47+#REF!</f>
        <v>#REF!</v>
      </c>
      <c r="V47" s="163" t="e">
        <f t="shared" si="37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17.7</v>
      </c>
      <c r="AN47" s="780"/>
    </row>
    <row r="48" spans="2:76" x14ac:dyDescent="0.3">
      <c r="B48" s="752"/>
      <c r="C48" s="18" t="s">
        <v>11</v>
      </c>
      <c r="D48" s="163">
        <f>D10+Agosto23!AF45</f>
        <v>18786</v>
      </c>
      <c r="E48" s="164">
        <f t="shared" si="36"/>
        <v>18824</v>
      </c>
      <c r="F48" s="164">
        <f t="shared" si="36"/>
        <v>18870.400000000001</v>
      </c>
      <c r="G48" s="165">
        <v>18957</v>
      </c>
      <c r="H48" s="166">
        <v>18998</v>
      </c>
      <c r="I48" s="163">
        <f t="shared" si="37"/>
        <v>19040.900000000001</v>
      </c>
      <c r="J48" s="163">
        <f>I48+J10</f>
        <v>19070.900000000001</v>
      </c>
      <c r="K48" s="163">
        <f>J48+K10</f>
        <v>19099.300000000003</v>
      </c>
      <c r="L48" s="163">
        <f t="shared" si="37"/>
        <v>19149.800000000003</v>
      </c>
      <c r="M48" s="163">
        <f t="shared" si="37"/>
        <v>19197.300000000003</v>
      </c>
      <c r="N48" s="163">
        <f t="shared" si="37"/>
        <v>19243.200000000004</v>
      </c>
      <c r="O48" s="163">
        <f t="shared" si="37"/>
        <v>19299.300000000003</v>
      </c>
      <c r="P48" s="163">
        <f>O48+P10</f>
        <v>19347.900000000001</v>
      </c>
      <c r="Q48" s="163">
        <f t="shared" si="37"/>
        <v>19393.5</v>
      </c>
      <c r="R48" s="163">
        <f t="shared" si="37"/>
        <v>19420.7</v>
      </c>
      <c r="S48" s="163">
        <f t="shared" si="37"/>
        <v>19444</v>
      </c>
      <c r="T48" s="163">
        <f t="shared" si="37"/>
        <v>19457.400000000001</v>
      </c>
      <c r="U48" s="163">
        <f>T48+U7</f>
        <v>19673.600000000002</v>
      </c>
      <c r="V48" s="163">
        <f t="shared" si="37"/>
        <v>19703.400000000001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37.700000000000003</v>
      </c>
      <c r="AN48" s="778">
        <v>25</v>
      </c>
    </row>
    <row r="49" spans="2:40" x14ac:dyDescent="0.3">
      <c r="B49" s="752"/>
      <c r="C49" s="18" t="s">
        <v>12</v>
      </c>
      <c r="D49" s="163" t="e">
        <f>#REF!+Agosto23!AF46</f>
        <v>#REF!</v>
      </c>
      <c r="E49" s="164" t="e">
        <f t="shared" si="36"/>
        <v>#REF!</v>
      </c>
      <c r="F49" s="164" t="e">
        <f t="shared" si="36"/>
        <v>#REF!</v>
      </c>
      <c r="G49" s="165">
        <v>58550</v>
      </c>
      <c r="H49" s="166">
        <v>58640</v>
      </c>
      <c r="I49" s="163">
        <f>H49+I8</f>
        <v>58753.4</v>
      </c>
      <c r="J49" s="163" t="e">
        <f>I49+#REF!</f>
        <v>#REF!</v>
      </c>
      <c r="K49" s="163" t="e">
        <f>J49+#REF!</f>
        <v>#REF!</v>
      </c>
      <c r="L49" s="163" t="e">
        <f t="shared" si="37"/>
        <v>#REF!</v>
      </c>
      <c r="M49" s="163" t="e">
        <f t="shared" si="37"/>
        <v>#REF!</v>
      </c>
      <c r="N49" s="163" t="e">
        <f t="shared" si="37"/>
        <v>#REF!</v>
      </c>
      <c r="O49" s="163" t="e">
        <f t="shared" si="37"/>
        <v>#REF!</v>
      </c>
      <c r="P49" s="163" t="e">
        <f>O49+#REF!</f>
        <v>#REF!</v>
      </c>
      <c r="Q49" s="163" t="e">
        <f t="shared" si="37"/>
        <v>#REF!</v>
      </c>
      <c r="R49" s="163" t="e">
        <f t="shared" si="37"/>
        <v>#REF!</v>
      </c>
      <c r="S49" s="163" t="e">
        <f t="shared" si="37"/>
        <v>#REF!</v>
      </c>
      <c r="T49" s="163" t="e">
        <f t="shared" si="37"/>
        <v>#REF!</v>
      </c>
      <c r="U49" s="163" t="e">
        <f>T49+U8</f>
        <v>#REF!</v>
      </c>
      <c r="V49" s="163" t="e">
        <f t="shared" si="37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151.30000000000001</v>
      </c>
      <c r="AN49" s="779"/>
    </row>
    <row r="50" spans="2:40" x14ac:dyDescent="0.3">
      <c r="B50" s="752"/>
      <c r="C50" s="18" t="s">
        <v>13</v>
      </c>
      <c r="D50" s="163">
        <f>D11+Agosto23!AF47</f>
        <v>230299.90000000002</v>
      </c>
      <c r="E50" s="164">
        <f t="shared" si="36"/>
        <v>230668.60000000003</v>
      </c>
      <c r="F50" s="164">
        <f t="shared" si="36"/>
        <v>231021.90000000002</v>
      </c>
      <c r="G50" s="165">
        <v>231148.9</v>
      </c>
      <c r="H50" s="166">
        <v>231319.5</v>
      </c>
      <c r="I50" s="163">
        <f t="shared" si="37"/>
        <v>231662.5</v>
      </c>
      <c r="J50" s="163">
        <f t="shared" si="37"/>
        <v>231986.2</v>
      </c>
      <c r="K50" s="163">
        <f t="shared" si="37"/>
        <v>232389.2</v>
      </c>
      <c r="L50" s="163">
        <f t="shared" si="37"/>
        <v>232773.40000000002</v>
      </c>
      <c r="M50" s="163">
        <f>L50+M12</f>
        <v>233163.40000000002</v>
      </c>
      <c r="N50" s="163">
        <f t="shared" si="37"/>
        <v>233501.60000000003</v>
      </c>
      <c r="O50" s="163">
        <f t="shared" si="37"/>
        <v>233806.70000000004</v>
      </c>
      <c r="P50" s="163">
        <f t="shared" si="37"/>
        <v>234095.10000000003</v>
      </c>
      <c r="Q50" s="163">
        <f t="shared" si="37"/>
        <v>234391.50000000003</v>
      </c>
      <c r="R50" s="163">
        <f t="shared" si="37"/>
        <v>234633.90000000002</v>
      </c>
      <c r="S50" s="163">
        <f t="shared" si="37"/>
        <v>234832.7</v>
      </c>
      <c r="T50" s="163">
        <f t="shared" si="37"/>
        <v>234954.1</v>
      </c>
      <c r="U50" s="163">
        <f t="shared" si="37"/>
        <v>235278</v>
      </c>
      <c r="V50" s="163">
        <f t="shared" si="37"/>
        <v>235495.2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82">
        <v>81.099999999999994</v>
      </c>
      <c r="AN50" s="780"/>
    </row>
    <row r="51" spans="2:40" x14ac:dyDescent="0.3">
      <c r="B51" s="753"/>
      <c r="C51" s="18" t="s">
        <v>14</v>
      </c>
      <c r="D51" s="163">
        <f>D12+Agosto23!AF48</f>
        <v>924</v>
      </c>
      <c r="E51" s="164">
        <f t="shared" si="36"/>
        <v>1209</v>
      </c>
      <c r="F51" s="164">
        <f t="shared" si="36"/>
        <v>1504</v>
      </c>
      <c r="G51" s="165">
        <v>1440</v>
      </c>
      <c r="H51" s="166">
        <v>1620</v>
      </c>
      <c r="I51" s="163">
        <f t="shared" si="37"/>
        <v>1935</v>
      </c>
      <c r="J51" s="163">
        <f t="shared" si="37"/>
        <v>2235</v>
      </c>
      <c r="K51" s="163">
        <f t="shared" si="37"/>
        <v>2555</v>
      </c>
      <c r="L51" s="163">
        <f t="shared" si="37"/>
        <v>2955</v>
      </c>
      <c r="M51" s="163">
        <f>L51+M13</f>
        <v>3465.5</v>
      </c>
      <c r="N51" s="163">
        <f t="shared" si="37"/>
        <v>3845.5</v>
      </c>
      <c r="O51" s="163">
        <f t="shared" si="37"/>
        <v>4195.5</v>
      </c>
      <c r="P51" s="163">
        <f t="shared" si="37"/>
        <v>4530.5</v>
      </c>
      <c r="Q51" s="163">
        <f t="shared" si="37"/>
        <v>4820.5</v>
      </c>
      <c r="R51" s="163">
        <f t="shared" si="37"/>
        <v>4965.5</v>
      </c>
      <c r="S51" s="163">
        <f t="shared" si="37"/>
        <v>5115.5</v>
      </c>
      <c r="T51" s="163">
        <f t="shared" si="37"/>
        <v>5203.5</v>
      </c>
      <c r="U51" s="163">
        <f t="shared" si="37"/>
        <v>5493.5</v>
      </c>
      <c r="V51" s="163">
        <f t="shared" si="37"/>
        <v>5673.5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63">
        <v>156.9</v>
      </c>
      <c r="AN51" s="778">
        <v>78</v>
      </c>
    </row>
    <row r="52" spans="2:40" x14ac:dyDescent="0.3">
      <c r="B52" s="751" t="s">
        <v>16</v>
      </c>
      <c r="C52" s="18" t="s">
        <v>17</v>
      </c>
      <c r="D52" s="163">
        <f>D13+Agosto23!AF49</f>
        <v>137406.1</v>
      </c>
      <c r="E52" s="164">
        <f t="shared" si="36"/>
        <v>137760.5</v>
      </c>
      <c r="F52" s="164">
        <f t="shared" si="36"/>
        <v>138147.1</v>
      </c>
      <c r="G52" s="165">
        <v>138545</v>
      </c>
      <c r="H52" s="166">
        <v>138937</v>
      </c>
      <c r="I52" s="163">
        <f t="shared" si="37"/>
        <v>139386.29999999999</v>
      </c>
      <c r="J52" s="163">
        <f t="shared" si="37"/>
        <v>139805.9</v>
      </c>
      <c r="K52" s="163">
        <f t="shared" si="37"/>
        <v>140263.29999999999</v>
      </c>
      <c r="L52" s="163">
        <f t="shared" si="37"/>
        <v>140821.9</v>
      </c>
      <c r="M52" s="163" t="e">
        <f>L52+#REF!</f>
        <v>#REF!</v>
      </c>
      <c r="N52" s="163" t="e">
        <f t="shared" si="37"/>
        <v>#REF!</v>
      </c>
      <c r="O52" s="163" t="e">
        <f t="shared" si="37"/>
        <v>#REF!</v>
      </c>
      <c r="P52" s="163" t="e">
        <f t="shared" si="37"/>
        <v>#REF!</v>
      </c>
      <c r="Q52" s="163" t="e">
        <f t="shared" si="37"/>
        <v>#REF!</v>
      </c>
      <c r="R52" s="163" t="e">
        <f t="shared" si="37"/>
        <v>#REF!</v>
      </c>
      <c r="S52" s="163" t="e">
        <f t="shared" si="37"/>
        <v>#REF!</v>
      </c>
      <c r="T52" s="163" t="e">
        <f t="shared" si="37"/>
        <v>#REF!</v>
      </c>
      <c r="U52" s="163" t="e">
        <f t="shared" si="37"/>
        <v>#REF!</v>
      </c>
      <c r="V52" s="163" t="e">
        <f t="shared" si="37"/>
        <v>#REF!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195.6</v>
      </c>
      <c r="AN52" s="779"/>
    </row>
    <row r="53" spans="2:40" x14ac:dyDescent="0.3">
      <c r="B53" s="752"/>
      <c r="C53" s="18" t="s">
        <v>18</v>
      </c>
      <c r="D53" s="163">
        <f>D14+Agosto23!AF50</f>
        <v>127265.1</v>
      </c>
      <c r="E53" s="164">
        <f t="shared" si="36"/>
        <v>127265.1</v>
      </c>
      <c r="F53" s="164">
        <f t="shared" si="36"/>
        <v>127265.1</v>
      </c>
      <c r="G53" s="165">
        <v>128878</v>
      </c>
      <c r="H53" s="166">
        <v>129112</v>
      </c>
      <c r="I53" s="163">
        <f t="shared" si="37"/>
        <v>129112</v>
      </c>
      <c r="J53" s="163">
        <f t="shared" si="37"/>
        <v>129112</v>
      </c>
      <c r="K53" s="163">
        <f t="shared" si="37"/>
        <v>129112</v>
      </c>
      <c r="L53" s="163">
        <f t="shared" si="37"/>
        <v>129112</v>
      </c>
      <c r="M53" s="163">
        <f t="shared" si="37"/>
        <v>129132</v>
      </c>
      <c r="N53" s="163">
        <f t="shared" si="37"/>
        <v>129582</v>
      </c>
      <c r="O53" s="163">
        <f>N53+O14</f>
        <v>129994.7</v>
      </c>
      <c r="P53" s="163">
        <f t="shared" si="37"/>
        <v>130412.8</v>
      </c>
      <c r="Q53" s="163">
        <f t="shared" si="37"/>
        <v>130777.8</v>
      </c>
      <c r="R53" s="163">
        <f t="shared" si="37"/>
        <v>131100</v>
      </c>
      <c r="S53" s="163">
        <f t="shared" si="37"/>
        <v>131372.70000000001</v>
      </c>
      <c r="T53" s="163" t="e">
        <f>S53+#REF!</f>
        <v>#REF!</v>
      </c>
      <c r="U53" s="163" t="e">
        <f>T53+U14</f>
        <v>#REF!</v>
      </c>
      <c r="V53" s="163" t="e">
        <f t="shared" si="37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55.4</v>
      </c>
      <c r="AN53" s="780"/>
    </row>
    <row r="54" spans="2:40" x14ac:dyDescent="0.3">
      <c r="B54" s="752"/>
      <c r="C54" s="18" t="s">
        <v>19</v>
      </c>
      <c r="D54" s="163">
        <f>D15+Agosto23!AF51</f>
        <v>37832.800000000003</v>
      </c>
      <c r="E54" s="164">
        <f t="shared" si="36"/>
        <v>37974.700000000004</v>
      </c>
      <c r="F54" s="164">
        <f t="shared" si="36"/>
        <v>38113.200000000004</v>
      </c>
      <c r="G54" s="165">
        <v>38160</v>
      </c>
      <c r="H54" s="166">
        <v>38222</v>
      </c>
      <c r="I54" s="163">
        <f t="shared" si="37"/>
        <v>38281.599999999999</v>
      </c>
      <c r="J54" s="163">
        <f t="shared" si="37"/>
        <v>38281.599999999999</v>
      </c>
      <c r="K54" s="163">
        <f t="shared" si="37"/>
        <v>38281.599999999999</v>
      </c>
      <c r="L54" s="163">
        <f t="shared" si="37"/>
        <v>38281.599999999999</v>
      </c>
      <c r="M54" s="163">
        <f t="shared" si="37"/>
        <v>38281.599999999999</v>
      </c>
      <c r="N54" s="163">
        <f t="shared" si="37"/>
        <v>38281.599999999999</v>
      </c>
      <c r="O54" s="163">
        <f>N54+O15</f>
        <v>38281.599999999999</v>
      </c>
      <c r="P54" s="163">
        <f t="shared" si="37"/>
        <v>38281.599999999999</v>
      </c>
      <c r="Q54" s="163">
        <f t="shared" si="37"/>
        <v>38281.599999999999</v>
      </c>
      <c r="R54" s="163">
        <f t="shared" si="37"/>
        <v>38281.599999999999</v>
      </c>
      <c r="S54" s="163">
        <f t="shared" si="37"/>
        <v>38281.599999999999</v>
      </c>
      <c r="T54" s="163">
        <f>S54+T15</f>
        <v>38281.599999999999</v>
      </c>
      <c r="U54" s="163">
        <f>T54+U15</f>
        <v>38295.5</v>
      </c>
      <c r="V54" s="163">
        <f t="shared" si="37"/>
        <v>38379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183.6</v>
      </c>
      <c r="AN54" s="778">
        <v>60</v>
      </c>
    </row>
    <row r="55" spans="2:40" x14ac:dyDescent="0.3">
      <c r="B55" s="753"/>
      <c r="C55" s="18" t="s">
        <v>20</v>
      </c>
      <c r="D55" s="163">
        <f>D16+Agosto23!AF52</f>
        <v>97404.4</v>
      </c>
      <c r="E55" s="164">
        <f t="shared" si="36"/>
        <v>97869.099999999991</v>
      </c>
      <c r="F55" s="164">
        <f t="shared" si="36"/>
        <v>98340.799999999988</v>
      </c>
      <c r="G55" s="165">
        <v>98510</v>
      </c>
      <c r="H55" s="166">
        <v>98809</v>
      </c>
      <c r="I55" s="163">
        <f t="shared" si="37"/>
        <v>99255.5</v>
      </c>
      <c r="J55" s="163">
        <f t="shared" si="37"/>
        <v>99727.3</v>
      </c>
      <c r="K55" s="163">
        <f t="shared" si="37"/>
        <v>100293.7</v>
      </c>
      <c r="L55" s="163">
        <f t="shared" si="37"/>
        <v>100845.3</v>
      </c>
      <c r="M55" s="163">
        <f t="shared" si="37"/>
        <v>101380.40000000001</v>
      </c>
      <c r="N55" s="163">
        <f t="shared" si="37"/>
        <v>101787.40000000001</v>
      </c>
      <c r="O55" s="163">
        <f t="shared" si="37"/>
        <v>102197.1</v>
      </c>
      <c r="P55" s="163">
        <f t="shared" si="37"/>
        <v>102633.20000000001</v>
      </c>
      <c r="Q55" s="163">
        <f t="shared" si="37"/>
        <v>103083.6</v>
      </c>
      <c r="R55" s="163">
        <f t="shared" si="37"/>
        <v>103372.6</v>
      </c>
      <c r="S55" s="163">
        <f t="shared" si="37"/>
        <v>103620.6</v>
      </c>
      <c r="T55" s="163">
        <f>S55+T14</f>
        <v>103774.3</v>
      </c>
      <c r="U55" s="163">
        <f t="shared" si="37"/>
        <v>104174.40000000001</v>
      </c>
      <c r="V55" s="163">
        <f t="shared" si="37"/>
        <v>104419.40000000001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 t="s">
        <v>31</v>
      </c>
      <c r="AN55" s="779"/>
    </row>
    <row r="56" spans="2:40" x14ac:dyDescent="0.3">
      <c r="B56" s="754" t="s">
        <v>21</v>
      </c>
      <c r="C56" s="18" t="s">
        <v>22</v>
      </c>
      <c r="D56" s="163">
        <f>D17+Agosto23!AF53</f>
        <v>66121.5</v>
      </c>
      <c r="E56" s="164">
        <f t="shared" si="36"/>
        <v>66598.5</v>
      </c>
      <c r="F56" s="164">
        <f t="shared" si="36"/>
        <v>66999</v>
      </c>
      <c r="G56" s="165">
        <v>67299</v>
      </c>
      <c r="H56" s="166">
        <v>67726</v>
      </c>
      <c r="I56" s="163">
        <f t="shared" si="37"/>
        <v>68142.2</v>
      </c>
      <c r="J56" s="163">
        <f t="shared" si="37"/>
        <v>68635.599999999991</v>
      </c>
      <c r="K56" s="163" t="e">
        <f>J56+#REF!</f>
        <v>#REF!</v>
      </c>
      <c r="L56" s="163" t="e">
        <f t="shared" si="37"/>
        <v>#REF!</v>
      </c>
      <c r="M56" s="163" t="e">
        <f t="shared" si="37"/>
        <v>#REF!</v>
      </c>
      <c r="N56" s="163" t="e">
        <f>M56+N18</f>
        <v>#REF!</v>
      </c>
      <c r="O56" s="163" t="e">
        <f t="shared" si="37"/>
        <v>#REF!</v>
      </c>
      <c r="P56" s="163" t="e">
        <f t="shared" si="37"/>
        <v>#REF!</v>
      </c>
      <c r="Q56" s="163" t="e">
        <f t="shared" si="37"/>
        <v>#REF!</v>
      </c>
      <c r="R56" s="163" t="e">
        <f t="shared" si="37"/>
        <v>#REF!</v>
      </c>
      <c r="S56" s="163" t="e">
        <f t="shared" si="37"/>
        <v>#REF!</v>
      </c>
      <c r="T56" s="163" t="e">
        <f t="shared" si="37"/>
        <v>#REF!</v>
      </c>
      <c r="U56" s="163" t="e">
        <f t="shared" si="37"/>
        <v>#REF!</v>
      </c>
      <c r="V56" s="163" t="e">
        <f t="shared" si="37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>
        <v>40.200000000000003</v>
      </c>
      <c r="AN56" s="780"/>
    </row>
    <row r="57" spans="2:40" x14ac:dyDescent="0.3">
      <c r="B57" s="754"/>
      <c r="C57" s="18" t="s">
        <v>23</v>
      </c>
      <c r="D57" s="163">
        <f>D18+Agosto23!AF54</f>
        <v>74712</v>
      </c>
      <c r="E57" s="164">
        <f t="shared" si="36"/>
        <v>75222.8</v>
      </c>
      <c r="F57" s="164">
        <f t="shared" si="36"/>
        <v>75640.3</v>
      </c>
      <c r="G57" s="165">
        <v>75901</v>
      </c>
      <c r="H57" s="166">
        <v>76333</v>
      </c>
      <c r="I57" s="163">
        <f t="shared" si="37"/>
        <v>76791.3</v>
      </c>
      <c r="J57" s="163">
        <f t="shared" si="37"/>
        <v>77312.7</v>
      </c>
      <c r="K57" s="163">
        <f t="shared" si="37"/>
        <v>77738.5</v>
      </c>
      <c r="L57" s="163">
        <f t="shared" si="37"/>
        <v>78270.5</v>
      </c>
      <c r="M57" s="163">
        <f>L57+M19</f>
        <v>78695.600000000006</v>
      </c>
      <c r="N57" s="163" t="e">
        <f>M57+#REF!</f>
        <v>#REF!</v>
      </c>
      <c r="O57" s="163" t="e">
        <f t="shared" si="37"/>
        <v>#REF!</v>
      </c>
      <c r="P57" s="163" t="e">
        <f t="shared" si="37"/>
        <v>#REF!</v>
      </c>
      <c r="Q57" s="163" t="e">
        <f>P57+Q19</f>
        <v>#REF!</v>
      </c>
      <c r="R57" s="163" t="e">
        <f>Q57+#REF!</f>
        <v>#REF!</v>
      </c>
      <c r="S57" s="163" t="e">
        <f t="shared" si="37"/>
        <v>#REF!</v>
      </c>
      <c r="T57" s="163" t="e">
        <f t="shared" si="37"/>
        <v>#REF!</v>
      </c>
      <c r="U57" s="163" t="e">
        <f t="shared" si="37"/>
        <v>#REF!</v>
      </c>
      <c r="V57" s="163" t="e">
        <f t="shared" si="37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115</v>
      </c>
      <c r="AN57" s="784">
        <v>100</v>
      </c>
    </row>
    <row r="58" spans="2:40" x14ac:dyDescent="0.3">
      <c r="B58" s="754"/>
      <c r="C58" s="18" t="s">
        <v>24</v>
      </c>
      <c r="D58" s="163">
        <f>D19+Agosto23!AF55</f>
        <v>136342.90000000002</v>
      </c>
      <c r="E58" s="164">
        <f t="shared" si="36"/>
        <v>136830.50000000003</v>
      </c>
      <c r="F58" s="164">
        <f t="shared" si="36"/>
        <v>137173.50000000003</v>
      </c>
      <c r="G58" s="165">
        <v>137294</v>
      </c>
      <c r="H58" s="166">
        <v>137664</v>
      </c>
      <c r="I58" s="163">
        <f>H58+I19</f>
        <v>138002.4</v>
      </c>
      <c r="J58" s="163">
        <f t="shared" si="37"/>
        <v>138440.9</v>
      </c>
      <c r="K58" s="163">
        <f t="shared" si="37"/>
        <v>138777.29999999999</v>
      </c>
      <c r="L58" s="163">
        <f>K58+L21</f>
        <v>139133.69999999998</v>
      </c>
      <c r="M58" s="163" t="e">
        <f>L58+#REF!</f>
        <v>#REF!</v>
      </c>
      <c r="N58" s="163" t="e">
        <f t="shared" si="37"/>
        <v>#REF!</v>
      </c>
      <c r="O58" s="163" t="e">
        <f t="shared" si="37"/>
        <v>#REF!</v>
      </c>
      <c r="P58" s="163" t="e">
        <f t="shared" si="37"/>
        <v>#REF!</v>
      </c>
      <c r="Q58" s="163" t="e">
        <f>P58+#REF!</f>
        <v>#REF!</v>
      </c>
      <c r="R58" s="163" t="e">
        <f t="shared" si="37"/>
        <v>#REF!</v>
      </c>
      <c r="S58" s="163" t="e">
        <f t="shared" si="37"/>
        <v>#REF!</v>
      </c>
      <c r="T58" s="163" t="e">
        <f t="shared" si="37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160.30000000000001</v>
      </c>
      <c r="AN58" s="785"/>
    </row>
    <row r="59" spans="2:40" x14ac:dyDescent="0.3">
      <c r="B59" s="754"/>
      <c r="C59" s="18" t="s">
        <v>25</v>
      </c>
      <c r="D59" s="163">
        <f>D20+Agosto23!AF56</f>
        <v>174759.7</v>
      </c>
      <c r="E59" s="164">
        <f t="shared" si="36"/>
        <v>175207.80000000002</v>
      </c>
      <c r="F59" s="164">
        <f t="shared" si="36"/>
        <v>175613.2</v>
      </c>
      <c r="G59" s="165">
        <v>176032</v>
      </c>
      <c r="H59" s="166">
        <v>176536</v>
      </c>
      <c r="I59" s="163">
        <f>H59+I20</f>
        <v>176952.7</v>
      </c>
      <c r="J59" s="163">
        <f t="shared" si="37"/>
        <v>177468.30000000002</v>
      </c>
      <c r="K59" s="163">
        <f>J59+K17</f>
        <v>177869.90000000002</v>
      </c>
      <c r="L59" s="163">
        <f t="shared" si="37"/>
        <v>178333.50000000003</v>
      </c>
      <c r="M59" s="163">
        <f t="shared" si="37"/>
        <v>178849.00000000003</v>
      </c>
      <c r="N59" s="163">
        <f>M59+N21</f>
        <v>179091.90000000002</v>
      </c>
      <c r="O59" s="163" t="e">
        <f>N59+#REF!</f>
        <v>#REF!</v>
      </c>
      <c r="P59" s="163" t="e">
        <f t="shared" si="37"/>
        <v>#REF!</v>
      </c>
      <c r="Q59" s="163" t="e">
        <f t="shared" si="37"/>
        <v>#REF!</v>
      </c>
      <c r="R59" s="163" t="e">
        <f>Q59+R18</f>
        <v>#REF!</v>
      </c>
      <c r="S59" s="163" t="e">
        <f>R59+S21</f>
        <v>#REF!</v>
      </c>
      <c r="T59" s="163" t="e">
        <f>S59+#REF!</f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136.9</v>
      </c>
      <c r="AN59" s="786"/>
    </row>
    <row r="60" spans="2:40" x14ac:dyDescent="0.3">
      <c r="B60" s="754"/>
      <c r="C60" s="18" t="s">
        <v>26</v>
      </c>
      <c r="D60" s="163">
        <f>D21+Agosto23!AF57</f>
        <v>82483.8</v>
      </c>
      <c r="E60" s="164">
        <f t="shared" ref="E60:F66" si="38">D60+E21</f>
        <v>82836.600000000006</v>
      </c>
      <c r="F60" s="164">
        <f t="shared" si="38"/>
        <v>83168.200000000012</v>
      </c>
      <c r="G60" s="165">
        <v>83628</v>
      </c>
      <c r="H60" s="166">
        <v>84081</v>
      </c>
      <c r="I60" s="163">
        <f t="shared" ref="I60:L66" si="39">H60+I21</f>
        <v>84396</v>
      </c>
      <c r="J60" s="163">
        <f t="shared" si="39"/>
        <v>84797.8</v>
      </c>
      <c r="K60" s="163">
        <f t="shared" si="39"/>
        <v>85110.7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40">N60+O21</f>
        <v>#REF!</v>
      </c>
      <c r="P60" s="163" t="e">
        <f t="shared" si="40"/>
        <v>#REF!</v>
      </c>
      <c r="Q60" s="163" t="e">
        <f t="shared" si="40"/>
        <v>#REF!</v>
      </c>
      <c r="R60" s="163" t="e">
        <f t="shared" si="40"/>
        <v>#REF!</v>
      </c>
      <c r="S60" s="163" t="e">
        <f>R60+#REF!</f>
        <v>#REF!</v>
      </c>
      <c r="T60" s="163" t="e">
        <f t="shared" ref="T60:V66" si="41">S60+T21</f>
        <v>#REF!</v>
      </c>
      <c r="U60" s="163" t="e">
        <f t="shared" si="41"/>
        <v>#REF!</v>
      </c>
      <c r="V60" s="163" t="e">
        <f t="shared" si="41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147.5</v>
      </c>
      <c r="AN60" s="784">
        <v>100</v>
      </c>
    </row>
    <row r="61" spans="2:40" x14ac:dyDescent="0.3">
      <c r="B61" s="754"/>
      <c r="C61" s="18" t="s">
        <v>27</v>
      </c>
      <c r="D61" s="163">
        <f>D22+Agosto23!AF58</f>
        <v>61626.400000000001</v>
      </c>
      <c r="E61" s="164">
        <f t="shared" si="38"/>
        <v>62171</v>
      </c>
      <c r="F61" s="164">
        <f t="shared" si="38"/>
        <v>62700.800000000003</v>
      </c>
      <c r="G61" s="165">
        <v>63058</v>
      </c>
      <c r="H61" s="166">
        <v>63281</v>
      </c>
      <c r="I61" s="163">
        <f t="shared" si="39"/>
        <v>63772.800000000003</v>
      </c>
      <c r="J61" s="163">
        <f t="shared" si="39"/>
        <v>64309.8</v>
      </c>
      <c r="K61" s="163">
        <f t="shared" si="39"/>
        <v>64871.700000000004</v>
      </c>
      <c r="L61" s="163">
        <f t="shared" si="39"/>
        <v>65415.500000000007</v>
      </c>
      <c r="M61" s="163" t="e">
        <f>L61+#REF!</f>
        <v>#REF!</v>
      </c>
      <c r="N61" s="163" t="e">
        <f t="shared" si="40"/>
        <v>#REF!</v>
      </c>
      <c r="O61" s="163" t="e">
        <f t="shared" si="40"/>
        <v>#REF!</v>
      </c>
      <c r="P61" s="163" t="e">
        <f t="shared" si="40"/>
        <v>#REF!</v>
      </c>
      <c r="Q61" s="163" t="e">
        <f t="shared" si="40"/>
        <v>#REF!</v>
      </c>
      <c r="R61" s="163" t="e">
        <f t="shared" si="40"/>
        <v>#REF!</v>
      </c>
      <c r="S61" s="163" t="e">
        <f t="shared" si="40"/>
        <v>#REF!</v>
      </c>
      <c r="T61" s="163" t="e">
        <f t="shared" si="41"/>
        <v>#REF!</v>
      </c>
      <c r="U61" s="163" t="e">
        <f t="shared" si="41"/>
        <v>#REF!</v>
      </c>
      <c r="V61" s="163" t="e">
        <f t="shared" si="41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189.83</v>
      </c>
      <c r="AN61" s="785"/>
    </row>
    <row r="62" spans="2:40" x14ac:dyDescent="0.3">
      <c r="B62" s="754"/>
      <c r="C62" s="18" t="s">
        <v>28</v>
      </c>
      <c r="D62" s="163">
        <f>D23+Agosto23!AF59</f>
        <v>87706.87</v>
      </c>
      <c r="E62" s="164">
        <f t="shared" si="38"/>
        <v>88180.17</v>
      </c>
      <c r="F62" s="164">
        <f t="shared" si="38"/>
        <v>88583.27</v>
      </c>
      <c r="G62" s="165">
        <v>87693.64</v>
      </c>
      <c r="H62" s="166">
        <v>87903.16</v>
      </c>
      <c r="I62" s="163">
        <f t="shared" si="39"/>
        <v>88282.66</v>
      </c>
      <c r="J62" s="163">
        <f t="shared" si="39"/>
        <v>88714.06</v>
      </c>
      <c r="K62" s="163">
        <f>J62+K23</f>
        <v>89132.959999999992</v>
      </c>
      <c r="L62" s="163">
        <f t="shared" si="39"/>
        <v>89477.359999999986</v>
      </c>
      <c r="M62" s="163">
        <f>L62+M22</f>
        <v>90055.25999999998</v>
      </c>
      <c r="N62" s="163">
        <f>M62+N24</f>
        <v>91622.459999999977</v>
      </c>
      <c r="O62" s="163">
        <f>N62+O20</f>
        <v>92113.659999999974</v>
      </c>
      <c r="P62" s="163">
        <f t="shared" si="40"/>
        <v>92405.159999999974</v>
      </c>
      <c r="Q62" s="163">
        <f t="shared" si="40"/>
        <v>92763.359999999971</v>
      </c>
      <c r="R62" s="163">
        <f t="shared" si="40"/>
        <v>92982.259999999966</v>
      </c>
      <c r="S62" s="163">
        <f t="shared" si="40"/>
        <v>93204.759999999966</v>
      </c>
      <c r="T62" s="163">
        <f>S62+T20</f>
        <v>93324.959999999963</v>
      </c>
      <c r="U62" s="163">
        <f t="shared" si="41"/>
        <v>93721.059999999969</v>
      </c>
      <c r="V62" s="163">
        <f>U62+V23</f>
        <v>93762.059999999969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223.4</v>
      </c>
      <c r="AN62" s="786"/>
    </row>
    <row r="63" spans="2:40" x14ac:dyDescent="0.3">
      <c r="B63" s="754"/>
      <c r="C63" s="18" t="s">
        <v>29</v>
      </c>
      <c r="D63" s="163">
        <f>D24+Agosto23!AF60</f>
        <v>130333.2</v>
      </c>
      <c r="E63" s="164">
        <f t="shared" si="38"/>
        <v>132188.5</v>
      </c>
      <c r="F63" s="164">
        <f t="shared" si="38"/>
        <v>134007.29999999999</v>
      </c>
      <c r="G63" s="165">
        <v>130195</v>
      </c>
      <c r="H63" s="166">
        <v>130451</v>
      </c>
      <c r="I63" s="163">
        <f t="shared" si="39"/>
        <v>132179.29999999999</v>
      </c>
      <c r="J63" s="163">
        <f>I63+J29</f>
        <v>132554.19999999998</v>
      </c>
      <c r="K63" s="163">
        <f>J63+K24</f>
        <v>134469.9</v>
      </c>
      <c r="L63" s="163">
        <f t="shared" si="39"/>
        <v>136327.6</v>
      </c>
      <c r="M63" s="163">
        <f t="shared" si="40"/>
        <v>138349.4</v>
      </c>
      <c r="N63" s="163" t="e">
        <f>M63+#REF!</f>
        <v>#REF!</v>
      </c>
      <c r="O63" s="163" t="e">
        <f t="shared" si="40"/>
        <v>#REF!</v>
      </c>
      <c r="P63" s="163" t="e">
        <f t="shared" si="40"/>
        <v>#REF!</v>
      </c>
      <c r="Q63" s="163" t="e">
        <f t="shared" si="40"/>
        <v>#REF!</v>
      </c>
      <c r="R63" s="163" t="e">
        <f t="shared" si="40"/>
        <v>#REF!</v>
      </c>
      <c r="S63" s="163" t="e">
        <f t="shared" si="40"/>
        <v>#REF!</v>
      </c>
      <c r="T63" s="163" t="e">
        <f t="shared" si="41"/>
        <v>#REF!</v>
      </c>
      <c r="U63" s="163" t="e">
        <f t="shared" si="41"/>
        <v>#REF!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619</v>
      </c>
      <c r="AN63" s="778">
        <v>29</v>
      </c>
    </row>
    <row r="64" spans="2:40" x14ac:dyDescent="0.3">
      <c r="B64" s="754"/>
      <c r="C64" s="18" t="s">
        <v>30</v>
      </c>
      <c r="D64" s="163">
        <f>D25+Agosto23!AF61</f>
        <v>14647</v>
      </c>
      <c r="E64" s="164">
        <f t="shared" si="38"/>
        <v>15268.9</v>
      </c>
      <c r="F64" s="164">
        <f t="shared" si="38"/>
        <v>15822.699999999999</v>
      </c>
      <c r="G64" s="165">
        <v>18667</v>
      </c>
      <c r="H64" s="166">
        <v>19364</v>
      </c>
      <c r="I64" s="163">
        <f t="shared" si="39"/>
        <v>19873.2</v>
      </c>
      <c r="J64" s="163">
        <f t="shared" si="39"/>
        <v>20307.7</v>
      </c>
      <c r="K64" s="163">
        <f t="shared" si="39"/>
        <v>20837.2</v>
      </c>
      <c r="L64" s="163">
        <f t="shared" si="39"/>
        <v>21346.2</v>
      </c>
      <c r="M64" s="163">
        <f t="shared" si="40"/>
        <v>21824.600000000002</v>
      </c>
      <c r="N64" s="163" t="e">
        <f>M64+#REF!</f>
        <v>#REF!</v>
      </c>
      <c r="O64" s="163" t="e">
        <f t="shared" si="40"/>
        <v>#REF!</v>
      </c>
      <c r="P64" s="163" t="e">
        <f t="shared" si="40"/>
        <v>#REF!</v>
      </c>
      <c r="Q64" s="163" t="e">
        <f t="shared" si="40"/>
        <v>#REF!</v>
      </c>
      <c r="R64" s="163" t="e">
        <f t="shared" si="40"/>
        <v>#REF!</v>
      </c>
      <c r="S64" s="163" t="e">
        <f t="shared" si="40"/>
        <v>#REF!</v>
      </c>
      <c r="T64" s="163" t="e">
        <f>S64+T26</f>
        <v>#REF!</v>
      </c>
      <c r="U64" s="163" t="e">
        <f>T64+U26</f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219.3</v>
      </c>
      <c r="AN64" s="779"/>
    </row>
    <row r="65" spans="2:40" x14ac:dyDescent="0.3">
      <c r="B65" s="754"/>
      <c r="C65" s="18" t="s">
        <v>111</v>
      </c>
      <c r="D65" s="163">
        <f>D26+Agosto23!AF62</f>
        <v>45366.3</v>
      </c>
      <c r="E65" s="164">
        <f t="shared" si="38"/>
        <v>45884.700000000004</v>
      </c>
      <c r="F65" s="164">
        <f t="shared" si="38"/>
        <v>46391.9</v>
      </c>
      <c r="G65" s="165">
        <v>46772</v>
      </c>
      <c r="H65" s="166">
        <v>47086</v>
      </c>
      <c r="I65" s="163">
        <f t="shared" si="39"/>
        <v>47524.6</v>
      </c>
      <c r="J65" s="163">
        <f t="shared" si="39"/>
        <v>47954.799999999996</v>
      </c>
      <c r="K65" s="163">
        <f t="shared" si="39"/>
        <v>48394.1</v>
      </c>
      <c r="L65" s="163">
        <f t="shared" si="39"/>
        <v>48924</v>
      </c>
      <c r="M65" s="163">
        <f t="shared" si="40"/>
        <v>49412.7</v>
      </c>
      <c r="N65" s="163">
        <f>M65+N25</f>
        <v>49914.899999999994</v>
      </c>
      <c r="O65" s="163">
        <f t="shared" si="40"/>
        <v>50353.099999999991</v>
      </c>
      <c r="P65" s="163">
        <f t="shared" si="40"/>
        <v>50788.099999999991</v>
      </c>
      <c r="Q65" s="163">
        <f t="shared" si="40"/>
        <v>51189.099999999991</v>
      </c>
      <c r="R65" s="163">
        <f t="shared" si="40"/>
        <v>51504.499999999993</v>
      </c>
      <c r="S65" s="163">
        <f t="shared" si="40"/>
        <v>51767.399999999994</v>
      </c>
      <c r="T65" s="163" t="e">
        <f>S65+#REF!</f>
        <v>#REF!</v>
      </c>
      <c r="U65" s="163" t="e">
        <f>T65+#REF!</f>
        <v>#REF!</v>
      </c>
      <c r="V65" s="163" t="e">
        <f t="shared" si="41"/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66.900000000000006</v>
      </c>
      <c r="AN65" s="780"/>
    </row>
    <row r="66" spans="2:40" ht="15" thickBot="1" x14ac:dyDescent="0.35">
      <c r="B66" s="754"/>
      <c r="C66" s="18" t="s">
        <v>32</v>
      </c>
      <c r="D66" s="163">
        <f>D27+Agosto23!AF63</f>
        <v>9637</v>
      </c>
      <c r="E66" s="164">
        <f t="shared" si="38"/>
        <v>10124.4</v>
      </c>
      <c r="F66" s="164">
        <f t="shared" si="38"/>
        <v>10577.8</v>
      </c>
      <c r="G66" s="165">
        <v>10779</v>
      </c>
      <c r="H66" s="166">
        <v>10940</v>
      </c>
      <c r="I66" s="163">
        <f t="shared" si="39"/>
        <v>11389.1</v>
      </c>
      <c r="J66" s="163">
        <f t="shared" si="39"/>
        <v>11875.1</v>
      </c>
      <c r="K66" s="163">
        <f t="shared" si="39"/>
        <v>12345.4</v>
      </c>
      <c r="L66" s="163">
        <f t="shared" si="39"/>
        <v>12831.8</v>
      </c>
      <c r="M66" s="163">
        <f t="shared" si="40"/>
        <v>13325.699999999999</v>
      </c>
      <c r="N66" s="163">
        <f t="shared" si="40"/>
        <v>13752.9</v>
      </c>
      <c r="O66" s="163">
        <f t="shared" si="40"/>
        <v>14145.5</v>
      </c>
      <c r="P66" s="163">
        <f t="shared" si="40"/>
        <v>14578.3</v>
      </c>
      <c r="Q66" s="163">
        <f t="shared" si="40"/>
        <v>15007.5</v>
      </c>
      <c r="R66" s="163">
        <f t="shared" si="40"/>
        <v>15393</v>
      </c>
      <c r="S66" s="163">
        <f t="shared" si="40"/>
        <v>15625.7</v>
      </c>
      <c r="T66" s="163">
        <f t="shared" si="41"/>
        <v>15814.7</v>
      </c>
      <c r="U66" s="163">
        <f t="shared" si="41"/>
        <v>16284.6</v>
      </c>
      <c r="V66" s="163">
        <f t="shared" si="41"/>
        <v>16545.7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93">
        <v>150.6</v>
      </c>
      <c r="AN66" s="784">
        <v>100</v>
      </c>
    </row>
    <row r="67" spans="2:40" x14ac:dyDescent="0.3">
      <c r="B67" s="754"/>
      <c r="C67" s="18" t="s">
        <v>112</v>
      </c>
      <c r="D67" s="163">
        <f>D28+Agosto23!AF64</f>
        <v>19073.7</v>
      </c>
      <c r="E67" s="164">
        <f>D67+E29</f>
        <v>19486.2</v>
      </c>
      <c r="F67" s="164">
        <f>E67+F29</f>
        <v>19877.400000000001</v>
      </c>
      <c r="G67" s="165">
        <v>20520.400000000001</v>
      </c>
      <c r="H67" s="166">
        <v>20739</v>
      </c>
      <c r="I67" s="163">
        <f t="shared" ref="I67:V67" si="42">H67+I29</f>
        <v>21088.1</v>
      </c>
      <c r="J67" s="163">
        <f>I67+J30</f>
        <v>21464.899999999998</v>
      </c>
      <c r="K67" s="163">
        <f t="shared" si="42"/>
        <v>21827.499999999996</v>
      </c>
      <c r="L67" s="163">
        <f t="shared" si="42"/>
        <v>22239.499999999996</v>
      </c>
      <c r="M67" s="163">
        <f t="shared" si="42"/>
        <v>22652.999999999996</v>
      </c>
      <c r="N67" s="163">
        <f>M67+N30</f>
        <v>23052.599999999995</v>
      </c>
      <c r="O67" s="163">
        <f t="shared" si="42"/>
        <v>23389.499999999996</v>
      </c>
      <c r="P67" s="163">
        <f t="shared" si="42"/>
        <v>23743.999999999996</v>
      </c>
      <c r="Q67" s="163">
        <f t="shared" si="42"/>
        <v>24092.999999999996</v>
      </c>
      <c r="R67" s="163">
        <f t="shared" si="42"/>
        <v>24399.999999999996</v>
      </c>
      <c r="S67" s="163">
        <f t="shared" si="42"/>
        <v>24586.499999999996</v>
      </c>
      <c r="T67" s="163">
        <f t="shared" si="42"/>
        <v>24734.799999999996</v>
      </c>
      <c r="U67" s="163">
        <f t="shared" si="42"/>
        <v>25119.399999999994</v>
      </c>
      <c r="V67" s="163">
        <f t="shared" si="42"/>
        <v>25333.799999999996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N67" s="785"/>
    </row>
    <row r="68" spans="2:40" x14ac:dyDescent="0.3">
      <c r="B68" s="756" t="s">
        <v>196</v>
      </c>
      <c r="C68" s="756"/>
      <c r="D68" s="756"/>
      <c r="E68" s="756"/>
      <c r="AN68" s="786"/>
    </row>
    <row r="69" spans="2:40" x14ac:dyDescent="0.3">
      <c r="B69" s="757" t="s">
        <v>132</v>
      </c>
      <c r="C69" s="757"/>
      <c r="D69" s="757"/>
      <c r="E69" s="757"/>
      <c r="AN69" s="784">
        <v>110</v>
      </c>
    </row>
    <row r="70" spans="2:40" x14ac:dyDescent="0.3">
      <c r="AN70" s="785"/>
    </row>
    <row r="71" spans="2:40" x14ac:dyDescent="0.3">
      <c r="AN71" s="786"/>
    </row>
    <row r="72" spans="2:40" x14ac:dyDescent="0.3">
      <c r="AN72" s="784">
        <v>110</v>
      </c>
    </row>
    <row r="73" spans="2:40" x14ac:dyDescent="0.3">
      <c r="AN73" s="785"/>
    </row>
    <row r="74" spans="2:40" x14ac:dyDescent="0.3">
      <c r="AN74" s="786"/>
    </row>
    <row r="75" spans="2:40" x14ac:dyDescent="0.3">
      <c r="AN75" s="778">
        <v>80</v>
      </c>
    </row>
    <row r="76" spans="2:40" x14ac:dyDescent="0.3">
      <c r="AN76" s="779"/>
    </row>
    <row r="77" spans="2:40" x14ac:dyDescent="0.3">
      <c r="AN77" s="780"/>
    </row>
    <row r="78" spans="2:40" x14ac:dyDescent="0.3">
      <c r="AN78" s="784">
        <v>100</v>
      </c>
    </row>
    <row r="79" spans="2:40" x14ac:dyDescent="0.3">
      <c r="AN79" s="785"/>
    </row>
    <row r="80" spans="2:40" x14ac:dyDescent="0.3">
      <c r="AN80" s="786"/>
    </row>
    <row r="81" spans="40:40" x14ac:dyDescent="0.3">
      <c r="AN81" s="784">
        <v>100</v>
      </c>
    </row>
    <row r="82" spans="40:40" x14ac:dyDescent="0.3">
      <c r="AN82" s="785"/>
    </row>
    <row r="83" spans="40:40" x14ac:dyDescent="0.3">
      <c r="AN83" s="786"/>
    </row>
    <row r="84" spans="40:40" x14ac:dyDescent="0.3">
      <c r="AN84" s="787">
        <v>110</v>
      </c>
    </row>
    <row r="85" spans="40:40" x14ac:dyDescent="0.3">
      <c r="AN85" s="788"/>
    </row>
    <row r="86" spans="40:40" x14ac:dyDescent="0.3">
      <c r="AN86" s="789"/>
    </row>
    <row r="87" spans="40:40" x14ac:dyDescent="0.3">
      <c r="AN87" s="784">
        <v>100</v>
      </c>
    </row>
    <row r="88" spans="40:40" x14ac:dyDescent="0.3">
      <c r="AN88" s="785"/>
    </row>
    <row r="89" spans="40:40" x14ac:dyDescent="0.3">
      <c r="AN89" s="786"/>
    </row>
    <row r="90" spans="40:40" x14ac:dyDescent="0.3">
      <c r="AN90" s="781">
        <v>395</v>
      </c>
    </row>
    <row r="91" spans="40:40" x14ac:dyDescent="0.3">
      <c r="AN91" s="782"/>
    </row>
    <row r="92" spans="40:40" x14ac:dyDescent="0.3">
      <c r="AN92" s="783"/>
    </row>
    <row r="93" spans="40:40" x14ac:dyDescent="0.3">
      <c r="AN93" s="784">
        <v>100</v>
      </c>
    </row>
    <row r="94" spans="40:40" x14ac:dyDescent="0.3">
      <c r="AN94" s="785"/>
    </row>
    <row r="95" spans="40:40" x14ac:dyDescent="0.3">
      <c r="AN95" s="786"/>
    </row>
    <row r="96" spans="40:40" x14ac:dyDescent="0.3">
      <c r="AN96" s="784">
        <v>100</v>
      </c>
    </row>
    <row r="97" spans="40:40" x14ac:dyDescent="0.3">
      <c r="AN97" s="785"/>
    </row>
    <row r="98" spans="40:40" x14ac:dyDescent="0.3">
      <c r="AN98" s="786"/>
    </row>
    <row r="99" spans="40:40" x14ac:dyDescent="0.3">
      <c r="AN99" s="784">
        <v>100</v>
      </c>
    </row>
    <row r="100" spans="40:40" x14ac:dyDescent="0.3">
      <c r="AN100" s="785"/>
    </row>
    <row r="101" spans="40:40" x14ac:dyDescent="0.3">
      <c r="AN101" s="786"/>
    </row>
    <row r="102" spans="40:40" x14ac:dyDescent="0.3">
      <c r="AN102" s="781">
        <v>120</v>
      </c>
    </row>
    <row r="103" spans="40:40" x14ac:dyDescent="0.3">
      <c r="AN103" s="782"/>
    </row>
    <row r="104" spans="40:40" x14ac:dyDescent="0.3">
      <c r="AN104" s="783"/>
    </row>
    <row r="105" spans="40:40" x14ac:dyDescent="0.3">
      <c r="AN105" s="781">
        <v>110</v>
      </c>
    </row>
    <row r="106" spans="40:40" x14ac:dyDescent="0.3">
      <c r="AN106" s="782"/>
    </row>
    <row r="107" spans="40:40" x14ac:dyDescent="0.3">
      <c r="AN107" s="783"/>
    </row>
    <row r="108" spans="40:40" x14ac:dyDescent="0.3">
      <c r="AN108" s="784">
        <v>100</v>
      </c>
    </row>
    <row r="109" spans="40:40" x14ac:dyDescent="0.3">
      <c r="AN109" s="785"/>
    </row>
    <row r="110" spans="40:40" x14ac:dyDescent="0.3">
      <c r="AN110" s="786"/>
    </row>
    <row r="111" spans="40:40" x14ac:dyDescent="0.3">
      <c r="AN111" s="790">
        <v>100</v>
      </c>
    </row>
    <row r="112" spans="40:40" x14ac:dyDescent="0.3">
      <c r="AN112" s="790"/>
    </row>
    <row r="113" spans="40:40" x14ac:dyDescent="0.3">
      <c r="AN113" s="790"/>
    </row>
  </sheetData>
  <mergeCells count="41">
    <mergeCell ref="AN39:AN41"/>
    <mergeCell ref="B4:C4"/>
    <mergeCell ref="B5:B12"/>
    <mergeCell ref="B13:B16"/>
    <mergeCell ref="B17:B29"/>
    <mergeCell ref="B30:B31"/>
    <mergeCell ref="B32:C32"/>
    <mergeCell ref="AN33:AN35"/>
    <mergeCell ref="AE34:AG34"/>
    <mergeCell ref="AE35:AG35"/>
    <mergeCell ref="AE36:AG36"/>
    <mergeCell ref="AN36:AN38"/>
    <mergeCell ref="AN42:AN44"/>
    <mergeCell ref="B44:B51"/>
    <mergeCell ref="AN45:AN47"/>
    <mergeCell ref="AN48:AN50"/>
    <mergeCell ref="AN51:AN53"/>
    <mergeCell ref="B52:B55"/>
    <mergeCell ref="AN54:AN56"/>
    <mergeCell ref="B56:B67"/>
    <mergeCell ref="AN57:AN59"/>
    <mergeCell ref="AN60:AN62"/>
    <mergeCell ref="AN90:AN92"/>
    <mergeCell ref="AN63:AN65"/>
    <mergeCell ref="AN66:AN68"/>
    <mergeCell ref="B68:E68"/>
    <mergeCell ref="B69:E69"/>
    <mergeCell ref="AN69:AN71"/>
    <mergeCell ref="AN72:AN74"/>
    <mergeCell ref="AN75:AN77"/>
    <mergeCell ref="AN78:AN80"/>
    <mergeCell ref="AN81:AN83"/>
    <mergeCell ref="AN84:AN86"/>
    <mergeCell ref="AN87:AN89"/>
    <mergeCell ref="AN111:AN113"/>
    <mergeCell ref="AN93:AN95"/>
    <mergeCell ref="AN96:AN98"/>
    <mergeCell ref="AN99:AN101"/>
    <mergeCell ref="AN102:AN104"/>
    <mergeCell ref="AN105:AN107"/>
    <mergeCell ref="AN108:AN110"/>
  </mergeCells>
  <conditionalFormatting sqref="AL5:BO31">
    <cfRule type="cellIs" dxfId="45" priority="2" operator="equal">
      <formula>"VAZIO"</formula>
    </cfRule>
  </conditionalFormatting>
  <conditionalFormatting sqref="AL5:BP31">
    <cfRule type="expression" dxfId="44" priority="6">
      <formula>AL5&gt;$BQ5</formula>
    </cfRule>
    <cfRule type="expression" dxfId="43" priority="7">
      <formula>AL5&lt;($BQ5-0.01)</formula>
    </cfRule>
  </conditionalFormatting>
  <conditionalFormatting sqref="AM8:BO8 BJ9 AM16:BO16 BG17 AM24:BO25">
    <cfRule type="cellIs" dxfId="42" priority="3" operator="equal">
      <formula>"""VAZIO"""</formula>
    </cfRule>
  </conditionalFormatting>
  <conditionalFormatting sqref="AP5:BO31">
    <cfRule type="expression" dxfId="41" priority="1">
      <formula>AP5=0</formula>
    </cfRule>
  </conditionalFormatting>
  <conditionalFormatting sqref="BT5:BT31">
    <cfRule type="cellIs" dxfId="40" priority="4" operator="greaterThan">
      <formula>0</formula>
    </cfRule>
    <cfRule type="cellIs" dxfId="39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29ED-8F1C-416D-AF53-05FD5A13404B}">
  <sheetPr>
    <tabColor theme="7" tint="-0.499984740745262"/>
  </sheetPr>
  <dimension ref="B1:BW113"/>
  <sheetViews>
    <sheetView zoomScaleNormal="100" workbookViewId="0">
      <pane xSplit="3" ySplit="4" topLeftCell="Z5" activePane="bottomRight" state="frozen"/>
      <selection pane="topRight" activeCell="D1" sqref="D1"/>
      <selection pane="bottomLeft" activeCell="A5" sqref="A5"/>
      <selection pane="bottomRight" activeCell="AH6" sqref="AH6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3" width="16.44140625" customWidth="1"/>
    <col min="34" max="34" width="19.6640625" customWidth="1"/>
    <col min="35" max="35" width="15.6640625" customWidth="1"/>
    <col min="36" max="36" width="15.88671875" hidden="1" customWidth="1"/>
    <col min="37" max="66" width="11.88671875" customWidth="1"/>
    <col min="67" max="67" width="17.6640625" customWidth="1"/>
    <col min="68" max="68" width="14.33203125" customWidth="1"/>
    <col min="69" max="69" width="20.5546875" customWidth="1"/>
    <col min="70" max="70" width="17.5546875" customWidth="1"/>
    <col min="71" max="71" width="19" customWidth="1"/>
    <col min="72" max="72" width="18.88671875" customWidth="1"/>
    <col min="73" max="73" width="15.109375" customWidth="1"/>
  </cols>
  <sheetData>
    <row r="1" spans="2:75" x14ac:dyDescent="0.3">
      <c r="AH1">
        <f>16267+12136+16339</f>
        <v>44742</v>
      </c>
    </row>
    <row r="2" spans="2:75" x14ac:dyDescent="0.3">
      <c r="AH2" s="102">
        <f>12444-AH14</f>
        <v>6861.5000000000009</v>
      </c>
    </row>
    <row r="3" spans="2:75" ht="15" thickBot="1" x14ac:dyDescent="0.35">
      <c r="D3" s="102"/>
      <c r="E3" s="102"/>
      <c r="F3" s="102"/>
      <c r="G3" s="102"/>
      <c r="H3" s="102"/>
      <c r="I3" s="102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</row>
    <row r="4" spans="2:75" ht="44.25" customHeight="1" thickBot="1" x14ac:dyDescent="0.35">
      <c r="B4" s="768" t="s">
        <v>133</v>
      </c>
      <c r="C4" s="769"/>
      <c r="D4" s="343" t="s">
        <v>1008</v>
      </c>
      <c r="E4" s="344" t="s">
        <v>1009</v>
      </c>
      <c r="F4" s="344" t="s">
        <v>1037</v>
      </c>
      <c r="G4" s="344" t="s">
        <v>1010</v>
      </c>
      <c r="H4" s="344" t="s">
        <v>1011</v>
      </c>
      <c r="I4" s="344" t="s">
        <v>1012</v>
      </c>
      <c r="J4" s="344" t="s">
        <v>1013</v>
      </c>
      <c r="K4" s="344" t="s">
        <v>1014</v>
      </c>
      <c r="L4" s="344" t="s">
        <v>1015</v>
      </c>
      <c r="M4" s="344" t="s">
        <v>1016</v>
      </c>
      <c r="N4" s="344" t="s">
        <v>1017</v>
      </c>
      <c r="O4" s="344" t="s">
        <v>1018</v>
      </c>
      <c r="P4" s="344" t="s">
        <v>1019</v>
      </c>
      <c r="Q4" s="344" t="s">
        <v>1020</v>
      </c>
      <c r="R4" s="344" t="s">
        <v>1021</v>
      </c>
      <c r="S4" s="344" t="s">
        <v>1022</v>
      </c>
      <c r="T4" s="344" t="s">
        <v>1023</v>
      </c>
      <c r="U4" s="344" t="s">
        <v>1024</v>
      </c>
      <c r="V4" s="344" t="s">
        <v>1025</v>
      </c>
      <c r="W4" s="344" t="s">
        <v>1026</v>
      </c>
      <c r="X4" s="344" t="s">
        <v>1027</v>
      </c>
      <c r="Y4" s="344" t="s">
        <v>1028</v>
      </c>
      <c r="Z4" s="344" t="s">
        <v>1029</v>
      </c>
      <c r="AA4" s="344" t="s">
        <v>1030</v>
      </c>
      <c r="AB4" s="344" t="s">
        <v>1031</v>
      </c>
      <c r="AC4" s="344" t="s">
        <v>1032</v>
      </c>
      <c r="AD4" s="344" t="s">
        <v>1033</v>
      </c>
      <c r="AE4" s="344" t="s">
        <v>1034</v>
      </c>
      <c r="AF4" s="344" t="s">
        <v>1035</v>
      </c>
      <c r="AG4" s="345" t="s">
        <v>1036</v>
      </c>
      <c r="AH4" s="346" t="s">
        <v>69</v>
      </c>
      <c r="AI4" s="346" t="s">
        <v>2</v>
      </c>
      <c r="AJ4" s="347" t="s">
        <v>70</v>
      </c>
      <c r="AK4" s="348" t="s">
        <v>228</v>
      </c>
      <c r="AL4" s="349" t="s">
        <v>229</v>
      </c>
      <c r="AM4" s="349" t="s">
        <v>230</v>
      </c>
      <c r="AN4" s="349" t="s">
        <v>231</v>
      </c>
      <c r="AO4" s="349" t="s">
        <v>232</v>
      </c>
      <c r="AP4" s="349" t="s">
        <v>233</v>
      </c>
      <c r="AQ4" s="349" t="s">
        <v>234</v>
      </c>
      <c r="AR4" s="349" t="s">
        <v>235</v>
      </c>
      <c r="AS4" s="349" t="s">
        <v>236</v>
      </c>
      <c r="AT4" s="349" t="s">
        <v>236</v>
      </c>
      <c r="AU4" s="349" t="s">
        <v>237</v>
      </c>
      <c r="AV4" s="349" t="s">
        <v>238</v>
      </c>
      <c r="AW4" s="349" t="s">
        <v>239</v>
      </c>
      <c r="AX4" s="349" t="s">
        <v>240</v>
      </c>
      <c r="AY4" s="349" t="s">
        <v>241</v>
      </c>
      <c r="AZ4" s="349" t="s">
        <v>242</v>
      </c>
      <c r="BA4" s="349" t="s">
        <v>243</v>
      </c>
      <c r="BB4" s="349" t="s">
        <v>244</v>
      </c>
      <c r="BC4" s="349" t="s">
        <v>245</v>
      </c>
      <c r="BD4" s="349" t="s">
        <v>246</v>
      </c>
      <c r="BE4" s="349" t="s">
        <v>247</v>
      </c>
      <c r="BF4" s="349" t="s">
        <v>248</v>
      </c>
      <c r="BG4" s="349" t="s">
        <v>249</v>
      </c>
      <c r="BH4" s="349" t="s">
        <v>250</v>
      </c>
      <c r="BI4" s="349" t="s">
        <v>251</v>
      </c>
      <c r="BJ4" s="349" t="s">
        <v>252</v>
      </c>
      <c r="BK4" s="349" t="s">
        <v>253</v>
      </c>
      <c r="BL4" s="349" t="s">
        <v>254</v>
      </c>
      <c r="BM4" s="349" t="s">
        <v>255</v>
      </c>
      <c r="BN4" s="349" t="s">
        <v>256</v>
      </c>
      <c r="BO4" s="350" t="s">
        <v>102</v>
      </c>
      <c r="BP4" s="343" t="s">
        <v>103</v>
      </c>
      <c r="BQ4" s="351" t="s">
        <v>104</v>
      </c>
      <c r="BR4" s="352" t="s">
        <v>105</v>
      </c>
      <c r="BS4" s="353" t="s">
        <v>106</v>
      </c>
      <c r="BU4" s="3"/>
      <c r="BV4" s="2"/>
      <c r="BW4" s="2"/>
    </row>
    <row r="5" spans="2:75" x14ac:dyDescent="0.3">
      <c r="B5" s="770" t="s">
        <v>6</v>
      </c>
      <c r="C5" s="328" t="s">
        <v>7</v>
      </c>
      <c r="D5" s="330">
        <v>43.3</v>
      </c>
      <c r="E5" s="103">
        <v>51.4</v>
      </c>
      <c r="F5" s="103">
        <v>45</v>
      </c>
      <c r="G5" s="103">
        <v>31.3</v>
      </c>
      <c r="H5" s="103">
        <v>26.3</v>
      </c>
      <c r="I5" s="331">
        <v>35.200000000000003</v>
      </c>
      <c r="J5" s="103">
        <v>57.2</v>
      </c>
      <c r="K5" s="103">
        <v>58.1</v>
      </c>
      <c r="L5" s="103">
        <v>47.9</v>
      </c>
      <c r="M5" s="103">
        <v>30.6</v>
      </c>
      <c r="N5" s="283">
        <v>57.5</v>
      </c>
      <c r="O5" s="103">
        <v>45.4</v>
      </c>
      <c r="P5" s="103">
        <v>40.299999999999997</v>
      </c>
      <c r="Q5" s="331">
        <v>40.200000000000003</v>
      </c>
      <c r="R5" s="103">
        <v>43</v>
      </c>
      <c r="S5" s="103">
        <v>14.1</v>
      </c>
      <c r="T5" s="103">
        <v>35.200000000000003</v>
      </c>
      <c r="U5" s="103">
        <v>30.6</v>
      </c>
      <c r="V5" s="103">
        <v>25.6</v>
      </c>
      <c r="W5" s="331">
        <v>45.1</v>
      </c>
      <c r="X5" s="103">
        <v>29.4</v>
      </c>
      <c r="Y5" s="103">
        <v>19.8</v>
      </c>
      <c r="Z5" s="104">
        <v>40.6</v>
      </c>
      <c r="AA5" s="332">
        <v>22.3</v>
      </c>
      <c r="AB5" s="333">
        <v>27.1</v>
      </c>
      <c r="AC5" s="629">
        <v>24.6</v>
      </c>
      <c r="AD5" s="104">
        <v>22.1</v>
      </c>
      <c r="AE5" s="104">
        <v>38.200000000000003</v>
      </c>
      <c r="AF5" s="104">
        <v>26</v>
      </c>
      <c r="AG5" s="104">
        <v>23</v>
      </c>
      <c r="AH5" s="335">
        <f t="shared" ref="AH5:AH31" si="0">SUM(D5:AG5)</f>
        <v>1076.4000000000001</v>
      </c>
      <c r="AI5" s="160">
        <v>12</v>
      </c>
      <c r="AJ5" s="336">
        <f t="shared" ref="AJ5:AJ11" si="1">F5/(AI5*432)</f>
        <v>8.6805555555555559E-3</v>
      </c>
      <c r="AK5" s="337">
        <f t="shared" ref="AK5:AT6" si="2">IF(OR(D5="",D5="Sem monitoramento"),"VAZIO",IFERROR(D5/($AI5*24),"-"))</f>
        <v>0.15034722222222222</v>
      </c>
      <c r="AL5" s="338">
        <f t="shared" si="2"/>
        <v>0.17847222222222223</v>
      </c>
      <c r="AM5" s="338">
        <f t="shared" si="2"/>
        <v>0.15625</v>
      </c>
      <c r="AN5" s="338">
        <f t="shared" si="2"/>
        <v>0.10868055555555556</v>
      </c>
      <c r="AO5" s="338">
        <f t="shared" si="2"/>
        <v>9.1319444444444453E-2</v>
      </c>
      <c r="AP5" s="338">
        <f t="shared" si="2"/>
        <v>0.12222222222222223</v>
      </c>
      <c r="AQ5" s="338">
        <f t="shared" si="2"/>
        <v>0.19861111111111113</v>
      </c>
      <c r="AR5" s="338">
        <f t="shared" si="2"/>
        <v>0.20173611111111112</v>
      </c>
      <c r="AS5" s="338">
        <f t="shared" si="2"/>
        <v>0.16631944444444444</v>
      </c>
      <c r="AT5" s="338">
        <f t="shared" si="2"/>
        <v>0.10625000000000001</v>
      </c>
      <c r="AU5" s="338">
        <f t="shared" ref="AU5:BD6" si="3">IF(OR(N5="",N5="Sem monitoramento"),"VAZIO",IFERROR(N5/($AI5*24),"-"))</f>
        <v>0.19965277777777779</v>
      </c>
      <c r="AV5" s="338">
        <f t="shared" si="3"/>
        <v>0.15763888888888888</v>
      </c>
      <c r="AW5" s="338">
        <f t="shared" si="3"/>
        <v>0.13993055555555556</v>
      </c>
      <c r="AX5" s="338">
        <f t="shared" si="3"/>
        <v>0.13958333333333334</v>
      </c>
      <c r="AY5" s="338">
        <f t="shared" si="3"/>
        <v>0.14930555555555555</v>
      </c>
      <c r="AZ5" s="338">
        <f t="shared" si="3"/>
        <v>4.8958333333333333E-2</v>
      </c>
      <c r="BA5" s="338">
        <f t="shared" si="3"/>
        <v>0.12222222222222223</v>
      </c>
      <c r="BB5" s="338">
        <f t="shared" si="3"/>
        <v>0.10625000000000001</v>
      </c>
      <c r="BC5" s="338">
        <f t="shared" si="3"/>
        <v>8.8888888888888892E-2</v>
      </c>
      <c r="BD5" s="338">
        <f t="shared" si="3"/>
        <v>0.15659722222222222</v>
      </c>
      <c r="BE5" s="338">
        <f t="shared" ref="BE5:BI6" si="4">IF(OR(X5="",X5="Sem monitoramento"),"VAZIO",IFERROR(X5/($AI5*24),"-"))</f>
        <v>0.10208333333333333</v>
      </c>
      <c r="BF5" s="338">
        <f t="shared" si="4"/>
        <v>6.8750000000000006E-2</v>
      </c>
      <c r="BG5" s="338">
        <f t="shared" si="4"/>
        <v>0.14097222222222222</v>
      </c>
      <c r="BH5" s="338">
        <f t="shared" si="4"/>
        <v>7.7430555555555558E-2</v>
      </c>
      <c r="BI5" s="338">
        <f t="shared" si="4"/>
        <v>9.4097222222222221E-2</v>
      </c>
      <c r="BJ5" s="338" t="e">
        <f>IF(OR(#REF!="",#REF!="Sem monitoramento"),"VAZIO",IFERROR(#REF!/($AI5*24),"-"))</f>
        <v>#REF!</v>
      </c>
      <c r="BK5" s="338">
        <f t="shared" ref="BK5:BN6" si="5">IF(OR(AD5="",AD5="Sem monitoramento"),"VAZIO",IFERROR(AD5/($AI5*24),"-"))</f>
        <v>7.6736111111111116E-2</v>
      </c>
      <c r="BL5" s="338">
        <f t="shared" si="5"/>
        <v>0.13263888888888889</v>
      </c>
      <c r="BM5" s="338">
        <f t="shared" si="5"/>
        <v>9.0277777777777776E-2</v>
      </c>
      <c r="BN5" s="338">
        <f t="shared" si="5"/>
        <v>7.9861111111111105E-2</v>
      </c>
      <c r="BO5" s="339">
        <f t="shared" ref="BO5:BO31" si="6">AH5/(AI5*(COUNTA(D5:AG5)*24))</f>
        <v>0.12458333333333334</v>
      </c>
      <c r="BP5" s="180">
        <f>'FCs estimados em PVsyst'!Y3</f>
        <v>0.1804398148148148</v>
      </c>
      <c r="BQ5" s="340">
        <f t="shared" ref="BQ5:BQ11" si="7">AI5*BP5</f>
        <v>2.1652777777777779</v>
      </c>
      <c r="BR5" s="341">
        <f t="shared" ref="BR5:BR11" si="8">AM5-BP5</f>
        <v>-2.4189814814814803E-2</v>
      </c>
      <c r="BS5" s="342">
        <f t="shared" ref="BS5:BS30" si="9">BO5-BP5</f>
        <v>-5.5856481481481465E-2</v>
      </c>
      <c r="BT5" s="15" t="s">
        <v>7</v>
      </c>
      <c r="BU5" s="75" t="s">
        <v>107</v>
      </c>
      <c r="BV5" s="7">
        <f>COUNTIF(BS5:BS29,"&gt;0")</f>
        <v>0</v>
      </c>
      <c r="BW5" s="2"/>
    </row>
    <row r="6" spans="2:75" x14ac:dyDescent="0.3">
      <c r="B6" s="771"/>
      <c r="C6" s="325" t="s">
        <v>8</v>
      </c>
      <c r="D6" s="62">
        <v>260.10000000000002</v>
      </c>
      <c r="E6" s="63">
        <v>285.2</v>
      </c>
      <c r="F6" s="63">
        <v>261.89999999999998</v>
      </c>
      <c r="G6" s="63">
        <v>182.2</v>
      </c>
      <c r="H6" s="63">
        <v>148.4</v>
      </c>
      <c r="I6" s="283">
        <v>202.7</v>
      </c>
      <c r="J6" s="63">
        <v>340.7</v>
      </c>
      <c r="K6" s="283">
        <v>351.3</v>
      </c>
      <c r="L6" s="283">
        <v>297.89999999999998</v>
      </c>
      <c r="M6" s="63">
        <v>214.6</v>
      </c>
      <c r="N6" s="283">
        <v>341.6</v>
      </c>
      <c r="O6" s="283">
        <v>275.89999999999998</v>
      </c>
      <c r="P6" s="283">
        <v>248.2</v>
      </c>
      <c r="Q6" s="283">
        <v>241.1</v>
      </c>
      <c r="R6" s="63">
        <v>224.6</v>
      </c>
      <c r="S6" s="63">
        <v>78.7</v>
      </c>
      <c r="T6" s="63">
        <v>202.8</v>
      </c>
      <c r="U6" s="63">
        <v>190.8</v>
      </c>
      <c r="V6" s="63">
        <v>138.1</v>
      </c>
      <c r="W6" s="283">
        <v>284.7</v>
      </c>
      <c r="X6" s="63">
        <v>156.6</v>
      </c>
      <c r="Y6" s="63">
        <v>127.2</v>
      </c>
      <c r="Z6" s="221">
        <v>254</v>
      </c>
      <c r="AA6" s="320">
        <v>129.1</v>
      </c>
      <c r="AB6" s="20">
        <v>165.6</v>
      </c>
      <c r="AC6" s="31">
        <v>135</v>
      </c>
      <c r="AD6" s="15">
        <v>133.1</v>
      </c>
      <c r="AE6" s="15">
        <v>262.7</v>
      </c>
      <c r="AF6" s="15">
        <v>137.19999999999999</v>
      </c>
      <c r="AG6" s="15">
        <v>145.6</v>
      </c>
      <c r="AH6" s="335">
        <f t="shared" si="0"/>
        <v>6417.6000000000013</v>
      </c>
      <c r="AI6" s="118">
        <v>67</v>
      </c>
      <c r="AJ6" s="121">
        <f t="shared" si="1"/>
        <v>9.0485074626865669E-3</v>
      </c>
      <c r="AK6" s="67">
        <f t="shared" si="2"/>
        <v>0.16175373134328361</v>
      </c>
      <c r="AL6" s="68">
        <f t="shared" si="2"/>
        <v>0.17736318407960197</v>
      </c>
      <c r="AM6" s="68">
        <f t="shared" si="2"/>
        <v>0.1628731343283582</v>
      </c>
      <c r="AN6" s="68">
        <f t="shared" si="2"/>
        <v>0.11330845771144278</v>
      </c>
      <c r="AO6" s="68">
        <f t="shared" si="2"/>
        <v>9.2288557213930353E-2</v>
      </c>
      <c r="AP6" s="68">
        <f t="shared" si="2"/>
        <v>0.12605721393034824</v>
      </c>
      <c r="AQ6" s="68">
        <f t="shared" si="2"/>
        <v>0.2118781094527363</v>
      </c>
      <c r="AR6" s="68">
        <f t="shared" si="2"/>
        <v>0.21847014925373134</v>
      </c>
      <c r="AS6" s="68">
        <f t="shared" si="2"/>
        <v>0.18526119402985072</v>
      </c>
      <c r="AT6" s="68">
        <f t="shared" si="2"/>
        <v>0.13345771144278606</v>
      </c>
      <c r="AU6" s="68">
        <f t="shared" si="3"/>
        <v>0.21243781094527364</v>
      </c>
      <c r="AV6" s="68">
        <f t="shared" si="3"/>
        <v>0.17157960199004973</v>
      </c>
      <c r="AW6" s="68">
        <f t="shared" si="3"/>
        <v>0.15435323383084576</v>
      </c>
      <c r="AX6" s="68">
        <f t="shared" si="3"/>
        <v>0.14993781094527364</v>
      </c>
      <c r="AY6" s="68">
        <f t="shared" si="3"/>
        <v>0.13967661691542288</v>
      </c>
      <c r="AZ6" s="68">
        <f t="shared" si="3"/>
        <v>4.8942786069651745E-2</v>
      </c>
      <c r="BA6" s="68">
        <f t="shared" si="3"/>
        <v>0.12611940298507462</v>
      </c>
      <c r="BB6" s="68">
        <f t="shared" si="3"/>
        <v>0.11865671641791045</v>
      </c>
      <c r="BC6" s="68">
        <f t="shared" si="3"/>
        <v>8.5883084577114424E-2</v>
      </c>
      <c r="BD6" s="68">
        <f t="shared" si="3"/>
        <v>0.17705223880597015</v>
      </c>
      <c r="BE6" s="68">
        <f t="shared" si="4"/>
        <v>9.738805970149253E-2</v>
      </c>
      <c r="BF6" s="68">
        <f t="shared" si="4"/>
        <v>7.9104477611940296E-2</v>
      </c>
      <c r="BG6" s="68">
        <f t="shared" si="4"/>
        <v>0.15796019900497513</v>
      </c>
      <c r="BH6" s="68">
        <f t="shared" si="4"/>
        <v>8.0286069651741288E-2</v>
      </c>
      <c r="BI6" s="68">
        <f t="shared" si="4"/>
        <v>0.10298507462686567</v>
      </c>
      <c r="BJ6" s="68">
        <f>IF(OR(AC5="",AC5="Sem monitoramento"),"VAZIO",IFERROR(AC5/($AI6*24),"-"))</f>
        <v>1.5298507462686567E-2</v>
      </c>
      <c r="BK6" s="68">
        <f t="shared" si="5"/>
        <v>8.2773631840796016E-2</v>
      </c>
      <c r="BL6" s="68">
        <f t="shared" si="5"/>
        <v>0.16337064676616914</v>
      </c>
      <c r="BM6" s="68">
        <f t="shared" si="5"/>
        <v>8.5323383084577112E-2</v>
      </c>
      <c r="BN6" s="68">
        <f t="shared" si="5"/>
        <v>9.0547263681592036E-2</v>
      </c>
      <c r="BO6" s="70">
        <f t="shared" si="6"/>
        <v>0.1330348258706468</v>
      </c>
      <c r="BP6" s="180">
        <f>'FCs estimados em PVsyst'!Y4</f>
        <v>0.1868988391376451</v>
      </c>
      <c r="BQ6" s="72">
        <f t="shared" si="7"/>
        <v>12.522222222222222</v>
      </c>
      <c r="BR6" s="73">
        <f t="shared" si="8"/>
        <v>-2.4025704809286896E-2</v>
      </c>
      <c r="BS6" s="74">
        <f t="shared" si="9"/>
        <v>-5.3864013266998301E-2</v>
      </c>
      <c r="BT6" s="15" t="s">
        <v>8</v>
      </c>
      <c r="BU6" s="77" t="s">
        <v>108</v>
      </c>
      <c r="BV6" s="78">
        <f>(COUNTA(BT5:BT29)-BV5-BV7)</f>
        <v>0</v>
      </c>
      <c r="BW6" s="2"/>
    </row>
    <row r="7" spans="2:75" x14ac:dyDescent="0.3">
      <c r="B7" s="771"/>
      <c r="C7" s="326" t="s">
        <v>9</v>
      </c>
      <c r="D7" s="223">
        <v>181.6</v>
      </c>
      <c r="E7" s="63">
        <v>225.2</v>
      </c>
      <c r="F7" s="63">
        <v>187.6</v>
      </c>
      <c r="G7" s="63">
        <v>141.5</v>
      </c>
      <c r="H7" s="63">
        <v>120</v>
      </c>
      <c r="I7" s="283">
        <v>155.5</v>
      </c>
      <c r="J7" s="63">
        <v>248.1</v>
      </c>
      <c r="K7" s="63">
        <v>258.7</v>
      </c>
      <c r="L7" s="283">
        <v>216.5</v>
      </c>
      <c r="M7" s="283">
        <v>144.5</v>
      </c>
      <c r="N7" s="283">
        <v>255.9</v>
      </c>
      <c r="O7" s="360">
        <v>210.4</v>
      </c>
      <c r="P7" s="283">
        <v>181.1</v>
      </c>
      <c r="Q7" s="283">
        <v>180.4</v>
      </c>
      <c r="R7" s="283">
        <v>205.7</v>
      </c>
      <c r="S7" s="283">
        <v>63</v>
      </c>
      <c r="T7" s="283">
        <v>161.5</v>
      </c>
      <c r="U7" s="63">
        <v>137.30000000000001</v>
      </c>
      <c r="V7" s="283">
        <v>118.5</v>
      </c>
      <c r="W7" s="283">
        <v>209.7</v>
      </c>
      <c r="X7" s="283">
        <v>137.69999999999999</v>
      </c>
      <c r="Y7" s="283">
        <v>94.5</v>
      </c>
      <c r="Z7" s="15">
        <v>136</v>
      </c>
      <c r="AA7" s="519">
        <v>105.5</v>
      </c>
      <c r="AB7" s="323">
        <v>126.9</v>
      </c>
      <c r="AC7" s="221">
        <v>117.2</v>
      </c>
      <c r="AD7" s="221">
        <v>108.1</v>
      </c>
      <c r="AE7" s="221">
        <v>190.3</v>
      </c>
      <c r="AF7" s="221">
        <v>123.4</v>
      </c>
      <c r="AG7" s="221">
        <v>111.9</v>
      </c>
      <c r="AH7" s="335">
        <f t="shared" si="0"/>
        <v>4854.1999999999989</v>
      </c>
      <c r="AI7" s="118">
        <v>49</v>
      </c>
      <c r="AJ7" s="121">
        <f t="shared" si="1"/>
        <v>8.8624338624338616E-3</v>
      </c>
      <c r="AK7" s="67">
        <f t="shared" ref="AK7:BG7" si="10">IF(OR(D7="",D7="Sem monitoramento"),"VAZIO",IFERROR(D7/($AI7*24),"-"))</f>
        <v>0.15442176870748298</v>
      </c>
      <c r="AL7" s="68">
        <f t="shared" si="10"/>
        <v>0.19149659863945578</v>
      </c>
      <c r="AM7" s="68">
        <f t="shared" si="10"/>
        <v>0.15952380952380951</v>
      </c>
      <c r="AN7" s="68">
        <f t="shared" si="10"/>
        <v>0.12032312925170068</v>
      </c>
      <c r="AO7" s="68">
        <f t="shared" si="10"/>
        <v>0.10204081632653061</v>
      </c>
      <c r="AP7" s="68">
        <f t="shared" si="10"/>
        <v>0.13222789115646258</v>
      </c>
      <c r="AQ7" s="68">
        <f t="shared" si="10"/>
        <v>0.21096938775510204</v>
      </c>
      <c r="AR7" s="68">
        <f t="shared" si="10"/>
        <v>0.2199829931972789</v>
      </c>
      <c r="AS7" s="68">
        <f t="shared" si="10"/>
        <v>0.18409863945578231</v>
      </c>
      <c r="AT7" s="68">
        <f t="shared" si="10"/>
        <v>0.12287414965986394</v>
      </c>
      <c r="AU7" s="68">
        <f t="shared" si="10"/>
        <v>0.21760204081632653</v>
      </c>
      <c r="AV7" s="68">
        <f t="shared" si="10"/>
        <v>0.17891156462585034</v>
      </c>
      <c r="AW7" s="68">
        <f t="shared" si="10"/>
        <v>0.15399659863945578</v>
      </c>
      <c r="AX7" s="68">
        <f t="shared" si="10"/>
        <v>0.15340136054421769</v>
      </c>
      <c r="AY7" s="68">
        <f t="shared" si="10"/>
        <v>0.17491496598639455</v>
      </c>
      <c r="AZ7" s="68">
        <f t="shared" si="10"/>
        <v>5.3571428571428568E-2</v>
      </c>
      <c r="BA7" s="68">
        <f t="shared" si="10"/>
        <v>0.13732993197278912</v>
      </c>
      <c r="BB7" s="68">
        <f t="shared" si="10"/>
        <v>0.11675170068027212</v>
      </c>
      <c r="BC7" s="68">
        <f t="shared" si="10"/>
        <v>0.10076530612244898</v>
      </c>
      <c r="BD7" s="68">
        <f t="shared" si="10"/>
        <v>0.17831632653061225</v>
      </c>
      <c r="BE7" s="68">
        <f t="shared" si="10"/>
        <v>0.11709183673469387</v>
      </c>
      <c r="BF7" s="68">
        <f t="shared" si="10"/>
        <v>8.0357142857142863E-2</v>
      </c>
      <c r="BG7" s="68">
        <f t="shared" si="10"/>
        <v>0.11564625850340136</v>
      </c>
      <c r="BH7" s="68">
        <f>IF(OR(AA11="",AA11="Sem monitoramento"),"VAZIO",IFERROR(AA11/($AI7*24),"-"))</f>
        <v>0.14056122448979594</v>
      </c>
      <c r="BI7" s="68">
        <f>IF(OR(AB7="",AB7="Sem monitoramento"),"VAZIO",IFERROR(AB7/($AI7*24),"-"))</f>
        <v>0.10790816326530613</v>
      </c>
      <c r="BJ7" s="68" t="e">
        <f>IF(OR(#REF!="",#REF!="Sem monitoramento"),"VAZIO",IFERROR(#REF!/($AI7*24),"-"))</f>
        <v>#REF!</v>
      </c>
      <c r="BK7" s="68">
        <f t="shared" ref="BK7:BK19" si="11">IF(OR(AD7="",AD7="Sem monitoramento"),"VAZIO",IFERROR(AD7/($AI7*24),"-"))</f>
        <v>9.192176870748299E-2</v>
      </c>
      <c r="BL7" s="68">
        <f t="shared" ref="BL7:BL19" si="12">IF(OR(AE7="",AE7="Sem monitoramento"),"VAZIO",IFERROR(AE7/($AI7*24),"-"))</f>
        <v>0.16181972789115648</v>
      </c>
      <c r="BM7" s="68">
        <f t="shared" ref="BM7:BM19" si="13">IF(OR(AF7="",AF7="Sem monitoramento"),"VAZIO",IFERROR(AF7/($AI7*24),"-"))</f>
        <v>0.10493197278911565</v>
      </c>
      <c r="BN7" s="68" t="e">
        <f>IF(OR(#REF!="",#REF!="Sem monitoramento"),"VAZIO",IFERROR(#REF!/($AI7*24),"-"))</f>
        <v>#REF!</v>
      </c>
      <c r="BO7" s="70">
        <f t="shared" si="6"/>
        <v>0.13759070294784578</v>
      </c>
      <c r="BP7" s="180">
        <f>'FCs estimados em PVsyst'!Y5</f>
        <v>0.17987528344671203</v>
      </c>
      <c r="BQ7" s="72">
        <f t="shared" si="7"/>
        <v>8.81388888888889</v>
      </c>
      <c r="BR7" s="73">
        <f t="shared" si="8"/>
        <v>-2.0351473922902513E-2</v>
      </c>
      <c r="BS7" s="74">
        <f t="shared" si="9"/>
        <v>-4.2284580498866242E-2</v>
      </c>
      <c r="BT7" s="15" t="s">
        <v>9</v>
      </c>
      <c r="BU7" s="79" t="s">
        <v>109</v>
      </c>
      <c r="BV7" s="80">
        <f>COUNTIF(BS5:BS29,"&lt;-0,01")</f>
        <v>25</v>
      </c>
      <c r="BW7" s="2"/>
    </row>
    <row r="8" spans="2:75" x14ac:dyDescent="0.3">
      <c r="B8" s="771"/>
      <c r="C8" s="326" t="s">
        <v>10</v>
      </c>
      <c r="D8" s="223">
        <v>100.4</v>
      </c>
      <c r="E8" s="63">
        <v>127.6</v>
      </c>
      <c r="F8" s="63">
        <v>105.5</v>
      </c>
      <c r="G8" s="63">
        <v>81.599999999999994</v>
      </c>
      <c r="H8" s="63">
        <v>68.3</v>
      </c>
      <c r="I8" s="63">
        <v>88.7</v>
      </c>
      <c r="J8" s="63">
        <v>137.9</v>
      </c>
      <c r="K8" s="63">
        <v>147.19999999999999</v>
      </c>
      <c r="L8" s="283">
        <v>116.4</v>
      </c>
      <c r="M8" s="283">
        <v>79.7</v>
      </c>
      <c r="N8" s="283">
        <v>143.80000000000001</v>
      </c>
      <c r="O8" s="63">
        <v>117</v>
      </c>
      <c r="P8" s="283">
        <v>98.1</v>
      </c>
      <c r="Q8" s="283">
        <v>100.2</v>
      </c>
      <c r="R8" s="63">
        <v>109.8</v>
      </c>
      <c r="S8" s="63">
        <v>36.6</v>
      </c>
      <c r="T8" s="63">
        <v>89.9</v>
      </c>
      <c r="U8" s="63">
        <v>76.900000000000006</v>
      </c>
      <c r="V8" s="63">
        <v>65.5</v>
      </c>
      <c r="W8" s="283">
        <v>119.3</v>
      </c>
      <c r="X8" s="283">
        <v>78.900000000000006</v>
      </c>
      <c r="Y8" s="283">
        <v>54</v>
      </c>
      <c r="Z8" s="15">
        <v>56.1</v>
      </c>
      <c r="AA8" s="519">
        <v>59.5</v>
      </c>
      <c r="AB8" s="323">
        <v>71.599999999999994</v>
      </c>
      <c r="AC8" s="221">
        <v>67</v>
      </c>
      <c r="AD8" s="221">
        <v>60.6</v>
      </c>
      <c r="AE8" s="221">
        <v>107.7</v>
      </c>
      <c r="AF8" s="221">
        <v>69.8</v>
      </c>
      <c r="AG8" s="221">
        <v>63</v>
      </c>
      <c r="AH8" s="335">
        <f t="shared" si="0"/>
        <v>2698.5999999999995</v>
      </c>
      <c r="AI8" s="118">
        <v>33</v>
      </c>
      <c r="AJ8" s="121">
        <f t="shared" si="1"/>
        <v>7.4003928170594839E-3</v>
      </c>
      <c r="AK8" s="67">
        <f>IF(OR(D8="",D8="Sem monitoramento"),"VAZIO",IFERROR(D8/($AI8*24),"-"))</f>
        <v>0.12676767676767678</v>
      </c>
      <c r="AL8" s="68">
        <f>IF(OR(E8="",E8="Sem monitoramento"),"VAZIO",IFERROR(E8/($AI8*24),"-"))</f>
        <v>0.16111111111111109</v>
      </c>
      <c r="AM8" s="68">
        <f>IF(OR(F8="",F8="Sem monitoramento"),"VAZIO",IFERROR(F8/($AI8*24),"-"))</f>
        <v>0.13320707070707072</v>
      </c>
      <c r="AN8" s="68">
        <f>IF(OR(G8="",G8="Sem monitoramento"),"VAZIO",IFERROR(G8/($AI8*24),"-"))</f>
        <v>0.10303030303030303</v>
      </c>
      <c r="AO8" s="68">
        <f>IF(OR(H8="",H8="Sem monitoramento"),"VAZIO",IFERROR(H8/($AI8*24),"-"))</f>
        <v>8.6237373737373738E-2</v>
      </c>
      <c r="AP8" s="68" t="e">
        <f>IF(OR(#REF!="",#REF!="Sem monitoramento"),"VAZIO",IFERROR(#REF!/($AI8*24),"-"))</f>
        <v>#REF!</v>
      </c>
      <c r="AQ8" s="68">
        <f t="shared" ref="AQ8:BH8" si="14">IF(OR(J8="",J8="Sem monitoramento"),"VAZIO",IFERROR(J8/($AI8*24),"-"))</f>
        <v>0.17411616161616161</v>
      </c>
      <c r="AR8" s="68">
        <f t="shared" si="14"/>
        <v>0.18585858585858583</v>
      </c>
      <c r="AS8" s="68">
        <f t="shared" si="14"/>
        <v>0.14696969696969697</v>
      </c>
      <c r="AT8" s="68">
        <f t="shared" si="14"/>
        <v>0.10063131313131314</v>
      </c>
      <c r="AU8" s="68">
        <f t="shared" si="14"/>
        <v>0.18156565656565657</v>
      </c>
      <c r="AV8" s="68">
        <f t="shared" si="14"/>
        <v>0.14772727272727273</v>
      </c>
      <c r="AW8" s="68">
        <f t="shared" si="14"/>
        <v>0.12386363636363636</v>
      </c>
      <c r="AX8" s="68">
        <f t="shared" si="14"/>
        <v>0.12651515151515152</v>
      </c>
      <c r="AY8" s="68">
        <f t="shared" si="14"/>
        <v>0.13863636363636364</v>
      </c>
      <c r="AZ8" s="68">
        <f t="shared" si="14"/>
        <v>4.6212121212121211E-2</v>
      </c>
      <c r="BA8" s="68">
        <f t="shared" si="14"/>
        <v>0.11351010101010102</v>
      </c>
      <c r="BB8" s="68">
        <f t="shared" si="14"/>
        <v>9.7095959595959597E-2</v>
      </c>
      <c r="BC8" s="68">
        <f t="shared" si="14"/>
        <v>8.2702020202020207E-2</v>
      </c>
      <c r="BD8" s="68">
        <f t="shared" si="14"/>
        <v>0.15063131313131312</v>
      </c>
      <c r="BE8" s="68">
        <f t="shared" si="14"/>
        <v>9.9621212121212124E-2</v>
      </c>
      <c r="BF8" s="68">
        <f t="shared" si="14"/>
        <v>6.8181818181818177E-2</v>
      </c>
      <c r="BG8" s="68">
        <f t="shared" si="14"/>
        <v>7.0833333333333331E-2</v>
      </c>
      <c r="BH8" s="68">
        <f t="shared" si="14"/>
        <v>7.5126262626262624E-2</v>
      </c>
      <c r="BI8" s="68">
        <f>IF(OR(AB8="",AB8="Sem monitoramento"),"VAZIO",IFERROR(AB8/($AI8*24),"-"))</f>
        <v>9.0404040404040403E-2</v>
      </c>
      <c r="BJ8" s="68" t="e">
        <f>IF(OR(#REF!="",#REF!="Sem monitoramento"),"VAZIO",IFERROR(#REF!/($AI8*24),"-"))</f>
        <v>#REF!</v>
      </c>
      <c r="BK8" s="68">
        <f t="shared" si="11"/>
        <v>7.6515151515151522E-2</v>
      </c>
      <c r="BL8" s="68">
        <f t="shared" si="12"/>
        <v>0.13598484848484849</v>
      </c>
      <c r="BM8" s="68">
        <f t="shared" si="13"/>
        <v>8.813131313131313E-2</v>
      </c>
      <c r="BN8" s="68" t="e">
        <f>IF(OR(#REF!="",#REF!="Sem monitoramento"),"VAZIO",IFERROR(#REF!/($AI8*24),"-"))</f>
        <v>#REF!</v>
      </c>
      <c r="BO8" s="70">
        <f t="shared" si="6"/>
        <v>0.11357744107744105</v>
      </c>
      <c r="BP8" s="180">
        <f>'FCs estimados em PVsyst'!Y6</f>
        <v>0.18501683501683502</v>
      </c>
      <c r="BQ8" s="72">
        <f t="shared" si="7"/>
        <v>6.1055555555555561</v>
      </c>
      <c r="BR8" s="73">
        <f t="shared" si="8"/>
        <v>-5.1809764309764306E-2</v>
      </c>
      <c r="BS8" s="74">
        <f t="shared" si="9"/>
        <v>-7.1439393939393969E-2</v>
      </c>
      <c r="BT8" s="15" t="s">
        <v>10</v>
      </c>
      <c r="BU8" s="3"/>
      <c r="BV8" s="2"/>
      <c r="BW8" s="2"/>
    </row>
    <row r="9" spans="2:75" x14ac:dyDescent="0.3">
      <c r="B9" s="771"/>
      <c r="C9" s="326" t="s">
        <v>11</v>
      </c>
      <c r="D9" s="572">
        <v>38.5</v>
      </c>
      <c r="E9" s="63">
        <v>50.2</v>
      </c>
      <c r="F9" s="63">
        <v>49.5</v>
      </c>
      <c r="G9" s="82">
        <v>41</v>
      </c>
      <c r="H9" s="82">
        <v>28</v>
      </c>
      <c r="I9" s="308">
        <v>35</v>
      </c>
      <c r="J9" s="316">
        <v>65.400000000000006</v>
      </c>
      <c r="K9" s="316">
        <v>66.2</v>
      </c>
      <c r="L9" s="63">
        <v>55.1</v>
      </c>
      <c r="M9" s="63">
        <v>33.9</v>
      </c>
      <c r="N9" s="63">
        <v>41</v>
      </c>
      <c r="O9" s="63">
        <v>35</v>
      </c>
      <c r="P9" s="316">
        <v>27</v>
      </c>
      <c r="Q9" s="283">
        <v>35</v>
      </c>
      <c r="R9" s="308">
        <v>49</v>
      </c>
      <c r="S9" s="63">
        <v>10</v>
      </c>
      <c r="T9" s="63">
        <v>12</v>
      </c>
      <c r="U9" s="316">
        <v>34.200000000000003</v>
      </c>
      <c r="V9" s="63">
        <v>25.6</v>
      </c>
      <c r="W9" s="283">
        <v>53.7</v>
      </c>
      <c r="X9" s="63">
        <v>30.4</v>
      </c>
      <c r="Y9" s="63">
        <v>24</v>
      </c>
      <c r="Z9" s="148">
        <v>43.2</v>
      </c>
      <c r="AA9" s="18">
        <v>20.5</v>
      </c>
      <c r="AB9" s="323">
        <v>30.3</v>
      </c>
      <c r="AC9" s="489">
        <v>27.6</v>
      </c>
      <c r="AD9" s="15">
        <v>26.7</v>
      </c>
      <c r="AE9" s="15">
        <v>47.8</v>
      </c>
      <c r="AF9" s="15">
        <v>26.9</v>
      </c>
      <c r="AG9" s="15">
        <v>28.1</v>
      </c>
      <c r="AH9" s="656">
        <f t="shared" si="0"/>
        <v>1090.8000000000002</v>
      </c>
      <c r="AI9" s="118">
        <v>12</v>
      </c>
      <c r="AJ9" s="121">
        <f t="shared" si="1"/>
        <v>9.5486111111111119E-3</v>
      </c>
      <c r="AK9" s="67">
        <f>IF(OR(D10="",D10="Sem monitoramento"),"VAZIO",IFERROR(D10/($AI9*24),"-"))</f>
        <v>0.16249999999999998</v>
      </c>
      <c r="AL9" s="68">
        <f>IF(OR(E9="",E9="Sem monitoramento"),"VAZIO",IFERROR(E9/($AI9*24),"-"))</f>
        <v>0.17430555555555557</v>
      </c>
      <c r="AM9" s="68">
        <f>IF(OR(F9="",F9="Sem monitoramento"),"VAZIO",IFERROR(F9/($AI9*24),"-"))</f>
        <v>0.171875</v>
      </c>
      <c r="AN9" s="68">
        <f>IF(OR(G9="",G9="Sem monitoramento"),"VAZIO",IFERROR(G9/($AI9*24),"-"))</f>
        <v>0.1423611111111111</v>
      </c>
      <c r="AO9" s="68">
        <f>IF(OR(H9="",H9="Sem monitoramento"),"VAZIO",IFERROR(H9/($AI9*24),"-"))</f>
        <v>9.7222222222222224E-2</v>
      </c>
      <c r="AP9" s="68">
        <f>IF(OR(I9="",I9="Sem monitoramento"),"VAZIO",IFERROR(I9/($AI9*24),"-"))</f>
        <v>0.12152777777777778</v>
      </c>
      <c r="AQ9" s="68">
        <f>IF(OR(J10="",J10="Sem monitoramento"),"VAZIO",IFERROR(J10/($AI9*24),"-"))</f>
        <v>0.25902777777777775</v>
      </c>
      <c r="AR9" s="68">
        <f>IF(OR(K10="",K10="Sem monitoramento"),"VAZIO",IFERROR(K10/($AI9*24),"-"))</f>
        <v>0.25833333333333336</v>
      </c>
      <c r="AS9" s="68">
        <f t="shared" ref="AS9:AV10" si="15">IF(OR(L9="",L9="Sem monitoramento"),"VAZIO",IFERROR(L9/($AI9*24),"-"))</f>
        <v>0.19131944444444446</v>
      </c>
      <c r="AT9" s="68">
        <f t="shared" si="15"/>
        <v>0.11770833333333333</v>
      </c>
      <c r="AU9" s="68">
        <f t="shared" si="15"/>
        <v>0.1423611111111111</v>
      </c>
      <c r="AV9" s="68">
        <f t="shared" si="15"/>
        <v>0.12152777777777778</v>
      </c>
      <c r="AW9" s="68">
        <f>IF(OR(P10="",P10="Sem monitoramento"),"VAZIO",IFERROR(P10/($AI9*24),"-"))</f>
        <v>0.16041666666666668</v>
      </c>
      <c r="AX9" s="68">
        <f t="shared" ref="AX9:BA15" si="16">IF(OR(Q9="",Q9="Sem monitoramento"),"VAZIO",IFERROR(Q9/($AI9*24),"-"))</f>
        <v>0.12152777777777778</v>
      </c>
      <c r="AY9" s="68">
        <f t="shared" si="16"/>
        <v>0.1701388888888889</v>
      </c>
      <c r="AZ9" s="68">
        <f t="shared" si="16"/>
        <v>3.4722222222222224E-2</v>
      </c>
      <c r="BA9" s="68">
        <f t="shared" si="16"/>
        <v>4.1666666666666664E-2</v>
      </c>
      <c r="BB9" s="68">
        <f>IF(OR(U7="",U7="Sem monitoramento"),"VAZIO",IFERROR(U7/($AI9*24),"-"))</f>
        <v>0.47673611111111114</v>
      </c>
      <c r="BC9" s="68">
        <f t="shared" ref="BC9:BF10" si="17">IF(OR(V9="",V9="Sem monitoramento"),"VAZIO",IFERROR(V9/($AI9*24),"-"))</f>
        <v>8.8888888888888892E-2</v>
      </c>
      <c r="BD9" s="68">
        <f t="shared" si="17"/>
        <v>0.18645833333333334</v>
      </c>
      <c r="BE9" s="68">
        <f t="shared" si="17"/>
        <v>0.10555555555555556</v>
      </c>
      <c r="BF9" s="68">
        <f t="shared" si="17"/>
        <v>8.3333333333333329E-2</v>
      </c>
      <c r="BG9" s="68">
        <f>IF(OR(Z10="",Z10="Sem monitoramento"),"VAZIO",IFERROR(Z10/($AI9*24),"-"))</f>
        <v>0.1423611111111111</v>
      </c>
      <c r="BH9" s="68">
        <f>IF(OR(AA9="",AA9="Sem monitoramento"),"VAZIO",IFERROR(AA9/($AI9*24),"-"))</f>
        <v>7.1180555555555552E-2</v>
      </c>
      <c r="BI9" s="68">
        <f>IF(OR(AB9="",AB9="Sem monitoramento"),"VAZIO",IFERROR(AB9/($AI9*24),"-"))</f>
        <v>0.10520833333333333</v>
      </c>
      <c r="BJ9" s="68">
        <f>IF(OR(AC7="",AC7="Sem monitoramento"),"VAZIO",IFERROR(AC7/($AI9*24),"-"))</f>
        <v>0.40694444444444444</v>
      </c>
      <c r="BK9" s="68">
        <f t="shared" si="11"/>
        <v>9.2708333333333337E-2</v>
      </c>
      <c r="BL9" s="68">
        <f t="shared" si="12"/>
        <v>0.16597222222222222</v>
      </c>
      <c r="BM9" s="68">
        <f t="shared" si="13"/>
        <v>9.3402777777777779E-2</v>
      </c>
      <c r="BN9" s="68">
        <f>IF(OR(AG7="",AG7="Sem monitoramento"),"VAZIO",IFERROR(AG7/($AI9*24),"-"))</f>
        <v>0.38854166666666667</v>
      </c>
      <c r="BO9" s="70">
        <f t="shared" si="6"/>
        <v>0.12625000000000003</v>
      </c>
      <c r="BP9" s="180">
        <f>'FCs estimados em PVsyst'!Y7</f>
        <v>0.18333333333333332</v>
      </c>
      <c r="BQ9" s="72">
        <f t="shared" si="7"/>
        <v>2.1999999999999997</v>
      </c>
      <c r="BR9" s="73">
        <f t="shared" si="8"/>
        <v>-1.145833333333332E-2</v>
      </c>
      <c r="BS9" s="74">
        <f t="shared" si="9"/>
        <v>-5.7083333333333292E-2</v>
      </c>
      <c r="BT9" s="15" t="s">
        <v>11</v>
      </c>
      <c r="BU9" s="3"/>
      <c r="BV9" s="2"/>
      <c r="BW9" s="2"/>
    </row>
    <row r="10" spans="2:75" x14ac:dyDescent="0.3">
      <c r="B10" s="771"/>
      <c r="C10" s="326" t="s">
        <v>12</v>
      </c>
      <c r="D10" s="223">
        <v>46.8</v>
      </c>
      <c r="E10" s="63">
        <v>59.8</v>
      </c>
      <c r="F10" s="63">
        <v>58.8</v>
      </c>
      <c r="G10" s="82">
        <v>36.299999999999997</v>
      </c>
      <c r="H10" s="308">
        <v>33.200000000000003</v>
      </c>
      <c r="I10" s="519">
        <v>41.4</v>
      </c>
      <c r="J10" s="63">
        <v>74.599999999999994</v>
      </c>
      <c r="K10" s="283">
        <v>74.400000000000006</v>
      </c>
      <c r="L10" s="63">
        <v>61.8</v>
      </c>
      <c r="M10" s="63">
        <v>47.2</v>
      </c>
      <c r="N10" s="63">
        <v>68.3</v>
      </c>
      <c r="O10" s="63">
        <v>48.9</v>
      </c>
      <c r="P10" s="63">
        <v>46.2</v>
      </c>
      <c r="Q10" s="283">
        <v>47.6</v>
      </c>
      <c r="R10" s="308">
        <v>53</v>
      </c>
      <c r="S10" s="63">
        <v>15.3</v>
      </c>
      <c r="T10" s="63">
        <v>36.5</v>
      </c>
      <c r="U10" s="63">
        <v>37.700000000000003</v>
      </c>
      <c r="V10" s="63">
        <v>26.8</v>
      </c>
      <c r="W10" s="283">
        <v>53.1</v>
      </c>
      <c r="X10" s="63">
        <v>31</v>
      </c>
      <c r="Y10" s="63">
        <v>25.6</v>
      </c>
      <c r="Z10" s="15">
        <v>41</v>
      </c>
      <c r="AA10" s="18">
        <v>21.3</v>
      </c>
      <c r="AB10" s="323">
        <v>30.7</v>
      </c>
      <c r="AC10" s="489">
        <v>26.4</v>
      </c>
      <c r="AD10" s="15">
        <v>25</v>
      </c>
      <c r="AE10" s="15">
        <v>44</v>
      </c>
      <c r="AF10" s="15">
        <v>24.6</v>
      </c>
      <c r="AG10" s="15">
        <v>27.9</v>
      </c>
      <c r="AH10" s="335">
        <f t="shared" si="0"/>
        <v>1265.2</v>
      </c>
      <c r="AI10" s="118">
        <v>25</v>
      </c>
      <c r="AJ10" s="121">
        <f t="shared" si="1"/>
        <v>5.4444444444444445E-3</v>
      </c>
      <c r="AK10" s="67" t="e">
        <f>IF(OR(#REF!="",#REF!="Sem monitoramento"),"VAZIO",IFERROR(#REF!/($AI10*24),"-"))</f>
        <v>#REF!</v>
      </c>
      <c r="AL10" s="68">
        <f t="shared" ref="AL10:AL25" si="18">IF(OR(E10="",E10="Sem monitoramento"),"VAZIO",IFERROR(E10/($AI10*24),"-"))</f>
        <v>9.9666666666666667E-2</v>
      </c>
      <c r="AM10" s="68">
        <f t="shared" ref="AM10:AM25" si="19">IF(OR(F10="",F10="Sem monitoramento"),"VAZIO",IFERROR(F10/($AI10*24),"-"))</f>
        <v>9.799999999999999E-2</v>
      </c>
      <c r="AN10" s="68">
        <f t="shared" ref="AN10:AN25" si="20">IF(OR(G10="",G10="Sem monitoramento"),"VAZIO",IFERROR(G10/($AI10*24),"-"))</f>
        <v>6.0499999999999998E-2</v>
      </c>
      <c r="AO10" s="68">
        <f t="shared" ref="AO10:AO25" si="21">IF(OR(H10="",H10="Sem monitoramento"),"VAZIO",IFERROR(H10/($AI10*24),"-"))</f>
        <v>5.5333333333333339E-2</v>
      </c>
      <c r="AP10" s="68">
        <f>IF(OR(I8="",I8="Sem monitoramento"),"VAZIO",IFERROR(I8/($AI10*24),"-"))</f>
        <v>0.14783333333333334</v>
      </c>
      <c r="AQ10" s="68" t="e">
        <f>IF(OR(#REF!="",#REF!="Sem monitoramento"),"VAZIO",IFERROR(#REF!/($AI10*24),"-"))</f>
        <v>#REF!</v>
      </c>
      <c r="AR10" s="68" t="e">
        <f>IF(OR(#REF!="",#REF!="Sem monitoramento"),"VAZIO",IFERROR(#REF!/($AI10*24),"-"))</f>
        <v>#REF!</v>
      </c>
      <c r="AS10" s="68">
        <f t="shared" si="15"/>
        <v>0.10299999999999999</v>
      </c>
      <c r="AT10" s="68">
        <f t="shared" si="15"/>
        <v>7.8666666666666676E-2</v>
      </c>
      <c r="AU10" s="68">
        <f t="shared" si="15"/>
        <v>0.11383333333333333</v>
      </c>
      <c r="AV10" s="68">
        <f t="shared" si="15"/>
        <v>8.1500000000000003E-2</v>
      </c>
      <c r="AW10" s="68" t="e">
        <f>IF(OR(#REF!="",#REF!="Sem monitoramento"),"VAZIO",IFERROR(#REF!/($AI10*24),"-"))</f>
        <v>#REF!</v>
      </c>
      <c r="AX10" s="68">
        <f t="shared" si="16"/>
        <v>7.9333333333333339E-2</v>
      </c>
      <c r="AY10" s="68">
        <f t="shared" si="16"/>
        <v>8.8333333333333333E-2</v>
      </c>
      <c r="AZ10" s="68">
        <f t="shared" si="16"/>
        <v>2.5500000000000002E-2</v>
      </c>
      <c r="BA10" s="68">
        <f t="shared" si="16"/>
        <v>6.0833333333333336E-2</v>
      </c>
      <c r="BB10" s="68">
        <f>IF(OR(U8="",U8="Sem monitoramento"),"VAZIO",IFERROR(U8/($AI10*24),"-"))</f>
        <v>0.12816666666666668</v>
      </c>
      <c r="BC10" s="68">
        <f t="shared" si="17"/>
        <v>4.4666666666666667E-2</v>
      </c>
      <c r="BD10" s="68">
        <f t="shared" si="17"/>
        <v>8.8500000000000009E-2</v>
      </c>
      <c r="BE10" s="68">
        <f t="shared" si="17"/>
        <v>5.1666666666666666E-2</v>
      </c>
      <c r="BF10" s="68">
        <f t="shared" si="17"/>
        <v>4.2666666666666672E-2</v>
      </c>
      <c r="BG10" s="68" t="e">
        <f>IF(OR(#REF!="",#REF!="Sem monitoramento"),"VAZIO",IFERROR(#REF!/($AI10*24),"-"))</f>
        <v>#REF!</v>
      </c>
      <c r="BH10" s="68">
        <f>IF(OR(AA10="",AA10="Sem monitoramento"),"VAZIO",IFERROR(AA10/($AI10*24),"-"))</f>
        <v>3.5500000000000004E-2</v>
      </c>
      <c r="BI10" s="68">
        <f>IF(OR(AB10="",AB10="Sem monitoramento"),"VAZIO",IFERROR(AB10/($AI10*24),"-"))</f>
        <v>5.1166666666666666E-2</v>
      </c>
      <c r="BJ10" s="68">
        <f>IF(OR(AC8="",AC8="Sem monitoramento"),"VAZIO",IFERROR(AC8/($AI10*24),"-"))</f>
        <v>0.11166666666666666</v>
      </c>
      <c r="BK10" s="68">
        <f t="shared" si="11"/>
        <v>4.1666666666666664E-2</v>
      </c>
      <c r="BL10" s="68">
        <f t="shared" si="12"/>
        <v>7.3333333333333334E-2</v>
      </c>
      <c r="BM10" s="68">
        <f t="shared" si="13"/>
        <v>4.1000000000000002E-2</v>
      </c>
      <c r="BN10" s="68">
        <f>IF(OR(AG8="",AG8="Sem monitoramento"),"VAZIO",IFERROR(AG8/($AI10*24),"-"))</f>
        <v>0.105</v>
      </c>
      <c r="BO10" s="70">
        <f t="shared" si="6"/>
        <v>7.0288888888888887E-2</v>
      </c>
      <c r="BP10" s="180">
        <f>'FCs estimados em PVsyst'!Y8</f>
        <v>0.185</v>
      </c>
      <c r="BQ10" s="72">
        <f t="shared" si="7"/>
        <v>4.625</v>
      </c>
      <c r="BR10" s="73">
        <f t="shared" si="8"/>
        <v>-8.7000000000000008E-2</v>
      </c>
      <c r="BS10" s="74">
        <f t="shared" si="9"/>
        <v>-0.11471111111111111</v>
      </c>
      <c r="BT10" s="15" t="s">
        <v>12</v>
      </c>
      <c r="BU10" s="3"/>
      <c r="BV10" s="2"/>
      <c r="BW10" s="2"/>
    </row>
    <row r="11" spans="2:75" x14ac:dyDescent="0.3">
      <c r="B11" s="771"/>
      <c r="C11" s="327" t="s">
        <v>13</v>
      </c>
      <c r="D11" s="62">
        <v>253.9</v>
      </c>
      <c r="E11" s="63">
        <v>310.7</v>
      </c>
      <c r="F11" s="63">
        <v>302.7</v>
      </c>
      <c r="G11" s="63">
        <v>214.6</v>
      </c>
      <c r="H11" s="63">
        <v>162.69999999999999</v>
      </c>
      <c r="I11" s="283">
        <v>219.9</v>
      </c>
      <c r="J11" s="283">
        <v>391</v>
      </c>
      <c r="K11" s="283">
        <v>405.5</v>
      </c>
      <c r="L11" s="63">
        <v>294.10000000000002</v>
      </c>
      <c r="M11" s="519">
        <v>295.3</v>
      </c>
      <c r="N11" s="63">
        <v>362.2</v>
      </c>
      <c r="O11" s="63">
        <v>364.9</v>
      </c>
      <c r="P11" s="63">
        <v>238</v>
      </c>
      <c r="Q11" s="283">
        <v>285.89999999999998</v>
      </c>
      <c r="R11" s="63">
        <v>326.89999999999998</v>
      </c>
      <c r="S11" s="63">
        <v>114.8</v>
      </c>
      <c r="T11" s="63">
        <v>247.1</v>
      </c>
      <c r="U11" s="63">
        <v>225.1</v>
      </c>
      <c r="V11" s="283">
        <v>172.1</v>
      </c>
      <c r="W11" s="519">
        <v>264.39999999999998</v>
      </c>
      <c r="X11" s="63">
        <v>138.9</v>
      </c>
      <c r="Y11" s="63">
        <v>205.7</v>
      </c>
      <c r="Z11" s="15">
        <v>298</v>
      </c>
      <c r="AA11" s="18">
        <v>165.3</v>
      </c>
      <c r="AB11" s="323">
        <v>185.4</v>
      </c>
      <c r="AC11" s="221">
        <v>166.1</v>
      </c>
      <c r="AD11" s="15">
        <v>174.6</v>
      </c>
      <c r="AE11" s="15">
        <v>267.2</v>
      </c>
      <c r="AF11" s="15">
        <v>176.1</v>
      </c>
      <c r="AG11" s="15">
        <v>228.9</v>
      </c>
      <c r="AH11" s="656">
        <f t="shared" si="0"/>
        <v>7458</v>
      </c>
      <c r="AI11" s="118">
        <v>78</v>
      </c>
      <c r="AJ11" s="121">
        <f t="shared" si="1"/>
        <v>8.9832621082621082E-3</v>
      </c>
      <c r="AK11" s="67">
        <f t="shared" ref="AK11:AK27" si="22">IF(OR(D11="",D11="Sem monitoramento"),"VAZIO",IFERROR(D11/($AI11*24),"-"))</f>
        <v>0.13563034188034187</v>
      </c>
      <c r="AL11" s="68">
        <f t="shared" si="18"/>
        <v>0.16597222222222222</v>
      </c>
      <c r="AM11" s="68">
        <f t="shared" si="19"/>
        <v>0.16169871794871793</v>
      </c>
      <c r="AN11" s="68">
        <f t="shared" si="20"/>
        <v>0.11463675213675213</v>
      </c>
      <c r="AO11" s="68">
        <f t="shared" si="21"/>
        <v>8.6912393162393159E-2</v>
      </c>
      <c r="AP11" s="68">
        <f t="shared" ref="AP11:AS16" si="23">IF(OR(I11="",I11="Sem monitoramento"),"VAZIO",IFERROR(I11/($AI11*24),"-"))</f>
        <v>0.11746794871794872</v>
      </c>
      <c r="AQ11" s="68">
        <f t="shared" si="23"/>
        <v>0.20886752136752137</v>
      </c>
      <c r="AR11" s="68">
        <f t="shared" si="23"/>
        <v>0.21661324786324787</v>
      </c>
      <c r="AS11" s="68">
        <f t="shared" si="23"/>
        <v>0.15710470085470088</v>
      </c>
      <c r="AT11" s="68">
        <f>IF(OR(M12="",M12="Sem monitoramento"),"VAZIO",IFERROR(M12/($AI11*24),"-"))</f>
        <v>0.14155982905982906</v>
      </c>
      <c r="AU11" s="68">
        <f t="shared" ref="AU11:AW16" si="24">IF(OR(N11="",N11="Sem monitoramento"),"VAZIO",IFERROR(N11/($AI11*24),"-"))</f>
        <v>0.19348290598290599</v>
      </c>
      <c r="AV11" s="68">
        <f t="shared" si="24"/>
        <v>0.19492521367521368</v>
      </c>
      <c r="AW11" s="68">
        <f t="shared" si="24"/>
        <v>0.12713675213675213</v>
      </c>
      <c r="AX11" s="68">
        <f t="shared" si="16"/>
        <v>0.15272435897435896</v>
      </c>
      <c r="AY11" s="68">
        <f t="shared" si="16"/>
        <v>0.17462606837606837</v>
      </c>
      <c r="AZ11" s="68">
        <f t="shared" si="16"/>
        <v>6.1324786324786322E-2</v>
      </c>
      <c r="BA11" s="68">
        <f t="shared" si="16"/>
        <v>0.13199786324786325</v>
      </c>
      <c r="BB11" s="68">
        <f t="shared" ref="BB11:BC18" si="25">IF(OR(U11="",U11="Sem monitoramento"),"VAZIO",IFERROR(U11/($AI11*24),"-"))</f>
        <v>0.1202457264957265</v>
      </c>
      <c r="BC11" s="68">
        <f t="shared" si="25"/>
        <v>9.1933760683760676E-2</v>
      </c>
      <c r="BD11" s="68">
        <f>IF(OR(W12="",W12="Sem monitoramento"),"VAZIO",IFERROR(W12/($AI11*24),"-"))</f>
        <v>0.19230769230769232</v>
      </c>
      <c r="BE11" s="68">
        <f>IF(OR(X11="",X11="Sem monitoramento"),"VAZIO",IFERROR(X11/($AI11*24),"-"))</f>
        <v>7.4198717948717949E-2</v>
      </c>
      <c r="BF11" s="68">
        <f>IF(OR(Y11="",Y11="Sem monitoramento"),"VAZIO",IFERROR(Y11/($AI11*24),"-"))</f>
        <v>0.10988247863247863</v>
      </c>
      <c r="BG11" s="68">
        <f>IF(OR(Z11="",Z11="Sem monitoramento"),"VAZIO",IFERROR(Z11/($AI11*24),"-"))</f>
        <v>0.15918803418803418</v>
      </c>
      <c r="BH11" s="68" t="e">
        <f>IF(OR(#REF!="",#REF!="Sem monitoramento"),"VAZIO",IFERROR(#REF!/($AI11*24),"-"))</f>
        <v>#REF!</v>
      </c>
      <c r="BI11" s="68">
        <f>IF(OR(AB9="",AB9="Sem monitoramento"),"VAZIO",IFERROR(AB9/($AI11*24),"-"))</f>
        <v>1.6185897435897437E-2</v>
      </c>
      <c r="BJ11" s="68">
        <f t="shared" ref="BJ11:BJ31" si="26">IF(OR(AC11="",AC11="Sem monitoramento"),"VAZIO",IFERROR(AC11/($AI11*24),"-"))</f>
        <v>8.8728632478632469E-2</v>
      </c>
      <c r="BK11" s="68">
        <f t="shared" si="11"/>
        <v>9.3269230769230771E-2</v>
      </c>
      <c r="BL11" s="68">
        <f t="shared" si="12"/>
        <v>0.14273504273504273</v>
      </c>
      <c r="BM11" s="68">
        <f t="shared" si="13"/>
        <v>9.4070512820512819E-2</v>
      </c>
      <c r="BN11" s="68">
        <f t="shared" ref="BN11:BN21" si="27">IF(OR(AG11="",AG11="Sem monitoramento"),"VAZIO",IFERROR(AG11/($AI11*24),"-"))</f>
        <v>0.12227564102564104</v>
      </c>
      <c r="BO11" s="70">
        <f t="shared" si="6"/>
        <v>0.1327991452991453</v>
      </c>
      <c r="BP11" s="198">
        <f>BP19</f>
        <v>0.168125</v>
      </c>
      <c r="BQ11" s="72">
        <f t="shared" si="7"/>
        <v>13.11375</v>
      </c>
      <c r="BR11" s="73">
        <f t="shared" si="8"/>
        <v>-6.4262820512820673E-3</v>
      </c>
      <c r="BS11" s="74">
        <f t="shared" si="9"/>
        <v>-3.5325854700854697E-2</v>
      </c>
      <c r="BT11" s="15" t="s">
        <v>13</v>
      </c>
      <c r="BU11" s="3"/>
      <c r="BV11" s="2"/>
      <c r="BW11" s="2"/>
    </row>
    <row r="12" spans="2:75" x14ac:dyDescent="0.3">
      <c r="B12" s="772"/>
      <c r="C12" s="326" t="s">
        <v>14</v>
      </c>
      <c r="D12" s="493">
        <v>290</v>
      </c>
      <c r="E12" s="308">
        <v>299</v>
      </c>
      <c r="F12" s="82">
        <v>292</v>
      </c>
      <c r="G12" s="82">
        <v>190</v>
      </c>
      <c r="H12" s="82">
        <v>185</v>
      </c>
      <c r="I12" s="308">
        <v>250</v>
      </c>
      <c r="J12" s="82">
        <v>410</v>
      </c>
      <c r="K12" s="308">
        <v>405</v>
      </c>
      <c r="L12" s="82">
        <v>310</v>
      </c>
      <c r="M12" s="283">
        <v>265</v>
      </c>
      <c r="N12" s="82">
        <v>380</v>
      </c>
      <c r="O12" s="82">
        <v>285</v>
      </c>
      <c r="P12" s="82">
        <v>265</v>
      </c>
      <c r="Q12" s="308">
        <v>264</v>
      </c>
      <c r="R12" s="308">
        <v>290</v>
      </c>
      <c r="S12" s="82">
        <v>85</v>
      </c>
      <c r="T12" s="82">
        <v>203</v>
      </c>
      <c r="U12" s="82">
        <v>215</v>
      </c>
      <c r="V12" s="82">
        <v>120</v>
      </c>
      <c r="W12" s="283">
        <v>360</v>
      </c>
      <c r="X12" s="82">
        <v>132</v>
      </c>
      <c r="Y12" s="63">
        <v>145</v>
      </c>
      <c r="Z12" s="16">
        <v>270</v>
      </c>
      <c r="AA12" s="17">
        <v>111</v>
      </c>
      <c r="AB12" s="324">
        <v>155</v>
      </c>
      <c r="AC12" s="489">
        <v>120</v>
      </c>
      <c r="AD12" s="16">
        <v>116</v>
      </c>
      <c r="AE12" s="16">
        <v>285</v>
      </c>
      <c r="AF12" s="16">
        <v>119</v>
      </c>
      <c r="AG12" s="16">
        <v>160</v>
      </c>
      <c r="AH12" s="335">
        <f t="shared" si="0"/>
        <v>6976</v>
      </c>
      <c r="AI12" s="123">
        <v>61</v>
      </c>
      <c r="AJ12" s="121" t="s">
        <v>31</v>
      </c>
      <c r="AK12" s="67">
        <f t="shared" si="22"/>
        <v>0.19808743169398907</v>
      </c>
      <c r="AL12" s="68">
        <f t="shared" si="18"/>
        <v>0.20423497267759563</v>
      </c>
      <c r="AM12" s="68">
        <f t="shared" si="19"/>
        <v>0.19945355191256831</v>
      </c>
      <c r="AN12" s="68">
        <f t="shared" si="20"/>
        <v>0.12978142076502733</v>
      </c>
      <c r="AO12" s="68">
        <f t="shared" si="21"/>
        <v>0.12636612021857924</v>
      </c>
      <c r="AP12" s="68">
        <f t="shared" si="23"/>
        <v>0.17076502732240437</v>
      </c>
      <c r="AQ12" s="68">
        <f t="shared" si="23"/>
        <v>0.28005464480874315</v>
      </c>
      <c r="AR12" s="68">
        <f t="shared" si="23"/>
        <v>0.27663934426229508</v>
      </c>
      <c r="AS12" s="68">
        <f t="shared" si="23"/>
        <v>0.21174863387978143</v>
      </c>
      <c r="AT12" s="68">
        <f>IF(OR(M13="",M13="Sem monitoramento"),"VAZIO",IFERROR(M13/($AI12*24),"-"))</f>
        <v>0.23012295081967213</v>
      </c>
      <c r="AU12" s="68">
        <f t="shared" si="24"/>
        <v>0.25956284153005466</v>
      </c>
      <c r="AV12" s="68">
        <f t="shared" si="24"/>
        <v>0.19467213114754098</v>
      </c>
      <c r="AW12" s="68">
        <f t="shared" si="24"/>
        <v>0.18101092896174864</v>
      </c>
      <c r="AX12" s="68">
        <f t="shared" si="16"/>
        <v>0.18032786885245902</v>
      </c>
      <c r="AY12" s="68">
        <f t="shared" si="16"/>
        <v>0.19808743169398907</v>
      </c>
      <c r="AZ12" s="68">
        <f t="shared" si="16"/>
        <v>5.8060109289617488E-2</v>
      </c>
      <c r="BA12" s="68">
        <f>IF(OR(T12="",T12="Sem monitoramento"),"VAZIO",IFERROR(T12/($AI12*24),"-"))</f>
        <v>0.13866120218579234</v>
      </c>
      <c r="BB12" s="68">
        <f t="shared" si="25"/>
        <v>0.14685792349726776</v>
      </c>
      <c r="BC12" s="68">
        <f t="shared" si="25"/>
        <v>8.1967213114754092E-2</v>
      </c>
      <c r="BD12" s="68" t="e">
        <f>IF(OR(#REF!="",#REF!="Sem monitoramento"),"VAZIO",IFERROR(#REF!/($AI12*24),"-"))</f>
        <v>#REF!</v>
      </c>
      <c r="BE12" s="68">
        <f t="shared" ref="BE12:BE18" si="28">IF(OR(X12="",X12="Sem monitoramento"),"VAZIO",IFERROR(X12/($AI12*24),"-"))</f>
        <v>9.0163934426229511E-2</v>
      </c>
      <c r="BF12" s="68" t="e">
        <f>IF(OR(#REF!="",#REF!="Sem monitoramento"),"VAZIO",IFERROR(#REF!/($AI12*24),"-"))</f>
        <v>#REF!</v>
      </c>
      <c r="BG12" s="68">
        <f t="shared" ref="BG12:BI14" si="29">IF(OR(Z12="",Z12="Sem monitoramento"),"VAZIO",IFERROR(Z12/($AI12*24),"-"))</f>
        <v>0.18442622950819673</v>
      </c>
      <c r="BH12" s="68">
        <f t="shared" si="29"/>
        <v>7.5819672131147542E-2</v>
      </c>
      <c r="BI12" s="68">
        <f t="shared" si="29"/>
        <v>0.10587431693989072</v>
      </c>
      <c r="BJ12" s="68">
        <f t="shared" si="26"/>
        <v>8.1967213114754092E-2</v>
      </c>
      <c r="BK12" s="68">
        <f t="shared" si="11"/>
        <v>7.9234972677595633E-2</v>
      </c>
      <c r="BL12" s="68">
        <f t="shared" si="12"/>
        <v>0.19467213114754098</v>
      </c>
      <c r="BM12" s="68">
        <f t="shared" si="13"/>
        <v>8.1284153005464474E-2</v>
      </c>
      <c r="BN12" s="68">
        <f t="shared" si="27"/>
        <v>0.10928961748633879</v>
      </c>
      <c r="BO12" s="70">
        <f t="shared" si="6"/>
        <v>0.15883424408014571</v>
      </c>
      <c r="BP12" s="180">
        <f>'FCs estimados em PVsyst'!Y10</f>
        <v>0.18465391621129326</v>
      </c>
      <c r="BQ12" s="72" t="s">
        <v>31</v>
      </c>
      <c r="BR12" s="73" t="s">
        <v>31</v>
      </c>
      <c r="BS12" s="74">
        <f t="shared" si="9"/>
        <v>-2.5819672131147553E-2</v>
      </c>
      <c r="BT12" s="15" t="s">
        <v>14</v>
      </c>
      <c r="BU12" s="3"/>
      <c r="BV12" s="2"/>
      <c r="BW12" s="2"/>
    </row>
    <row r="13" spans="2:75" x14ac:dyDescent="0.3">
      <c r="B13" s="773" t="s">
        <v>16</v>
      </c>
      <c r="C13" s="328" t="s">
        <v>17</v>
      </c>
      <c r="D13" s="223">
        <v>357.6</v>
      </c>
      <c r="E13" s="283">
        <v>371.7</v>
      </c>
      <c r="F13" s="283">
        <v>378.2</v>
      </c>
      <c r="G13" s="283">
        <v>251.9</v>
      </c>
      <c r="H13" s="283">
        <v>240.2</v>
      </c>
      <c r="I13" s="283">
        <v>311.60000000000002</v>
      </c>
      <c r="J13" s="63">
        <v>526.79999999999995</v>
      </c>
      <c r="K13" s="283">
        <v>511.2</v>
      </c>
      <c r="L13" s="63">
        <v>407.2</v>
      </c>
      <c r="M13" s="82">
        <v>336.9</v>
      </c>
      <c r="N13" s="283">
        <v>469.5</v>
      </c>
      <c r="O13" s="63">
        <v>352</v>
      </c>
      <c r="P13" s="63">
        <v>342.4</v>
      </c>
      <c r="Q13" s="283">
        <v>341.7</v>
      </c>
      <c r="R13" s="308">
        <v>385.8</v>
      </c>
      <c r="S13" s="63">
        <v>124.8</v>
      </c>
      <c r="T13" s="63">
        <v>302</v>
      </c>
      <c r="U13" s="63">
        <v>326.7</v>
      </c>
      <c r="V13" s="63">
        <v>199.7</v>
      </c>
      <c r="W13" s="283">
        <v>425</v>
      </c>
      <c r="X13" s="63">
        <v>215</v>
      </c>
      <c r="Y13" s="592">
        <v>272</v>
      </c>
      <c r="Z13" s="15">
        <v>352.4</v>
      </c>
      <c r="AA13" s="18">
        <v>180.4</v>
      </c>
      <c r="AB13" s="323">
        <v>269.3</v>
      </c>
      <c r="AC13" s="489">
        <v>206</v>
      </c>
      <c r="AD13" s="15">
        <v>204.6</v>
      </c>
      <c r="AE13" s="15">
        <v>388.4</v>
      </c>
      <c r="AF13" s="15">
        <v>201.4</v>
      </c>
      <c r="AG13" s="15">
        <v>277.3</v>
      </c>
      <c r="AH13" s="335">
        <f t="shared" si="0"/>
        <v>9529.6999999999971</v>
      </c>
      <c r="AI13" s="118">
        <v>100</v>
      </c>
      <c r="AJ13" s="121">
        <f t="shared" ref="AJ13:AJ30" si="30">F13/(AI13*432)</f>
        <v>8.7546296296296296E-3</v>
      </c>
      <c r="AK13" s="67">
        <f t="shared" si="22"/>
        <v>0.14900000000000002</v>
      </c>
      <c r="AL13" s="68">
        <f t="shared" si="18"/>
        <v>0.15487499999999998</v>
      </c>
      <c r="AM13" s="68">
        <f t="shared" si="19"/>
        <v>0.15758333333333333</v>
      </c>
      <c r="AN13" s="68">
        <f t="shared" si="20"/>
        <v>0.10495833333333333</v>
      </c>
      <c r="AO13" s="68">
        <f t="shared" si="21"/>
        <v>0.10008333333333333</v>
      </c>
      <c r="AP13" s="68">
        <f t="shared" si="23"/>
        <v>0.12983333333333336</v>
      </c>
      <c r="AQ13" s="68">
        <f t="shared" si="23"/>
        <v>0.21949999999999997</v>
      </c>
      <c r="AR13" s="68">
        <f t="shared" si="23"/>
        <v>0.21299999999999999</v>
      </c>
      <c r="AS13" s="68">
        <f t="shared" si="23"/>
        <v>0.16966666666666666</v>
      </c>
      <c r="AT13" s="68" t="e">
        <f>IF(OR(#REF!="",#REF!="Sem monitoramento"),"VAZIO",IFERROR(#REF!/($AI13*24),"-"))</f>
        <v>#REF!</v>
      </c>
      <c r="AU13" s="68">
        <f t="shared" si="24"/>
        <v>0.19562499999999999</v>
      </c>
      <c r="AV13" s="68">
        <f t="shared" si="24"/>
        <v>0.14666666666666667</v>
      </c>
      <c r="AW13" s="68">
        <f t="shared" si="24"/>
        <v>0.14266666666666666</v>
      </c>
      <c r="AX13" s="68">
        <f t="shared" si="16"/>
        <v>0.142375</v>
      </c>
      <c r="AY13" s="68">
        <f t="shared" si="16"/>
        <v>0.16075</v>
      </c>
      <c r="AZ13" s="68">
        <f t="shared" si="16"/>
        <v>5.1999999999999998E-2</v>
      </c>
      <c r="BA13" s="68">
        <f>IF(OR(T13="",T13="Sem monitoramento"),"VAZIO",IFERROR(T13/($AI13*24),"-"))</f>
        <v>0.12583333333333332</v>
      </c>
      <c r="BB13" s="68">
        <f t="shared" si="25"/>
        <v>0.136125</v>
      </c>
      <c r="BC13" s="68">
        <f t="shared" si="25"/>
        <v>8.3208333333333329E-2</v>
      </c>
      <c r="BD13" s="68">
        <f t="shared" ref="BD13:BD22" si="31">IF(OR(W13="",W13="Sem monitoramento"),"VAZIO",IFERROR(W13/($AI13*24),"-"))</f>
        <v>0.17708333333333334</v>
      </c>
      <c r="BE13" s="68">
        <f t="shared" si="28"/>
        <v>8.9583333333333334E-2</v>
      </c>
      <c r="BF13" s="68">
        <f>IF(OR(Y12="",Y12="Sem monitoramento"),"VAZIO",IFERROR(Y12/($AI13*24),"-"))</f>
        <v>6.0416666666666667E-2</v>
      </c>
      <c r="BG13" s="68">
        <f t="shared" si="29"/>
        <v>0.14683333333333332</v>
      </c>
      <c r="BH13" s="68">
        <f t="shared" si="29"/>
        <v>7.5166666666666673E-2</v>
      </c>
      <c r="BI13" s="68">
        <f t="shared" si="29"/>
        <v>0.11220833333333334</v>
      </c>
      <c r="BJ13" s="68">
        <f t="shared" si="26"/>
        <v>8.5833333333333331E-2</v>
      </c>
      <c r="BK13" s="68">
        <f t="shared" si="11"/>
        <v>8.5249999999999992E-2</v>
      </c>
      <c r="BL13" s="68">
        <f t="shared" si="12"/>
        <v>0.16183333333333333</v>
      </c>
      <c r="BM13" s="68">
        <f t="shared" si="13"/>
        <v>8.3916666666666667E-2</v>
      </c>
      <c r="BN13" s="68">
        <f t="shared" si="27"/>
        <v>0.11554166666666667</v>
      </c>
      <c r="BO13" s="70">
        <f t="shared" si="6"/>
        <v>0.1323569444444444</v>
      </c>
      <c r="BP13" s="198">
        <f>BP19</f>
        <v>0.168125</v>
      </c>
      <c r="BQ13" s="72">
        <f t="shared" ref="BQ13:BQ30" si="32">AI13*BP13</f>
        <v>16.8125</v>
      </c>
      <c r="BR13" s="73">
        <f t="shared" ref="BR13:BR30" si="33">AM13-BP13</f>
        <v>-1.0541666666666671E-2</v>
      </c>
      <c r="BS13" s="74">
        <f t="shared" si="9"/>
        <v>-3.5768055555555595E-2</v>
      </c>
      <c r="BT13" s="15" t="s">
        <v>17</v>
      </c>
      <c r="BU13" s="3"/>
      <c r="BV13" s="2"/>
      <c r="BW13" s="2"/>
    </row>
    <row r="14" spans="2:75" x14ac:dyDescent="0.3">
      <c r="B14" s="771"/>
      <c r="C14" s="326" t="s">
        <v>18</v>
      </c>
      <c r="D14" s="223">
        <v>327.7</v>
      </c>
      <c r="E14" s="282">
        <v>327.7</v>
      </c>
      <c r="F14" s="282">
        <v>0</v>
      </c>
      <c r="G14" s="282">
        <v>0</v>
      </c>
      <c r="H14" s="282">
        <v>0</v>
      </c>
      <c r="I14" s="282">
        <v>0</v>
      </c>
      <c r="J14" s="282">
        <v>0</v>
      </c>
      <c r="K14" s="282">
        <v>0</v>
      </c>
      <c r="L14" s="282">
        <v>71.7</v>
      </c>
      <c r="M14" s="283">
        <v>400.1</v>
      </c>
      <c r="N14" s="63">
        <v>481</v>
      </c>
      <c r="O14" s="63">
        <v>464.5</v>
      </c>
      <c r="P14" s="63">
        <v>247.5</v>
      </c>
      <c r="Q14" s="283">
        <v>0</v>
      </c>
      <c r="R14" s="63">
        <v>0</v>
      </c>
      <c r="S14" s="63">
        <v>0</v>
      </c>
      <c r="T14" s="63">
        <v>0</v>
      </c>
      <c r="U14" s="63">
        <v>0</v>
      </c>
      <c r="V14" s="283">
        <v>147.5</v>
      </c>
      <c r="W14" s="283">
        <v>376.1</v>
      </c>
      <c r="X14" s="63">
        <v>184</v>
      </c>
      <c r="Y14" s="63">
        <v>281.8</v>
      </c>
      <c r="Z14" s="15">
        <v>401.4</v>
      </c>
      <c r="AA14" s="18">
        <v>226.2</v>
      </c>
      <c r="AB14" s="323">
        <v>253.1</v>
      </c>
      <c r="AC14" s="221">
        <v>224.2</v>
      </c>
      <c r="AD14" s="15">
        <v>233.8</v>
      </c>
      <c r="AE14" s="15">
        <v>380.4</v>
      </c>
      <c r="AF14" s="15">
        <v>234.9</v>
      </c>
      <c r="AG14" s="15">
        <v>318.89999999999998</v>
      </c>
      <c r="AH14" s="656">
        <f t="shared" si="0"/>
        <v>5582.4999999999991</v>
      </c>
      <c r="AI14" s="118">
        <v>100</v>
      </c>
      <c r="AJ14" s="121">
        <f t="shared" si="30"/>
        <v>0</v>
      </c>
      <c r="AK14" s="67">
        <f t="shared" si="22"/>
        <v>0.13654166666666667</v>
      </c>
      <c r="AL14" s="68">
        <f t="shared" si="18"/>
        <v>0.13654166666666667</v>
      </c>
      <c r="AM14" s="68">
        <f t="shared" si="19"/>
        <v>0</v>
      </c>
      <c r="AN14" s="68">
        <f t="shared" si="20"/>
        <v>0</v>
      </c>
      <c r="AO14" s="68">
        <f t="shared" si="21"/>
        <v>0</v>
      </c>
      <c r="AP14" s="68">
        <f t="shared" si="23"/>
        <v>0</v>
      </c>
      <c r="AQ14" s="68">
        <f t="shared" si="23"/>
        <v>0</v>
      </c>
      <c r="AR14" s="68">
        <f t="shared" si="23"/>
        <v>0</v>
      </c>
      <c r="AS14" s="68">
        <f t="shared" si="23"/>
        <v>2.9875000000000002E-2</v>
      </c>
      <c r="AT14" s="68">
        <f>IF(OR(M14="",M14="Sem monitoramento"),"VAZIO",IFERROR(M14/($AI14*24),"-"))</f>
        <v>0.16670833333333335</v>
      </c>
      <c r="AU14" s="68">
        <f t="shared" si="24"/>
        <v>0.20041666666666666</v>
      </c>
      <c r="AV14" s="68">
        <f t="shared" si="24"/>
        <v>0.19354166666666667</v>
      </c>
      <c r="AW14" s="68">
        <f t="shared" si="24"/>
        <v>0.10312499999999999</v>
      </c>
      <c r="AX14" s="68">
        <f t="shared" si="16"/>
        <v>0</v>
      </c>
      <c r="AY14" s="68">
        <f t="shared" si="16"/>
        <v>0</v>
      </c>
      <c r="AZ14" s="68">
        <f t="shared" si="16"/>
        <v>0</v>
      </c>
      <c r="BA14" s="68">
        <f t="shared" si="16"/>
        <v>0</v>
      </c>
      <c r="BB14" s="68">
        <f t="shared" si="25"/>
        <v>0</v>
      </c>
      <c r="BC14" s="68">
        <f t="shared" si="25"/>
        <v>6.145833333333333E-2</v>
      </c>
      <c r="BD14" s="68">
        <f t="shared" si="31"/>
        <v>0.15670833333333334</v>
      </c>
      <c r="BE14" s="68">
        <f t="shared" si="28"/>
        <v>7.6666666666666661E-2</v>
      </c>
      <c r="BF14" s="68">
        <f>IF(OR(Y14="",Y14="Sem monitoramento"),"VAZIO",IFERROR(Y14/($AI14*24),"-"))</f>
        <v>0.11741666666666667</v>
      </c>
      <c r="BG14" s="68">
        <f t="shared" si="29"/>
        <v>0.16724999999999998</v>
      </c>
      <c r="BH14" s="68">
        <f t="shared" si="29"/>
        <v>9.425E-2</v>
      </c>
      <c r="BI14" s="68">
        <f t="shared" si="29"/>
        <v>0.10545833333333333</v>
      </c>
      <c r="BJ14" s="68">
        <f t="shared" si="26"/>
        <v>9.3416666666666662E-2</v>
      </c>
      <c r="BK14" s="68">
        <f t="shared" si="11"/>
        <v>9.7416666666666665E-2</v>
      </c>
      <c r="BL14" s="68">
        <f t="shared" si="12"/>
        <v>0.1585</v>
      </c>
      <c r="BM14" s="68">
        <f t="shared" si="13"/>
        <v>9.7875000000000004E-2</v>
      </c>
      <c r="BN14" s="68">
        <f t="shared" si="27"/>
        <v>0.13287499999999999</v>
      </c>
      <c r="BO14" s="70">
        <f t="shared" si="6"/>
        <v>7.7534722222222213E-2</v>
      </c>
      <c r="BP14" s="198">
        <f>$BP$19</f>
        <v>0.168125</v>
      </c>
      <c r="BQ14" s="72">
        <f t="shared" si="32"/>
        <v>16.8125</v>
      </c>
      <c r="BR14" s="73">
        <f t="shared" si="33"/>
        <v>-0.168125</v>
      </c>
      <c r="BS14" s="74">
        <f t="shared" si="9"/>
        <v>-9.0590277777777783E-2</v>
      </c>
      <c r="BT14" s="15" t="s">
        <v>18</v>
      </c>
      <c r="BU14" s="3"/>
      <c r="BV14" s="2"/>
      <c r="BW14" s="2"/>
    </row>
    <row r="15" spans="2:75" x14ac:dyDescent="0.3">
      <c r="B15" s="771"/>
      <c r="C15" s="326" t="s">
        <v>110</v>
      </c>
      <c r="D15" s="62">
        <v>95.4</v>
      </c>
      <c r="E15" s="63">
        <v>122.2</v>
      </c>
      <c r="F15" s="63">
        <v>117.4</v>
      </c>
      <c r="G15" s="63">
        <v>77.5</v>
      </c>
      <c r="H15" s="63">
        <v>57.9</v>
      </c>
      <c r="I15" s="283">
        <v>83</v>
      </c>
      <c r="J15" s="283">
        <v>147</v>
      </c>
      <c r="K15" s="283">
        <v>152.69999999999999</v>
      </c>
      <c r="L15" s="283">
        <v>120</v>
      </c>
      <c r="M15" s="283">
        <v>111.4</v>
      </c>
      <c r="N15" s="283">
        <v>140.1</v>
      </c>
      <c r="O15" s="283">
        <v>135.9</v>
      </c>
      <c r="P15" s="283">
        <v>109.7</v>
      </c>
      <c r="Q15" s="283">
        <v>116.6</v>
      </c>
      <c r="R15" s="283">
        <v>121.9</v>
      </c>
      <c r="S15" s="283">
        <v>39.799999999999997</v>
      </c>
      <c r="T15" s="283">
        <v>92.7</v>
      </c>
      <c r="U15" s="283">
        <v>87.4</v>
      </c>
      <c r="V15" s="283">
        <v>62.5</v>
      </c>
      <c r="W15" s="283">
        <v>100.6</v>
      </c>
      <c r="X15" s="63">
        <v>50.1</v>
      </c>
      <c r="Y15" s="63">
        <v>75.3</v>
      </c>
      <c r="Z15" s="31">
        <v>112.9</v>
      </c>
      <c r="AA15" s="18">
        <v>60.1</v>
      </c>
      <c r="AB15" s="323">
        <v>67.400000000000006</v>
      </c>
      <c r="AC15" s="221">
        <v>61.9</v>
      </c>
      <c r="AD15" s="221">
        <v>63.8</v>
      </c>
      <c r="AE15" s="15">
        <v>105.3</v>
      </c>
      <c r="AF15" s="15">
        <v>65.599999999999994</v>
      </c>
      <c r="AG15" s="15">
        <v>84.7</v>
      </c>
      <c r="AH15" s="656">
        <f t="shared" si="0"/>
        <v>2838.8000000000006</v>
      </c>
      <c r="AI15" s="118">
        <v>29</v>
      </c>
      <c r="AJ15" s="121">
        <f t="shared" si="30"/>
        <v>9.3710089399744578E-3</v>
      </c>
      <c r="AK15" s="67">
        <f t="shared" si="22"/>
        <v>0.13706896551724138</v>
      </c>
      <c r="AL15" s="68">
        <f t="shared" si="18"/>
        <v>0.17557471264367816</v>
      </c>
      <c r="AM15" s="68">
        <f t="shared" si="19"/>
        <v>0.16867816091954024</v>
      </c>
      <c r="AN15" s="68">
        <f t="shared" si="20"/>
        <v>0.11135057471264367</v>
      </c>
      <c r="AO15" s="68">
        <f t="shared" si="21"/>
        <v>8.3189655172413793E-2</v>
      </c>
      <c r="AP15" s="68">
        <f t="shared" si="23"/>
        <v>0.11925287356321838</v>
      </c>
      <c r="AQ15" s="68">
        <f t="shared" si="23"/>
        <v>0.21120689655172414</v>
      </c>
      <c r="AR15" s="68">
        <f t="shared" si="23"/>
        <v>0.21939655172413791</v>
      </c>
      <c r="AS15" s="68">
        <f t="shared" si="23"/>
        <v>0.17241379310344829</v>
      </c>
      <c r="AT15" s="68">
        <f>IF(OR(M15="",M15="Sem monitoramento"),"VAZIO",IFERROR(M15/($AI15*24),"-"))</f>
        <v>0.16005747126436781</v>
      </c>
      <c r="AU15" s="68">
        <f t="shared" si="24"/>
        <v>0.20129310344827586</v>
      </c>
      <c r="AV15" s="68">
        <f t="shared" si="24"/>
        <v>0.19525862068965519</v>
      </c>
      <c r="AW15" s="68">
        <f t="shared" si="24"/>
        <v>0.15761494252873565</v>
      </c>
      <c r="AX15" s="68">
        <f t="shared" si="16"/>
        <v>0.1675287356321839</v>
      </c>
      <c r="AY15" s="68">
        <f t="shared" si="16"/>
        <v>0.17514367816091955</v>
      </c>
      <c r="AZ15" s="68">
        <f t="shared" si="16"/>
        <v>5.7183908045977005E-2</v>
      </c>
      <c r="BA15" s="68">
        <f t="shared" si="16"/>
        <v>0.1331896551724138</v>
      </c>
      <c r="BB15" s="68">
        <f t="shared" si="25"/>
        <v>0.12557471264367817</v>
      </c>
      <c r="BC15" s="68">
        <f t="shared" si="25"/>
        <v>8.9798850574712638E-2</v>
      </c>
      <c r="BD15" s="68">
        <f t="shared" si="31"/>
        <v>0.14454022988505746</v>
      </c>
      <c r="BE15" s="68">
        <f t="shared" si="28"/>
        <v>7.198275862068966E-2</v>
      </c>
      <c r="BF15" s="68">
        <f>IF(OR(Y16="",Y16="Sem monitoramento"),"VAZIO",IFERROR(Y16/($AI15*24),"-"))</f>
        <v>0.32227011494252877</v>
      </c>
      <c r="BG15" s="68">
        <f>IF(OR(Z16="",Z16="Sem monitoramento"),"VAZIO",IFERROR(Z16/($AI15*24),"-"))</f>
        <v>0.5961206896551724</v>
      </c>
      <c r="BH15" s="68">
        <f>IF(OR(AA15="",AA15="Sem monitoramento"),"VAZIO",IFERROR(AA15/($AI15*24),"-"))</f>
        <v>8.635057471264368E-2</v>
      </c>
      <c r="BI15" s="68">
        <f>IF(OR(AB15="",AB15="Sem monitoramento"),"VAZIO",IFERROR(AB15/($AI15*24),"-"))</f>
        <v>9.6839080459770119E-2</v>
      </c>
      <c r="BJ15" s="68">
        <f t="shared" si="26"/>
        <v>8.8936781609195395E-2</v>
      </c>
      <c r="BK15" s="68">
        <f t="shared" si="11"/>
        <v>9.166666666666666E-2</v>
      </c>
      <c r="BL15" s="68">
        <f t="shared" si="12"/>
        <v>0.15129310344827585</v>
      </c>
      <c r="BM15" s="68">
        <f t="shared" si="13"/>
        <v>9.4252873563218389E-2</v>
      </c>
      <c r="BN15" s="68">
        <f t="shared" si="27"/>
        <v>0.12169540229885058</v>
      </c>
      <c r="BO15" s="70">
        <f t="shared" si="6"/>
        <v>0.13595785440613029</v>
      </c>
      <c r="BP15" s="180">
        <f>'FCs estimados em PVsyst'!Y13</f>
        <v>0.1850095785440613</v>
      </c>
      <c r="BQ15" s="72">
        <f t="shared" si="32"/>
        <v>5.365277777777778</v>
      </c>
      <c r="BR15" s="73">
        <f t="shared" si="33"/>
        <v>-1.6331417624521061E-2</v>
      </c>
      <c r="BS15" s="74">
        <f t="shared" si="9"/>
        <v>-4.9051724137931019E-2</v>
      </c>
      <c r="BT15" s="15" t="s">
        <v>110</v>
      </c>
      <c r="BU15" s="3"/>
      <c r="BV15" s="2"/>
      <c r="BW15" s="2"/>
    </row>
    <row r="16" spans="2:75" x14ac:dyDescent="0.3">
      <c r="B16" s="774"/>
      <c r="C16" s="326" t="s">
        <v>20</v>
      </c>
      <c r="D16" s="62">
        <v>87.8</v>
      </c>
      <c r="E16" s="282">
        <v>122.1</v>
      </c>
      <c r="F16" s="282">
        <v>78.2</v>
      </c>
      <c r="G16" s="282">
        <v>133.30000000000001</v>
      </c>
      <c r="H16" s="63">
        <v>187.9</v>
      </c>
      <c r="I16" s="63">
        <v>237.2</v>
      </c>
      <c r="J16" s="282">
        <v>133.1</v>
      </c>
      <c r="K16" s="282">
        <v>97.3</v>
      </c>
      <c r="L16" s="63">
        <v>423.6</v>
      </c>
      <c r="M16" s="63">
        <v>378.9</v>
      </c>
      <c r="N16" s="63">
        <v>416.5</v>
      </c>
      <c r="O16" s="63">
        <v>468.8</v>
      </c>
      <c r="P16" s="283">
        <v>373.9</v>
      </c>
      <c r="Q16" s="283">
        <v>400.2</v>
      </c>
      <c r="R16" s="283">
        <v>375.9</v>
      </c>
      <c r="S16" s="283">
        <v>137.6</v>
      </c>
      <c r="T16" s="141">
        <v>359.9</v>
      </c>
      <c r="U16" s="283">
        <v>335.5</v>
      </c>
      <c r="V16" s="283">
        <v>200.9</v>
      </c>
      <c r="W16" s="283">
        <v>404.8</v>
      </c>
      <c r="X16" s="63">
        <v>288.39999999999998</v>
      </c>
      <c r="Y16" s="63">
        <v>224.3</v>
      </c>
      <c r="Z16" s="15">
        <v>414.9</v>
      </c>
      <c r="AA16" s="61">
        <v>210.6</v>
      </c>
      <c r="AB16" s="323">
        <v>232.8</v>
      </c>
      <c r="AC16" s="15">
        <v>297.60000000000002</v>
      </c>
      <c r="AD16" s="15">
        <v>285.60000000000002</v>
      </c>
      <c r="AE16" s="15">
        <v>429.6</v>
      </c>
      <c r="AF16" s="15">
        <v>311.89999999999998</v>
      </c>
      <c r="AG16" s="221">
        <v>249</v>
      </c>
      <c r="AH16" s="656">
        <f t="shared" si="0"/>
        <v>8298.1</v>
      </c>
      <c r="AI16" s="118">
        <v>100</v>
      </c>
      <c r="AJ16" s="121">
        <f t="shared" si="30"/>
        <v>1.8101851851851853E-3</v>
      </c>
      <c r="AK16" s="67">
        <f t="shared" si="22"/>
        <v>3.6583333333333329E-2</v>
      </c>
      <c r="AL16" s="68">
        <f t="shared" si="18"/>
        <v>5.0874999999999997E-2</v>
      </c>
      <c r="AM16" s="68">
        <f t="shared" si="19"/>
        <v>3.2583333333333332E-2</v>
      </c>
      <c r="AN16" s="68">
        <f t="shared" si="20"/>
        <v>5.554166666666667E-2</v>
      </c>
      <c r="AO16" s="68">
        <f t="shared" si="21"/>
        <v>7.8291666666666662E-2</v>
      </c>
      <c r="AP16" s="68">
        <f t="shared" si="23"/>
        <v>9.8833333333333329E-2</v>
      </c>
      <c r="AQ16" s="68">
        <f t="shared" si="23"/>
        <v>5.5458333333333332E-2</v>
      </c>
      <c r="AR16" s="68">
        <f t="shared" si="23"/>
        <v>4.0541666666666663E-2</v>
      </c>
      <c r="AS16" s="68">
        <f t="shared" si="23"/>
        <v>0.17650000000000002</v>
      </c>
      <c r="AT16" s="68">
        <f>IF(OR(M16="",M16="Sem monitoramento"),"VAZIO",IFERROR(M16/($AI16*24),"-"))</f>
        <v>0.15787499999999999</v>
      </c>
      <c r="AU16" s="68">
        <f t="shared" si="24"/>
        <v>0.17354166666666668</v>
      </c>
      <c r="AV16" s="68">
        <f t="shared" si="24"/>
        <v>0.19533333333333333</v>
      </c>
      <c r="AW16" s="68">
        <f t="shared" si="24"/>
        <v>0.15579166666666666</v>
      </c>
      <c r="AX16" s="68">
        <f t="shared" ref="AX16:AZ17" si="34">IF(OR(Q16="",Q16="Sem monitoramento"),"VAZIO",IFERROR(Q16/($AI16*24),"-"))</f>
        <v>0.16674999999999998</v>
      </c>
      <c r="AY16" s="68">
        <f t="shared" si="34"/>
        <v>0.15662499999999999</v>
      </c>
      <c r="AZ16" s="68">
        <f t="shared" si="34"/>
        <v>5.7333333333333333E-2</v>
      </c>
      <c r="BA16" s="68">
        <f>IF(OR(T14="",T14="Sem monitoramento"),"VAZIO",IFERROR(T14/($AI16*24),"-"))</f>
        <v>0</v>
      </c>
      <c r="BB16" s="68">
        <f t="shared" si="25"/>
        <v>0.13979166666666668</v>
      </c>
      <c r="BC16" s="68">
        <f t="shared" si="25"/>
        <v>8.3708333333333329E-2</v>
      </c>
      <c r="BD16" s="68">
        <f t="shared" si="31"/>
        <v>0.16866666666666666</v>
      </c>
      <c r="BE16" s="68">
        <f t="shared" si="28"/>
        <v>0.12016666666666666</v>
      </c>
      <c r="BF16" s="68" t="e">
        <f>IF(OR(#REF!="",#REF!="Sem monitoramento"),"VAZIO",IFERROR(#REF!/($AI16*24),"-"))</f>
        <v>#REF!</v>
      </c>
      <c r="BG16" s="68" t="e">
        <f>IF(OR(#REF!="",#REF!="Sem monitoramento"),"VAZIO",IFERROR(#REF!/($AI16*24),"-"))</f>
        <v>#REF!</v>
      </c>
      <c r="BH16" s="68">
        <f>IF(OR(AA16="",AA16="Sem monitoramento"),"VAZIO",IFERROR(AA16/($AI16*24),"-"))</f>
        <v>8.7749999999999995E-2</v>
      </c>
      <c r="BI16" s="68">
        <f>IF(OR(AB16="",AB16="Sem monitoramento"),"VAZIO",IFERROR(AB16/($AI16*24),"-"))</f>
        <v>9.7000000000000003E-2</v>
      </c>
      <c r="BJ16" s="68">
        <f t="shared" si="26"/>
        <v>0.12400000000000001</v>
      </c>
      <c r="BK16" s="68">
        <f t="shared" si="11"/>
        <v>0.11900000000000001</v>
      </c>
      <c r="BL16" s="68">
        <f t="shared" si="12"/>
        <v>0.17900000000000002</v>
      </c>
      <c r="BM16" s="68">
        <f t="shared" si="13"/>
        <v>0.12995833333333331</v>
      </c>
      <c r="BN16" s="68">
        <f t="shared" si="27"/>
        <v>0.10375</v>
      </c>
      <c r="BO16" s="70">
        <f t="shared" si="6"/>
        <v>0.11525138888888889</v>
      </c>
      <c r="BP16" s="180">
        <f>'FCs estimados em PVsyst'!Y14</f>
        <v>0.16425000000000001</v>
      </c>
      <c r="BQ16" s="72">
        <f t="shared" si="32"/>
        <v>16.425000000000001</v>
      </c>
      <c r="BR16" s="73">
        <f t="shared" si="33"/>
        <v>-0.13166666666666668</v>
      </c>
      <c r="BS16" s="74">
        <f t="shared" si="9"/>
        <v>-4.8998611111111118E-2</v>
      </c>
      <c r="BT16" s="15" t="s">
        <v>20</v>
      </c>
      <c r="BU16" s="3"/>
      <c r="BV16" s="2"/>
      <c r="BW16" s="2"/>
    </row>
    <row r="17" spans="2:75" x14ac:dyDescent="0.3">
      <c r="B17" s="775" t="s">
        <v>21</v>
      </c>
      <c r="C17" s="326" t="s">
        <v>22</v>
      </c>
      <c r="D17" s="223">
        <v>379.3</v>
      </c>
      <c r="E17" s="63">
        <v>442.3</v>
      </c>
      <c r="F17" s="308">
        <v>418.1</v>
      </c>
      <c r="G17" s="283">
        <v>322.5</v>
      </c>
      <c r="H17" s="283">
        <v>206.8</v>
      </c>
      <c r="I17" s="82">
        <v>294.60000000000002</v>
      </c>
      <c r="J17" s="82">
        <v>422.3</v>
      </c>
      <c r="K17" s="63">
        <v>476.5</v>
      </c>
      <c r="L17" s="63">
        <v>350.3</v>
      </c>
      <c r="M17" s="63">
        <v>315.60000000000002</v>
      </c>
      <c r="N17" s="480">
        <v>490.4</v>
      </c>
      <c r="O17" s="283">
        <v>401.5</v>
      </c>
      <c r="P17" s="283">
        <v>332.2</v>
      </c>
      <c r="Q17" s="283">
        <v>334.6</v>
      </c>
      <c r="R17" s="63">
        <v>511.5</v>
      </c>
      <c r="S17" s="283">
        <v>130.1</v>
      </c>
      <c r="T17" s="63">
        <v>531</v>
      </c>
      <c r="U17" s="63">
        <v>376.5</v>
      </c>
      <c r="V17" s="63">
        <v>288</v>
      </c>
      <c r="W17" s="283">
        <v>531.4</v>
      </c>
      <c r="X17" s="283">
        <v>291.10000000000002</v>
      </c>
      <c r="Y17" s="519">
        <v>335.5</v>
      </c>
      <c r="Z17" s="15">
        <v>453.7</v>
      </c>
      <c r="AA17" s="18">
        <v>219</v>
      </c>
      <c r="AB17" s="20">
        <v>288.39999999999998</v>
      </c>
      <c r="AC17" s="221">
        <v>287</v>
      </c>
      <c r="AD17" s="221">
        <v>283.5</v>
      </c>
      <c r="AE17" s="15">
        <v>460.7</v>
      </c>
      <c r="AF17" s="15">
        <v>232.9</v>
      </c>
      <c r="AG17" s="15">
        <v>328.2</v>
      </c>
      <c r="AH17" s="656">
        <f t="shared" si="0"/>
        <v>10735.500000000002</v>
      </c>
      <c r="AI17" s="118">
        <v>100</v>
      </c>
      <c r="AJ17" s="122">
        <f t="shared" si="30"/>
        <v>9.6782407407407407E-3</v>
      </c>
      <c r="AK17" s="67">
        <f t="shared" si="22"/>
        <v>0.15804166666666666</v>
      </c>
      <c r="AL17" s="68">
        <f t="shared" si="18"/>
        <v>0.18429166666666666</v>
      </c>
      <c r="AM17" s="68">
        <f t="shared" si="19"/>
        <v>0.17420833333333335</v>
      </c>
      <c r="AN17" s="68">
        <f t="shared" si="20"/>
        <v>0.13437499999999999</v>
      </c>
      <c r="AO17" s="68">
        <f t="shared" si="21"/>
        <v>8.6166666666666669E-2</v>
      </c>
      <c r="AP17" s="68">
        <f t="shared" ref="AP17:AQ23" si="35">IF(OR(I17="",I17="Sem monitoramento"),"VAZIO",IFERROR(I17/($AI17*24),"-"))</f>
        <v>0.12275000000000001</v>
      </c>
      <c r="AQ17" s="68">
        <f t="shared" si="35"/>
        <v>0.17595833333333333</v>
      </c>
      <c r="AR17" s="68" t="e">
        <f>IF(OR(#REF!="",#REF!="Sem monitoramento"),"VAZIO",IFERROR(#REF!/($AI17*24),"-"))</f>
        <v>#REF!</v>
      </c>
      <c r="AS17" s="68" t="e">
        <f>IF(OR(#REF!="",#REF!="Sem monitoramento"),"VAZIO",IFERROR(#REF!/($AI17*24),"-"))</f>
        <v>#REF!</v>
      </c>
      <c r="AT17" s="68">
        <f>IF(OR(M17="",M17="Sem monitoramento"),"VAZIO",IFERROR(M17/($AI17*24),"-"))</f>
        <v>0.13150000000000001</v>
      </c>
      <c r="AU17" s="68">
        <f>IF(OR(N18="",N18="Sem monitoramento"),"VAZIO",IFERROR(N18/($AI17*24),"-"))</f>
        <v>0.17674999999999999</v>
      </c>
      <c r="AV17" s="68">
        <f t="shared" ref="AV17:AW22" si="36">IF(OR(O17="",O17="Sem monitoramento"),"VAZIO",IFERROR(O17/($AI17*24),"-"))</f>
        <v>0.16729166666666667</v>
      </c>
      <c r="AW17" s="68">
        <f t="shared" si="36"/>
        <v>0.13841666666666666</v>
      </c>
      <c r="AX17" s="68">
        <f t="shared" si="34"/>
        <v>0.13941666666666669</v>
      </c>
      <c r="AY17" s="68">
        <f t="shared" si="34"/>
        <v>0.21312500000000001</v>
      </c>
      <c r="AZ17" s="68">
        <f t="shared" si="34"/>
        <v>5.4208333333333331E-2</v>
      </c>
      <c r="BA17" s="68">
        <f>IF(OR(T17="",T17="Sem monitoramento"),"VAZIO",IFERROR(T17/($AI17*24),"-"))</f>
        <v>0.22125</v>
      </c>
      <c r="BB17" s="68">
        <f t="shared" si="25"/>
        <v>0.15687499999999999</v>
      </c>
      <c r="BC17" s="68">
        <f t="shared" si="25"/>
        <v>0.12</v>
      </c>
      <c r="BD17" s="68">
        <f t="shared" si="31"/>
        <v>0.22141666666666665</v>
      </c>
      <c r="BE17" s="68">
        <f t="shared" si="28"/>
        <v>0.12129166666666667</v>
      </c>
      <c r="BF17" s="68" t="e">
        <f>IF(OR(#REF!="",#REF!="Sem monitoramento"),"VAZIO",IFERROR(#REF!/($AI17*24),"-"))</f>
        <v>#REF!</v>
      </c>
      <c r="BG17" s="68">
        <f t="shared" ref="BG17:BH24" si="37">IF(OR(Z17="",Z17="Sem monitoramento"),"VAZIO",IFERROR(Z17/($AI17*24),"-"))</f>
        <v>0.18904166666666666</v>
      </c>
      <c r="BH17" s="68">
        <f t="shared" si="37"/>
        <v>9.1249999999999998E-2</v>
      </c>
      <c r="BI17" s="68" t="e">
        <f>IF(OR(#REF!="",#REF!="Sem monitoramento"),"VAZIO",IFERROR(#REF!/($AI17*24),"-"))</f>
        <v>#REF!</v>
      </c>
      <c r="BJ17" s="68">
        <f t="shared" si="26"/>
        <v>0.11958333333333333</v>
      </c>
      <c r="BK17" s="68">
        <f t="shared" si="11"/>
        <v>0.11812499999999999</v>
      </c>
      <c r="BL17" s="68">
        <f t="shared" si="12"/>
        <v>0.19195833333333334</v>
      </c>
      <c r="BM17" s="68">
        <f t="shared" si="13"/>
        <v>9.7041666666666665E-2</v>
      </c>
      <c r="BN17" s="68">
        <f t="shared" si="27"/>
        <v>0.13674999999999998</v>
      </c>
      <c r="BO17" s="70">
        <f t="shared" si="6"/>
        <v>0.1491041666666667</v>
      </c>
      <c r="BP17" s="198">
        <f>$BP$19</f>
        <v>0.168125</v>
      </c>
      <c r="BQ17" s="90">
        <f t="shared" si="32"/>
        <v>16.8125</v>
      </c>
      <c r="BR17" s="73">
        <f t="shared" si="33"/>
        <v>6.0833333333333572E-3</v>
      </c>
      <c r="BS17" s="74">
        <f t="shared" si="9"/>
        <v>-1.9020833333333292E-2</v>
      </c>
      <c r="BT17" s="15" t="s">
        <v>22</v>
      </c>
      <c r="BU17" s="3"/>
      <c r="BV17" s="2"/>
      <c r="BW17" s="2"/>
    </row>
    <row r="18" spans="2:75" x14ac:dyDescent="0.3">
      <c r="B18" s="775"/>
      <c r="C18" s="326" t="s">
        <v>23</v>
      </c>
      <c r="D18" s="223">
        <v>423.6</v>
      </c>
      <c r="E18" s="63">
        <v>481.8</v>
      </c>
      <c r="F18" s="308">
        <v>458.4</v>
      </c>
      <c r="G18" s="283">
        <v>354.4</v>
      </c>
      <c r="H18" s="63">
        <v>227.7</v>
      </c>
      <c r="I18" s="63">
        <v>318.2</v>
      </c>
      <c r="J18" s="63">
        <v>456.5</v>
      </c>
      <c r="K18" s="63">
        <v>529.6</v>
      </c>
      <c r="L18" s="316">
        <v>389.3</v>
      </c>
      <c r="M18" s="316">
        <v>348.9</v>
      </c>
      <c r="N18" s="283">
        <v>424.2</v>
      </c>
      <c r="O18" s="283">
        <v>442.9</v>
      </c>
      <c r="P18" s="63">
        <v>370.1</v>
      </c>
      <c r="Q18" s="519">
        <v>356.8</v>
      </c>
      <c r="R18" s="63">
        <v>513.70000000000005</v>
      </c>
      <c r="S18" s="283">
        <v>130.30000000000001</v>
      </c>
      <c r="T18" s="63">
        <v>519.79999999999995</v>
      </c>
      <c r="U18" s="283">
        <v>373.5</v>
      </c>
      <c r="V18" s="283">
        <v>285.60000000000002</v>
      </c>
      <c r="W18" s="283">
        <v>515.70000000000005</v>
      </c>
      <c r="X18" s="283">
        <v>278.60000000000002</v>
      </c>
      <c r="Y18" s="283">
        <v>328.9</v>
      </c>
      <c r="Z18" s="221">
        <v>443.8</v>
      </c>
      <c r="AA18" s="18">
        <v>213.3</v>
      </c>
      <c r="AB18" s="628">
        <v>284.2</v>
      </c>
      <c r="AC18" s="221">
        <v>281.7</v>
      </c>
      <c r="AD18" s="221">
        <v>279.5</v>
      </c>
      <c r="AE18" s="15">
        <v>449.6</v>
      </c>
      <c r="AF18" s="15">
        <v>226.5</v>
      </c>
      <c r="AG18" s="15">
        <v>319.60000000000002</v>
      </c>
      <c r="AH18" s="656">
        <f t="shared" si="0"/>
        <v>11026.7</v>
      </c>
      <c r="AI18" s="118">
        <v>100</v>
      </c>
      <c r="AJ18" s="122">
        <f t="shared" si="30"/>
        <v>1.0611111111111111E-2</v>
      </c>
      <c r="AK18" s="67">
        <f t="shared" si="22"/>
        <v>0.17650000000000002</v>
      </c>
      <c r="AL18" s="68">
        <f t="shared" si="18"/>
        <v>0.20075000000000001</v>
      </c>
      <c r="AM18" s="68">
        <f t="shared" si="19"/>
        <v>0.191</v>
      </c>
      <c r="AN18" s="68">
        <f t="shared" si="20"/>
        <v>0.14766666666666667</v>
      </c>
      <c r="AO18" s="68">
        <f t="shared" si="21"/>
        <v>9.4875000000000001E-2</v>
      </c>
      <c r="AP18" s="68">
        <f t="shared" si="35"/>
        <v>0.13258333333333333</v>
      </c>
      <c r="AQ18" s="68">
        <f t="shared" si="35"/>
        <v>0.19020833333333334</v>
      </c>
      <c r="AR18" s="68">
        <f>IF(OR(K18="",K18="Sem monitoramento"),"VAZIO",IFERROR(K18/($AI18*24),"-"))</f>
        <v>0.22066666666666668</v>
      </c>
      <c r="AS18" s="68">
        <f>IF(OR(L17="",L17="Sem monitoramento"),"VAZIO",IFERROR(L17/($AI18*24),"-"))</f>
        <v>0.14595833333333333</v>
      </c>
      <c r="AT18" s="68">
        <f>IF(OR(M19="",M19="Sem monitoramento"),"VAZIO",IFERROR(M19/($AI18*24),"-"))</f>
        <v>0.11474999999999999</v>
      </c>
      <c r="AU18" s="68" t="e">
        <f>IF(OR(#REF!="",#REF!="Sem monitoramento"),"VAZIO",IFERROR(#REF!/($AI18*24),"-"))</f>
        <v>#REF!</v>
      </c>
      <c r="AV18" s="68">
        <f t="shared" si="36"/>
        <v>0.18454166666666666</v>
      </c>
      <c r="AW18" s="68">
        <f t="shared" si="36"/>
        <v>0.15420833333333334</v>
      </c>
      <c r="AX18" s="68">
        <f>IF(OR(Q19="",Q19="Sem monitoramento"),"VAZIO",IFERROR(Q19/($AI18*24),"-"))</f>
        <v>0.12825</v>
      </c>
      <c r="AY18" s="68" t="e">
        <f>IF(OR(#REF!="",#REF!="Sem monitoramento"),"VAZIO",IFERROR(#REF!/($AI18*24),"-"))</f>
        <v>#REF!</v>
      </c>
      <c r="AZ18" s="68">
        <f>IF(OR(S18="",S18="Sem monitoramento"),"VAZIO",IFERROR(S18/($AI18*24),"-"))</f>
        <v>5.4291666666666669E-2</v>
      </c>
      <c r="BA18" s="68">
        <f>IF(OR(T18="",T18="Sem monitoramento"),"VAZIO",IFERROR(T18/($AI18*24),"-"))</f>
        <v>0.21658333333333332</v>
      </c>
      <c r="BB18" s="68">
        <f t="shared" si="25"/>
        <v>0.15562500000000001</v>
      </c>
      <c r="BC18" s="68">
        <f t="shared" si="25"/>
        <v>0.11900000000000001</v>
      </c>
      <c r="BD18" s="68">
        <f t="shared" si="31"/>
        <v>0.21487500000000001</v>
      </c>
      <c r="BE18" s="68">
        <f t="shared" si="28"/>
        <v>0.11608333333333334</v>
      </c>
      <c r="BF18" s="68">
        <f>IF(OR(Y18="",Y18="Sem monitoramento"),"VAZIO",IFERROR(Y18/($AI18*24),"-"))</f>
        <v>0.13704166666666664</v>
      </c>
      <c r="BG18" s="68">
        <f t="shared" si="37"/>
        <v>0.18491666666666667</v>
      </c>
      <c r="BH18" s="68">
        <f t="shared" si="37"/>
        <v>8.887500000000001E-2</v>
      </c>
      <c r="BI18" s="68">
        <f>IF(OR(AB17="",AB17="Sem monitoramento"),"VAZIO",IFERROR(AB17/($AI18*24),"-"))</f>
        <v>0.12016666666666666</v>
      </c>
      <c r="BJ18" s="68">
        <f t="shared" si="26"/>
        <v>0.11737499999999999</v>
      </c>
      <c r="BK18" s="68">
        <f t="shared" si="11"/>
        <v>0.11645833333333333</v>
      </c>
      <c r="BL18" s="68">
        <f t="shared" si="12"/>
        <v>0.18733333333333335</v>
      </c>
      <c r="BM18" s="68">
        <f t="shared" si="13"/>
        <v>9.4375000000000001E-2</v>
      </c>
      <c r="BN18" s="68">
        <f t="shared" si="27"/>
        <v>0.13316666666666668</v>
      </c>
      <c r="BO18" s="70">
        <f t="shared" si="6"/>
        <v>0.15314861111111111</v>
      </c>
      <c r="BP18" s="198">
        <f>$BP$19</f>
        <v>0.168125</v>
      </c>
      <c r="BQ18" s="90">
        <f t="shared" si="32"/>
        <v>16.8125</v>
      </c>
      <c r="BR18" s="73">
        <f t="shared" si="33"/>
        <v>2.2875000000000006E-2</v>
      </c>
      <c r="BS18" s="74">
        <f t="shared" si="9"/>
        <v>-1.4976388888888886E-2</v>
      </c>
      <c r="BT18" s="15" t="s">
        <v>23</v>
      </c>
      <c r="BU18" s="3"/>
      <c r="BV18" s="2"/>
      <c r="BW18" s="2"/>
    </row>
    <row r="19" spans="2:75" x14ac:dyDescent="0.3">
      <c r="B19" s="775"/>
      <c r="C19" s="326" t="s">
        <v>24</v>
      </c>
      <c r="D19" s="305">
        <v>0</v>
      </c>
      <c r="E19" s="63">
        <v>411</v>
      </c>
      <c r="F19" s="282">
        <v>79</v>
      </c>
      <c r="G19" s="283">
        <v>228.3</v>
      </c>
      <c r="H19" s="283">
        <v>181.9</v>
      </c>
      <c r="I19" s="63">
        <v>259.3</v>
      </c>
      <c r="J19" s="283">
        <v>358.8</v>
      </c>
      <c r="K19" s="63">
        <v>399</v>
      </c>
      <c r="L19" s="63">
        <v>303.5</v>
      </c>
      <c r="M19" s="283">
        <v>275.39999999999998</v>
      </c>
      <c r="N19" s="283">
        <v>347.6</v>
      </c>
      <c r="O19" s="283">
        <v>358.1</v>
      </c>
      <c r="P19" s="283">
        <v>286.89999999999998</v>
      </c>
      <c r="Q19" s="283">
        <v>307.8</v>
      </c>
      <c r="R19" s="63">
        <v>403.6</v>
      </c>
      <c r="S19" s="63">
        <v>103.7</v>
      </c>
      <c r="T19" s="63">
        <v>429.6</v>
      </c>
      <c r="U19" s="63">
        <v>325</v>
      </c>
      <c r="V19" s="283">
        <v>217.4</v>
      </c>
      <c r="W19" s="283">
        <v>431.3</v>
      </c>
      <c r="X19" s="316">
        <v>234.7</v>
      </c>
      <c r="Y19" s="283">
        <v>258.39999999999998</v>
      </c>
      <c r="Z19" s="63">
        <v>388.9</v>
      </c>
      <c r="AA19" s="18">
        <v>170.4</v>
      </c>
      <c r="AB19" s="323">
        <v>226.5</v>
      </c>
      <c r="AC19" s="15">
        <v>211.5</v>
      </c>
      <c r="AD19" s="283">
        <v>228.9</v>
      </c>
      <c r="AE19" s="221">
        <v>379.7</v>
      </c>
      <c r="AF19" s="15">
        <v>163</v>
      </c>
      <c r="AG19" s="15">
        <v>256</v>
      </c>
      <c r="AH19" s="656">
        <f t="shared" si="0"/>
        <v>8225.1999999999989</v>
      </c>
      <c r="AI19" s="118">
        <v>80</v>
      </c>
      <c r="AJ19" s="121">
        <f t="shared" si="30"/>
        <v>2.2858796296296295E-3</v>
      </c>
      <c r="AK19" s="67">
        <f t="shared" si="22"/>
        <v>0</v>
      </c>
      <c r="AL19" s="68">
        <f t="shared" si="18"/>
        <v>0.21406249999999999</v>
      </c>
      <c r="AM19" s="68">
        <f t="shared" si="19"/>
        <v>4.1145833333333333E-2</v>
      </c>
      <c r="AN19" s="68">
        <f t="shared" si="20"/>
        <v>0.11890625</v>
      </c>
      <c r="AO19" s="68">
        <f t="shared" si="21"/>
        <v>9.4739583333333335E-2</v>
      </c>
      <c r="AP19" s="68">
        <f t="shared" si="35"/>
        <v>0.13505208333333335</v>
      </c>
      <c r="AQ19" s="68">
        <f t="shared" si="35"/>
        <v>0.18687500000000001</v>
      </c>
      <c r="AR19" s="68">
        <f>IF(OR(K19="",K19="Sem monitoramento"),"VAZIO",IFERROR(K19/($AI19*24),"-"))</f>
        <v>0.20781250000000001</v>
      </c>
      <c r="AS19" s="68">
        <f>IF(OR(L21="",L21="Sem monitoramento"),"VAZIO",IFERROR(L21/($AI19*24),"-"))</f>
        <v>0.17864583333333334</v>
      </c>
      <c r="AT19" s="68" t="e">
        <f>IF(OR(#REF!="",#REF!="Sem monitoramento"),"VAZIO",IFERROR(#REF!/($AI19*24),"-"))</f>
        <v>#REF!</v>
      </c>
      <c r="AU19" s="68">
        <f>IF(OR(N19="",N19="Sem monitoramento"),"VAZIO",IFERROR(N19/($AI19*24),"-"))</f>
        <v>0.18104166666666668</v>
      </c>
      <c r="AV19" s="68">
        <f t="shared" si="36"/>
        <v>0.18651041666666668</v>
      </c>
      <c r="AW19" s="68">
        <f t="shared" si="36"/>
        <v>0.14942708333333332</v>
      </c>
      <c r="AX19" s="68" t="e">
        <f>IF(OR(#REF!="",#REF!="Sem monitoramento"),"VAZIO",IFERROR(#REF!/($AI19*24),"-"))</f>
        <v>#REF!</v>
      </c>
      <c r="AY19" s="68">
        <f>IF(OR(R19="",R19="Sem monitoramento"),"VAZIO",IFERROR(R19/($AI19*24),"-"))</f>
        <v>0.21020833333333336</v>
      </c>
      <c r="AZ19" s="68">
        <f>IF(OR(S19="",S19="Sem monitoramento"),"VAZIO",IFERROR(S19/($AI19*24),"-"))</f>
        <v>5.4010416666666665E-2</v>
      </c>
      <c r="BA19" s="68">
        <f>IF(OR(T19="",T19="Sem monitoramento"),"VAZIO",IFERROR(T19/($AI19*24),"-"))</f>
        <v>0.22375</v>
      </c>
      <c r="BB19" s="68">
        <f t="shared" ref="BB19:BB24" si="38">IF(OR(U19="",U19="Sem monitoramento"),"VAZIO",IFERROR(U19/($AI19*24),"-"))</f>
        <v>0.16927083333333334</v>
      </c>
      <c r="BC19" s="68" t="e">
        <f>IF(OR(#REF!="",#REF!="Sem monitoramento"),"VAZIO",IFERROR(#REF!/($AI19*24),"-"))</f>
        <v>#REF!</v>
      </c>
      <c r="BD19" s="68">
        <f t="shared" si="31"/>
        <v>0.22463541666666667</v>
      </c>
      <c r="BE19" s="68">
        <f>IF(OR(X21="",X21="Sem monitoramento"),"VAZIO",IFERROR(X21/($AI19*24),"-"))</f>
        <v>0.13369791666666667</v>
      </c>
      <c r="BF19" s="68" t="e">
        <f>IF(OR(#REF!="",#REF!="Sem monitoramento"),"VAZIO",IFERROR(#REF!/($AI19*24),"-"))</f>
        <v>#REF!</v>
      </c>
      <c r="BG19" s="68">
        <f t="shared" si="37"/>
        <v>0.20255208333333333</v>
      </c>
      <c r="BH19" s="68">
        <f t="shared" si="37"/>
        <v>8.8750000000000009E-2</v>
      </c>
      <c r="BI19" s="68">
        <f>IF(OR(AB19="",AB19="Sem monitoramento"),"VAZIO",IFERROR(AB19/($AI19*24),"-"))</f>
        <v>0.11796875</v>
      </c>
      <c r="BJ19" s="68">
        <f t="shared" si="26"/>
        <v>0.11015625</v>
      </c>
      <c r="BK19" s="68">
        <f t="shared" si="11"/>
        <v>0.11921875</v>
      </c>
      <c r="BL19" s="68">
        <f t="shared" si="12"/>
        <v>0.19776041666666666</v>
      </c>
      <c r="BM19" s="68">
        <f t="shared" si="13"/>
        <v>8.4895833333333337E-2</v>
      </c>
      <c r="BN19" s="68">
        <f t="shared" si="27"/>
        <v>0.13333333333333333</v>
      </c>
      <c r="BO19" s="70">
        <f t="shared" si="6"/>
        <v>0.14279861111111108</v>
      </c>
      <c r="BP19" s="180">
        <f>'FCs estimados em PVsyst'!Y17</f>
        <v>0.168125</v>
      </c>
      <c r="BQ19" s="72">
        <f t="shared" si="32"/>
        <v>13.45</v>
      </c>
      <c r="BR19" s="73">
        <f t="shared" si="33"/>
        <v>-0.12697916666666667</v>
      </c>
      <c r="BS19" s="74">
        <f t="shared" si="9"/>
        <v>-2.5326388888888912E-2</v>
      </c>
      <c r="BT19" s="15" t="s">
        <v>24</v>
      </c>
      <c r="BU19" s="3"/>
      <c r="BV19" s="2"/>
      <c r="BW19" s="2"/>
    </row>
    <row r="20" spans="2:75" x14ac:dyDescent="0.3">
      <c r="B20" s="775"/>
      <c r="C20" s="326" t="s">
        <v>25</v>
      </c>
      <c r="D20" s="305">
        <v>0</v>
      </c>
      <c r="E20" s="63">
        <v>475</v>
      </c>
      <c r="F20" s="282">
        <v>85.8</v>
      </c>
      <c r="G20" s="63">
        <v>281.39999999999998</v>
      </c>
      <c r="H20" s="283">
        <v>229.2</v>
      </c>
      <c r="I20" s="63">
        <v>350.5</v>
      </c>
      <c r="J20" s="283">
        <v>452.3</v>
      </c>
      <c r="K20" s="316">
        <v>542.9</v>
      </c>
      <c r="L20" s="63">
        <v>404.6</v>
      </c>
      <c r="M20" s="63">
        <v>374.4</v>
      </c>
      <c r="N20" s="519">
        <v>509.2</v>
      </c>
      <c r="O20" s="283">
        <v>503.9</v>
      </c>
      <c r="P20" s="283">
        <v>403.9</v>
      </c>
      <c r="Q20" s="283">
        <v>388</v>
      </c>
      <c r="R20" s="316">
        <v>517.70000000000005</v>
      </c>
      <c r="S20" s="63">
        <v>136</v>
      </c>
      <c r="T20" s="283">
        <v>530</v>
      </c>
      <c r="U20" s="63">
        <v>425.8</v>
      </c>
      <c r="V20" s="519">
        <v>276.5</v>
      </c>
      <c r="W20" s="283">
        <v>563</v>
      </c>
      <c r="X20" s="283">
        <v>306.8</v>
      </c>
      <c r="Y20" s="283">
        <v>319.39999999999998</v>
      </c>
      <c r="Z20" s="316">
        <v>480.8</v>
      </c>
      <c r="AA20" s="18">
        <v>223.4</v>
      </c>
      <c r="AB20" s="323">
        <v>298.3</v>
      </c>
      <c r="AC20" s="283">
        <v>276.3</v>
      </c>
      <c r="AD20" s="283">
        <v>297.3</v>
      </c>
      <c r="AE20" s="283">
        <v>483.3</v>
      </c>
      <c r="AF20" s="283">
        <v>214.9</v>
      </c>
      <c r="AG20" s="283">
        <v>340.8</v>
      </c>
      <c r="AH20" s="656">
        <f t="shared" si="0"/>
        <v>10691.399999999994</v>
      </c>
      <c r="AI20" s="118">
        <v>100</v>
      </c>
      <c r="AJ20" s="121">
        <f t="shared" si="30"/>
        <v>1.9861111111111112E-3</v>
      </c>
      <c r="AK20" s="67">
        <f t="shared" si="22"/>
        <v>0</v>
      </c>
      <c r="AL20" s="68">
        <f t="shared" si="18"/>
        <v>0.19791666666666666</v>
      </c>
      <c r="AM20" s="68">
        <f t="shared" si="19"/>
        <v>3.5749999999999997E-2</v>
      </c>
      <c r="AN20" s="68">
        <f t="shared" si="20"/>
        <v>0.11724999999999999</v>
      </c>
      <c r="AO20" s="68">
        <f t="shared" si="21"/>
        <v>9.5500000000000002E-2</v>
      </c>
      <c r="AP20" s="68">
        <f t="shared" si="35"/>
        <v>0.14604166666666665</v>
      </c>
      <c r="AQ20" s="68">
        <f t="shared" si="35"/>
        <v>0.18845833333333334</v>
      </c>
      <c r="AR20" s="68">
        <f>IF(OR(K17="",K17="Sem monitoramento"),"VAZIO",IFERROR(K17/($AI20*24),"-"))</f>
        <v>0.19854166666666667</v>
      </c>
      <c r="AS20" s="68">
        <f>IF(OR(L20="",L20="Sem monitoramento"),"VAZIO",IFERROR(L20/($AI20*24),"-"))</f>
        <v>0.16858333333333334</v>
      </c>
      <c r="AT20" s="68">
        <f>IF(OR(M20="",M20="Sem monitoramento"),"VAZIO",IFERROR(M20/($AI20*24),"-"))</f>
        <v>0.156</v>
      </c>
      <c r="AU20" s="68">
        <f>IF(OR(N21="",N21="Sem monitoramento"),"VAZIO",IFERROR(N21/($AI20*24),"-"))</f>
        <v>0.192</v>
      </c>
      <c r="AV20" s="68">
        <f t="shared" si="36"/>
        <v>0.20995833333333333</v>
      </c>
      <c r="AW20" s="68">
        <f t="shared" si="36"/>
        <v>0.16829166666666664</v>
      </c>
      <c r="AX20" s="68">
        <f t="shared" ref="AX20:AX31" si="39">IF(OR(Q20="",Q20="Sem monitoramento"),"VAZIO",IFERROR(Q20/($AI20*24),"-"))</f>
        <v>0.16166666666666665</v>
      </c>
      <c r="AY20" s="68">
        <f>IF(OR(R18="",R18="Sem monitoramento"),"VAZIO",IFERROR(R18/($AI20*24),"-"))</f>
        <v>0.21404166666666669</v>
      </c>
      <c r="AZ20" s="68">
        <f>IF(OR(S21="",S21="Sem monitoramento"),"VAZIO",IFERROR(S21/($AI20*24),"-"))</f>
        <v>4.7166666666666669E-2</v>
      </c>
      <c r="BA20" s="68" t="e">
        <f>IF(OR(#REF!="",#REF!="Sem monitoramento"),"VAZIO",IFERROR(#REF!/($AI20*24),"-"))</f>
        <v>#REF!</v>
      </c>
      <c r="BB20" s="68">
        <f t="shared" si="38"/>
        <v>0.17741666666666667</v>
      </c>
      <c r="BC20" s="68">
        <f>IF(OR(V19="",V19="Sem monitoramento"),"VAZIO",IFERROR(V19/($AI20*24),"-"))</f>
        <v>9.0583333333333335E-2</v>
      </c>
      <c r="BD20" s="68">
        <f t="shared" si="31"/>
        <v>0.23458333333333334</v>
      </c>
      <c r="BE20" s="68">
        <f>IF(OR(X22="",X22="Sem monitoramento"),"VAZIO",IFERROR(X22/($AI20*24),"-"))</f>
        <v>0.13870833333333332</v>
      </c>
      <c r="BF20" s="68">
        <f>IF(OR(Y18="",Y18="Sem monitoramento"),"VAZIO",IFERROR(Y18/($AI20*24),"-"))</f>
        <v>0.13704166666666664</v>
      </c>
      <c r="BG20" s="68">
        <f t="shared" si="37"/>
        <v>0.20033333333333334</v>
      </c>
      <c r="BH20" s="68">
        <f t="shared" si="37"/>
        <v>9.3083333333333337E-2</v>
      </c>
      <c r="BI20" s="68">
        <f>IF(OR(AB20="",AB20="Sem monitoramento"),"VAZIO",IFERROR(AB20/($AI20*24),"-"))</f>
        <v>0.12429166666666668</v>
      </c>
      <c r="BJ20" s="68">
        <f t="shared" si="26"/>
        <v>0.11512500000000001</v>
      </c>
      <c r="BK20" s="68">
        <f>IF(OR(AD21="",AD21="Sem monitoramento"),"VAZIO",IFERROR(AD21/($AI20*24),"-"))</f>
        <v>0.10024999999999999</v>
      </c>
      <c r="BL20" s="68">
        <f t="shared" ref="BL20:BM27" si="40">IF(OR(AE20="",AE20="Sem monitoramento"),"VAZIO",IFERROR(AE20/($AI20*24),"-"))</f>
        <v>0.201375</v>
      </c>
      <c r="BM20" s="68">
        <f t="shared" si="40"/>
        <v>8.9541666666666672E-2</v>
      </c>
      <c r="BN20" s="68">
        <f t="shared" si="27"/>
        <v>0.14200000000000002</v>
      </c>
      <c r="BO20" s="70">
        <f t="shared" si="6"/>
        <v>0.14849166666666658</v>
      </c>
      <c r="BP20" s="198">
        <f t="shared" ref="BP20:BP30" si="41">$BP$19</f>
        <v>0.168125</v>
      </c>
      <c r="BQ20" s="72">
        <f t="shared" si="32"/>
        <v>16.8125</v>
      </c>
      <c r="BR20" s="73">
        <f t="shared" si="33"/>
        <v>-0.13237499999999999</v>
      </c>
      <c r="BS20" s="74">
        <f t="shared" si="9"/>
        <v>-1.9633333333333419E-2</v>
      </c>
      <c r="BT20" s="15" t="s">
        <v>25</v>
      </c>
      <c r="BU20" s="3"/>
      <c r="BV20" s="2"/>
      <c r="BW20" s="2"/>
    </row>
    <row r="21" spans="2:75" x14ac:dyDescent="0.3">
      <c r="B21" s="775"/>
      <c r="C21" s="326" t="s">
        <v>26</v>
      </c>
      <c r="D21" s="305">
        <v>0</v>
      </c>
      <c r="E21" s="283">
        <v>398</v>
      </c>
      <c r="F21" s="282">
        <v>64.900000000000006</v>
      </c>
      <c r="G21" s="283">
        <v>230.3</v>
      </c>
      <c r="H21" s="283">
        <v>189.2</v>
      </c>
      <c r="I21" s="63">
        <v>292.39999999999998</v>
      </c>
      <c r="J21" s="283">
        <v>392.7</v>
      </c>
      <c r="K21" s="63">
        <v>479.4</v>
      </c>
      <c r="L21" s="283">
        <v>343</v>
      </c>
      <c r="M21" s="316">
        <v>334.4</v>
      </c>
      <c r="N21" s="283">
        <v>460.8</v>
      </c>
      <c r="O21" s="283">
        <v>416.7</v>
      </c>
      <c r="P21" s="63">
        <v>342.1</v>
      </c>
      <c r="Q21" s="283">
        <v>328.4</v>
      </c>
      <c r="R21" s="63">
        <v>444.4</v>
      </c>
      <c r="S21" s="63">
        <v>113.2</v>
      </c>
      <c r="T21" s="316">
        <v>455.7</v>
      </c>
      <c r="U21" s="283">
        <v>364.9</v>
      </c>
      <c r="V21" s="283">
        <v>221.4</v>
      </c>
      <c r="W21" s="283">
        <v>369.4</v>
      </c>
      <c r="X21" s="283">
        <v>256.7</v>
      </c>
      <c r="Y21" s="283">
        <v>276.8</v>
      </c>
      <c r="Z21" s="63">
        <v>399.6</v>
      </c>
      <c r="AA21" s="320">
        <v>186.1</v>
      </c>
      <c r="AB21" s="323">
        <v>250</v>
      </c>
      <c r="AC21" s="221">
        <v>222.6</v>
      </c>
      <c r="AD21" s="283">
        <v>240.6</v>
      </c>
      <c r="AE21" s="221">
        <v>400.8</v>
      </c>
      <c r="AF21" s="221">
        <v>172</v>
      </c>
      <c r="AG21" s="221">
        <v>287.5</v>
      </c>
      <c r="AH21" s="656">
        <f t="shared" si="0"/>
        <v>8934</v>
      </c>
      <c r="AI21" s="118">
        <v>100</v>
      </c>
      <c r="AJ21" s="121">
        <f t="shared" si="30"/>
        <v>1.502314814814815E-3</v>
      </c>
      <c r="AK21" s="67">
        <f t="shared" si="22"/>
        <v>0</v>
      </c>
      <c r="AL21" s="68">
        <f t="shared" si="18"/>
        <v>0.16583333333333333</v>
      </c>
      <c r="AM21" s="68">
        <f t="shared" si="19"/>
        <v>2.7041666666666669E-2</v>
      </c>
      <c r="AN21" s="68">
        <f t="shared" si="20"/>
        <v>9.595833333333334E-2</v>
      </c>
      <c r="AO21" s="68">
        <f t="shared" si="21"/>
        <v>7.8833333333333325E-2</v>
      </c>
      <c r="AP21" s="68">
        <f t="shared" si="35"/>
        <v>0.12183333333333332</v>
      </c>
      <c r="AQ21" s="68">
        <f t="shared" si="35"/>
        <v>0.16362499999999999</v>
      </c>
      <c r="AR21" s="68">
        <f t="shared" ref="AR21:AR31" si="42">IF(OR(K21="",K21="Sem monitoramento"),"VAZIO",IFERROR(K21/($AI21*24),"-"))</f>
        <v>0.19974999999999998</v>
      </c>
      <c r="AS21" s="68">
        <f t="shared" ref="AS21:AS31" si="43">IF(OR(L21="",L21="Sem monitoramento"),"VAZIO",IFERROR(L21/($AI21*24),"-"))</f>
        <v>0.14291666666666666</v>
      </c>
      <c r="AT21" s="68">
        <f>IF(OR(M19="",M19="Sem monitoramento"),"VAZIO",IFERROR(M19/($AI21*24),"-"))</f>
        <v>0.11474999999999999</v>
      </c>
      <c r="AU21" s="68">
        <f>IF(OR(N22="",N22="Sem monitoramento"),"VAZIO",IFERROR(N22/($AI21*24),"-"))</f>
        <v>0.19029166666666666</v>
      </c>
      <c r="AV21" s="68">
        <f t="shared" si="36"/>
        <v>0.173625</v>
      </c>
      <c r="AW21" s="68">
        <f t="shared" si="36"/>
        <v>0.14254166666666668</v>
      </c>
      <c r="AX21" s="68">
        <f t="shared" si="39"/>
        <v>0.13683333333333333</v>
      </c>
      <c r="AY21" s="68">
        <f t="shared" ref="AY21:AY31" si="44">IF(OR(R21="",R21="Sem monitoramento"),"VAZIO",IFERROR(R21/($AI21*24),"-"))</f>
        <v>0.18516666666666665</v>
      </c>
      <c r="AZ21" s="68">
        <f>IF(OR(S22="",S22="Sem monitoramento"),"VAZIO",IFERROR(S22/($AI21*24),"-"))</f>
        <v>6.6166666666666665E-2</v>
      </c>
      <c r="BA21" s="68">
        <f>IF(OR(T20="",T20="Sem monitoramento"),"VAZIO",IFERROR(T20/($AI21*24),"-"))</f>
        <v>0.22083333333333333</v>
      </c>
      <c r="BB21" s="68">
        <f t="shared" si="38"/>
        <v>0.15204166666666666</v>
      </c>
      <c r="BC21" s="68">
        <f>IF(OR(V21="",V21="Sem monitoramento"),"VAZIO",IFERROR(V21/($AI21*24),"-"))</f>
        <v>9.2249999999999999E-2</v>
      </c>
      <c r="BD21" s="68">
        <f t="shared" si="31"/>
        <v>0.15391666666666665</v>
      </c>
      <c r="BE21" s="68">
        <f>IF(OR(X23="",X23="Sem monitoramento"),"VAZIO",IFERROR(X23/($AI21*24),"-"))</f>
        <v>0.12141666666666666</v>
      </c>
      <c r="BF21" s="68">
        <f>IF(OR(Y21="",Y21="Sem monitoramento"),"VAZIO",IFERROR(Y21/($AI21*24),"-"))</f>
        <v>0.11533333333333334</v>
      </c>
      <c r="BG21" s="68">
        <f t="shared" si="37"/>
        <v>0.16650000000000001</v>
      </c>
      <c r="BH21" s="68">
        <f t="shared" si="37"/>
        <v>7.7541666666666662E-2</v>
      </c>
      <c r="BI21" s="68">
        <f>IF(OR(AB20="",AB20="Sem monitoramento"),"VAZIO",IFERROR(AB20/($AI21*24),"-"))</f>
        <v>0.12429166666666668</v>
      </c>
      <c r="BJ21" s="68">
        <f t="shared" si="26"/>
        <v>9.2749999999999999E-2</v>
      </c>
      <c r="BK21" s="68" t="e">
        <f>IF(OR(#REF!="",#REF!="Sem monitoramento"),"VAZIO",IFERROR(#REF!/($AI21*24),"-"))</f>
        <v>#REF!</v>
      </c>
      <c r="BL21" s="68">
        <f t="shared" si="40"/>
        <v>0.16700000000000001</v>
      </c>
      <c r="BM21" s="68">
        <f t="shared" si="40"/>
        <v>7.166666666666667E-2</v>
      </c>
      <c r="BN21" s="68">
        <f t="shared" si="27"/>
        <v>0.11979166666666667</v>
      </c>
      <c r="BO21" s="70">
        <f t="shared" si="6"/>
        <v>0.12408333333333334</v>
      </c>
      <c r="BP21" s="198">
        <f t="shared" si="41"/>
        <v>0.168125</v>
      </c>
      <c r="BQ21" s="72">
        <f t="shared" si="32"/>
        <v>16.8125</v>
      </c>
      <c r="BR21" s="73">
        <f t="shared" si="33"/>
        <v>-0.14108333333333334</v>
      </c>
      <c r="BS21" s="74">
        <f t="shared" si="9"/>
        <v>-4.404166666666666E-2</v>
      </c>
      <c r="BT21" s="15" t="s">
        <v>26</v>
      </c>
      <c r="BU21" s="3"/>
      <c r="BV21" s="2"/>
      <c r="BW21" s="2"/>
    </row>
    <row r="22" spans="2:75" x14ac:dyDescent="0.3">
      <c r="B22" s="775"/>
      <c r="C22" s="326" t="s">
        <v>28</v>
      </c>
      <c r="D22" s="223">
        <v>341.5</v>
      </c>
      <c r="E22" s="283">
        <v>470.5</v>
      </c>
      <c r="F22" s="282">
        <v>127.7</v>
      </c>
      <c r="G22" s="283">
        <v>302.10000000000002</v>
      </c>
      <c r="H22" s="283">
        <v>202.6</v>
      </c>
      <c r="I22" s="283">
        <v>306.39999999999998</v>
      </c>
      <c r="J22" s="283">
        <v>505.6</v>
      </c>
      <c r="K22" s="63">
        <v>519.29999999999995</v>
      </c>
      <c r="L22" s="63">
        <v>437.7</v>
      </c>
      <c r="M22" s="63">
        <v>418.1</v>
      </c>
      <c r="N22" s="63">
        <v>456.7</v>
      </c>
      <c r="O22" s="283">
        <v>486.2</v>
      </c>
      <c r="P22" s="283">
        <v>384.5</v>
      </c>
      <c r="Q22" s="283">
        <v>437.4</v>
      </c>
      <c r="R22" s="283">
        <v>440.2</v>
      </c>
      <c r="S22" s="283">
        <v>158.80000000000001</v>
      </c>
      <c r="T22" s="63">
        <v>430</v>
      </c>
      <c r="U22" s="63">
        <v>373.4</v>
      </c>
      <c r="V22" s="283">
        <v>262.10000000000002</v>
      </c>
      <c r="W22" s="283">
        <v>422.3</v>
      </c>
      <c r="X22" s="63">
        <v>332.9</v>
      </c>
      <c r="Y22" s="519">
        <v>260.5</v>
      </c>
      <c r="Z22" s="15">
        <v>409.2</v>
      </c>
      <c r="AA22" s="18">
        <v>237.3</v>
      </c>
      <c r="AB22" s="20">
        <v>235.6</v>
      </c>
      <c r="AC22" s="15">
        <v>250.8</v>
      </c>
      <c r="AD22" s="221">
        <v>257.8</v>
      </c>
      <c r="AE22" s="15">
        <v>415.1</v>
      </c>
      <c r="AF22" s="15">
        <v>280.3</v>
      </c>
      <c r="AG22" s="15">
        <v>350.7</v>
      </c>
      <c r="AH22" s="656">
        <f t="shared" si="0"/>
        <v>10513.299999999997</v>
      </c>
      <c r="AI22" s="118">
        <v>100</v>
      </c>
      <c r="AJ22" s="121">
        <f t="shared" si="30"/>
        <v>2.9560185185185184E-3</v>
      </c>
      <c r="AK22" s="67">
        <f t="shared" si="22"/>
        <v>0.14229166666666668</v>
      </c>
      <c r="AL22" s="68">
        <f t="shared" si="18"/>
        <v>0.19604166666666667</v>
      </c>
      <c r="AM22" s="68">
        <f t="shared" si="19"/>
        <v>5.3208333333333337E-2</v>
      </c>
      <c r="AN22" s="68">
        <f t="shared" si="20"/>
        <v>0.12587500000000001</v>
      </c>
      <c r="AO22" s="68">
        <f t="shared" si="21"/>
        <v>8.4416666666666668E-2</v>
      </c>
      <c r="AP22" s="68">
        <f t="shared" si="35"/>
        <v>0.12766666666666665</v>
      </c>
      <c r="AQ22" s="68">
        <f t="shared" si="35"/>
        <v>0.21066666666666667</v>
      </c>
      <c r="AR22" s="68">
        <f t="shared" si="42"/>
        <v>0.21637499999999998</v>
      </c>
      <c r="AS22" s="68">
        <f t="shared" si="43"/>
        <v>0.18237499999999998</v>
      </c>
      <c r="AT22" s="68" t="e">
        <f>IF(OR(#REF!="",#REF!="Sem monitoramento"),"VAZIO",IFERROR(#REF!/($AI22*24),"-"))</f>
        <v>#REF!</v>
      </c>
      <c r="AU22" s="68">
        <f>IF(OR(N22="",N22="Sem monitoramento"),"VAZIO",IFERROR(N22/($AI22*24),"-"))</f>
        <v>0.19029166666666666</v>
      </c>
      <c r="AV22" s="68">
        <f t="shared" si="36"/>
        <v>0.20258333333333334</v>
      </c>
      <c r="AW22" s="68">
        <f t="shared" si="36"/>
        <v>0.16020833333333334</v>
      </c>
      <c r="AX22" s="68">
        <f t="shared" si="39"/>
        <v>0.18225</v>
      </c>
      <c r="AY22" s="68">
        <f t="shared" si="44"/>
        <v>0.18341666666666667</v>
      </c>
      <c r="AZ22" s="68">
        <f t="shared" ref="AZ22:AZ31" si="45">IF(OR(S22="",S22="Sem monitoramento"),"VAZIO",IFERROR(S22/($AI22*24),"-"))</f>
        <v>6.6166666666666665E-2</v>
      </c>
      <c r="BA22" s="68">
        <f>IF(OR(T22="",T22="Sem monitoramento"),"VAZIO",IFERROR(T22/($AI22*24),"-"))</f>
        <v>0.17916666666666667</v>
      </c>
      <c r="BB22" s="68">
        <f t="shared" si="38"/>
        <v>0.15558333333333332</v>
      </c>
      <c r="BC22" s="68">
        <f>IF(OR(V22="",V22="Sem monitoramento"),"VAZIO",IFERROR(V22/($AI22*24),"-"))</f>
        <v>0.10920833333333334</v>
      </c>
      <c r="BD22" s="68">
        <f t="shared" si="31"/>
        <v>0.17595833333333333</v>
      </c>
      <c r="BE22" s="68">
        <f>IF(OR(X22="",X22="Sem monitoramento"),"VAZIO",IFERROR(X22/($AI22*24),"-"))</f>
        <v>0.13870833333333332</v>
      </c>
      <c r="BF22" s="68">
        <f>IF(OR(Y19="",Y19="Sem monitoramento"),"VAZIO",IFERROR(Y19/($AI22*24),"-"))</f>
        <v>0.10766666666666666</v>
      </c>
      <c r="BG22" s="68">
        <f t="shared" si="37"/>
        <v>0.17049999999999998</v>
      </c>
      <c r="BH22" s="68">
        <f t="shared" si="37"/>
        <v>9.8875000000000005E-2</v>
      </c>
      <c r="BI22" s="68">
        <f>IF(OR(AB21="",AB21="Sem monitoramento"),"VAZIO",IFERROR(AB21/($AI22*24),"-"))</f>
        <v>0.10416666666666667</v>
      </c>
      <c r="BJ22" s="68">
        <f t="shared" si="26"/>
        <v>0.10450000000000001</v>
      </c>
      <c r="BK22" s="68">
        <f>IF(OR(AD22="",AD22="Sem monitoramento"),"VAZIO",IFERROR(AD22/($AI22*24),"-"))</f>
        <v>0.10741666666666667</v>
      </c>
      <c r="BL22" s="68">
        <f t="shared" si="40"/>
        <v>0.17295833333333335</v>
      </c>
      <c r="BM22" s="68">
        <f t="shared" si="40"/>
        <v>0.11679166666666667</v>
      </c>
      <c r="BN22" s="68">
        <f>IF(OR(AG23="",AG23="Sem monitoramento"),"VAZIO",IFERROR(AG23/($AI22*24),"-"))</f>
        <v>0.13054166666666667</v>
      </c>
      <c r="BO22" s="70">
        <f t="shared" si="6"/>
        <v>0.14601805555555553</v>
      </c>
      <c r="BP22" s="198">
        <f t="shared" si="41"/>
        <v>0.168125</v>
      </c>
      <c r="BQ22" s="72">
        <f t="shared" si="32"/>
        <v>16.8125</v>
      </c>
      <c r="BR22" s="73">
        <f t="shared" si="33"/>
        <v>-0.11491666666666667</v>
      </c>
      <c r="BS22" s="74">
        <f t="shared" si="9"/>
        <v>-2.2106944444444471E-2</v>
      </c>
      <c r="BT22" s="15" t="s">
        <v>27</v>
      </c>
      <c r="BU22" s="3"/>
      <c r="BV22" s="2"/>
      <c r="BW22" s="2"/>
    </row>
    <row r="23" spans="2:75" x14ac:dyDescent="0.3">
      <c r="B23" s="775"/>
      <c r="C23" s="326" t="s">
        <v>29</v>
      </c>
      <c r="D23" s="223">
        <v>309.8</v>
      </c>
      <c r="E23" s="63">
        <v>415</v>
      </c>
      <c r="F23" s="282">
        <v>112.6</v>
      </c>
      <c r="G23" s="63">
        <v>270</v>
      </c>
      <c r="H23" s="283">
        <v>173.8</v>
      </c>
      <c r="I23" s="63">
        <v>270.39999999999998</v>
      </c>
      <c r="J23" s="63">
        <v>448.8</v>
      </c>
      <c r="K23" s="63">
        <v>458.3</v>
      </c>
      <c r="L23" s="63">
        <v>390.4</v>
      </c>
      <c r="M23" s="316">
        <v>369.8</v>
      </c>
      <c r="N23" s="519">
        <v>405.5</v>
      </c>
      <c r="O23" s="519">
        <v>427.4</v>
      </c>
      <c r="P23" s="283">
        <v>336.4</v>
      </c>
      <c r="Q23" s="283">
        <v>383</v>
      </c>
      <c r="R23" s="63">
        <v>397.7</v>
      </c>
      <c r="S23" s="63">
        <v>135.6</v>
      </c>
      <c r="T23" s="316">
        <v>346.8</v>
      </c>
      <c r="U23" s="63">
        <v>326.10000000000002</v>
      </c>
      <c r="V23" s="283">
        <v>222.9</v>
      </c>
      <c r="W23" s="283">
        <v>371.6</v>
      </c>
      <c r="X23" s="63">
        <v>291.39999999999998</v>
      </c>
      <c r="Y23" s="63">
        <v>228.3</v>
      </c>
      <c r="Z23" s="15">
        <v>359.1</v>
      </c>
      <c r="AA23" s="18">
        <v>204.7</v>
      </c>
      <c r="AB23" s="20">
        <v>202.8</v>
      </c>
      <c r="AC23" s="15">
        <v>215</v>
      </c>
      <c r="AD23" s="519">
        <v>221.4</v>
      </c>
      <c r="AE23" s="15">
        <v>359.4</v>
      </c>
      <c r="AF23" s="15">
        <v>244.5</v>
      </c>
      <c r="AG23" s="15">
        <v>313.3</v>
      </c>
      <c r="AH23" s="656">
        <f t="shared" si="0"/>
        <v>9211.7999999999993</v>
      </c>
      <c r="AI23" s="118">
        <v>100</v>
      </c>
      <c r="AJ23" s="121">
        <f t="shared" si="30"/>
        <v>2.6064814814814813E-3</v>
      </c>
      <c r="AK23" s="67">
        <f t="shared" si="22"/>
        <v>0.12908333333333333</v>
      </c>
      <c r="AL23" s="68">
        <f t="shared" si="18"/>
        <v>0.17291666666666666</v>
      </c>
      <c r="AM23" s="68">
        <f t="shared" si="19"/>
        <v>4.6916666666666662E-2</v>
      </c>
      <c r="AN23" s="68">
        <f t="shared" si="20"/>
        <v>0.1125</v>
      </c>
      <c r="AO23" s="68">
        <f t="shared" si="21"/>
        <v>7.2416666666666671E-2</v>
      </c>
      <c r="AP23" s="68">
        <f t="shared" si="35"/>
        <v>0.11266666666666665</v>
      </c>
      <c r="AQ23" s="68">
        <f t="shared" si="35"/>
        <v>0.187</v>
      </c>
      <c r="AR23" s="68">
        <f t="shared" si="42"/>
        <v>0.19095833333333334</v>
      </c>
      <c r="AS23" s="68">
        <f t="shared" si="43"/>
        <v>0.16266666666666665</v>
      </c>
      <c r="AT23" s="68">
        <f>IF(OR(M22="",M22="Sem monitoramento"),"VAZIO",IFERROR(M22/($AI23*24),"-"))</f>
        <v>0.17420833333333335</v>
      </c>
      <c r="AU23" s="68">
        <f>IF(OR(N24="",N24="Sem monitoramento"),"VAZIO",IFERROR(N24/($AI23*24),"-"))</f>
        <v>0.666875</v>
      </c>
      <c r="AV23" s="68">
        <f>IF(OR(O20="",O20="Sem monitoramento"),"VAZIO",IFERROR(O20/($AI23*24),"-"))</f>
        <v>0.20995833333333333</v>
      </c>
      <c r="AW23" s="68">
        <f t="shared" ref="AW23:AW31" si="46">IF(OR(P23="",P23="Sem monitoramento"),"VAZIO",IFERROR(P23/($AI23*24),"-"))</f>
        <v>0.14016666666666666</v>
      </c>
      <c r="AX23" s="68">
        <f t="shared" si="39"/>
        <v>0.15958333333333333</v>
      </c>
      <c r="AY23" s="68">
        <f t="shared" si="44"/>
        <v>0.16570833333333332</v>
      </c>
      <c r="AZ23" s="68">
        <f t="shared" si="45"/>
        <v>5.6499999999999995E-2</v>
      </c>
      <c r="BA23" s="68" t="e">
        <f>IF(OR(#REF!="",#REF!="Sem monitoramento"),"VAZIO",IFERROR(#REF!/($AI23*24),"-"))</f>
        <v>#REF!</v>
      </c>
      <c r="BB23" s="68">
        <f t="shared" si="38"/>
        <v>0.135875</v>
      </c>
      <c r="BC23" s="68">
        <f>IF(OR(V23="",V23="Sem monitoramento"),"VAZIO",IFERROR(V23/($AI23*24),"-"))</f>
        <v>9.2874999999999999E-2</v>
      </c>
      <c r="BD23" s="68" t="e">
        <f>IF(OR(#REF!="",#REF!="Sem monitoramento"),"VAZIO",IFERROR(#REF!/($AI23*24),"-"))</f>
        <v>#REF!</v>
      </c>
      <c r="BE23" s="68">
        <f>IF(OR(X23="",X23="Sem monitoramento"),"VAZIO",IFERROR(X23/($AI23*24),"-"))</f>
        <v>0.12141666666666666</v>
      </c>
      <c r="BF23" s="68">
        <f t="shared" ref="BF23:BF31" si="47">IF(OR(Y23="",Y23="Sem monitoramento"),"VAZIO",IFERROR(Y23/($AI23*24),"-"))</f>
        <v>9.5125000000000001E-2</v>
      </c>
      <c r="BG23" s="68">
        <f t="shared" si="37"/>
        <v>0.14962500000000001</v>
      </c>
      <c r="BH23" s="68">
        <f t="shared" si="37"/>
        <v>8.5291666666666668E-2</v>
      </c>
      <c r="BI23" s="68">
        <f t="shared" ref="BI23:BI31" si="48">IF(OR(AB23="",AB23="Sem monitoramento"),"VAZIO",IFERROR(AB23/($AI23*24),"-"))</f>
        <v>8.4500000000000006E-2</v>
      </c>
      <c r="BJ23" s="68">
        <f t="shared" si="26"/>
        <v>8.9583333333333334E-2</v>
      </c>
      <c r="BK23" s="68">
        <f>IF(OR(AD24="",AD24="Sem monitoramento"),"VAZIO",IFERROR(AD24/($AI23*24),"-"))</f>
        <v>0.37304166666666666</v>
      </c>
      <c r="BL23" s="68">
        <f t="shared" si="40"/>
        <v>0.14974999999999999</v>
      </c>
      <c r="BM23" s="68">
        <f t="shared" si="40"/>
        <v>0.10187499999999999</v>
      </c>
      <c r="BN23" s="68" t="e">
        <f>IF(OR(#REF!="",#REF!="Sem monitoramento"),"VAZIO",IFERROR(#REF!/($AI23*24),"-"))</f>
        <v>#REF!</v>
      </c>
      <c r="BO23" s="70">
        <f t="shared" si="6"/>
        <v>0.12794166666666665</v>
      </c>
      <c r="BP23" s="198">
        <f t="shared" si="41"/>
        <v>0.168125</v>
      </c>
      <c r="BQ23" s="72">
        <f t="shared" si="32"/>
        <v>16.8125</v>
      </c>
      <c r="BR23" s="73">
        <f t="shared" si="33"/>
        <v>-0.12120833333333333</v>
      </c>
      <c r="BS23" s="74">
        <f t="shared" si="9"/>
        <v>-4.0183333333333349E-2</v>
      </c>
      <c r="BT23" s="15" t="s">
        <v>28</v>
      </c>
      <c r="BU23" s="3"/>
      <c r="BV23" s="2"/>
      <c r="BW23" s="2"/>
    </row>
    <row r="24" spans="2:75" x14ac:dyDescent="0.3">
      <c r="B24" s="775"/>
      <c r="C24" s="326" t="s">
        <v>30</v>
      </c>
      <c r="D24" s="223">
        <v>1199</v>
      </c>
      <c r="E24" s="63">
        <v>1621.2</v>
      </c>
      <c r="F24" s="282">
        <v>448.4</v>
      </c>
      <c r="G24" s="63">
        <v>1040</v>
      </c>
      <c r="H24" s="283">
        <v>699.4</v>
      </c>
      <c r="I24" s="63">
        <v>1077</v>
      </c>
      <c r="J24" s="316">
        <v>1803.8</v>
      </c>
      <c r="K24" s="63">
        <v>1796.9</v>
      </c>
      <c r="L24" s="63">
        <v>1533</v>
      </c>
      <c r="M24" s="63">
        <v>1449</v>
      </c>
      <c r="N24" s="63">
        <f>584.7+422.1+593.7</f>
        <v>1600.5</v>
      </c>
      <c r="O24" s="283">
        <v>1679</v>
      </c>
      <c r="P24" s="283">
        <v>1330</v>
      </c>
      <c r="Q24" s="283">
        <v>1520.2</v>
      </c>
      <c r="R24" s="63">
        <v>1570</v>
      </c>
      <c r="S24" s="63">
        <v>543.20000000000005</v>
      </c>
      <c r="T24" s="63">
        <v>1519</v>
      </c>
      <c r="U24" s="63">
        <f>489.4+334.1+479.3</f>
        <v>1302.8</v>
      </c>
      <c r="V24" s="283">
        <v>898</v>
      </c>
      <c r="W24" s="316">
        <v>1490</v>
      </c>
      <c r="X24" s="316">
        <v>1172.8</v>
      </c>
      <c r="Y24" s="63">
        <v>912.6</v>
      </c>
      <c r="Z24" s="15">
        <v>1439</v>
      </c>
      <c r="AA24" s="18">
        <v>822.5</v>
      </c>
      <c r="AB24" s="323">
        <v>815.3</v>
      </c>
      <c r="AC24" s="221">
        <v>868.5</v>
      </c>
      <c r="AD24" s="15">
        <v>895.3</v>
      </c>
      <c r="AE24" s="15">
        <v>1456.7</v>
      </c>
      <c r="AF24" s="15">
        <v>988.9</v>
      </c>
      <c r="AG24" s="15">
        <v>1279</v>
      </c>
      <c r="AH24" s="656">
        <f t="shared" si="0"/>
        <v>36771</v>
      </c>
      <c r="AI24" s="118">
        <v>383</v>
      </c>
      <c r="AJ24" s="121">
        <f t="shared" si="30"/>
        <v>2.7100860651774489E-3</v>
      </c>
      <c r="AK24" s="67">
        <f t="shared" si="22"/>
        <v>0.13043951261966927</v>
      </c>
      <c r="AL24" s="68">
        <f t="shared" si="18"/>
        <v>0.17637075718015666</v>
      </c>
      <c r="AM24" s="68">
        <f t="shared" si="19"/>
        <v>4.8781549173194078E-2</v>
      </c>
      <c r="AN24" s="68">
        <f t="shared" si="20"/>
        <v>0.11314186248912098</v>
      </c>
      <c r="AO24" s="68">
        <f t="shared" si="21"/>
        <v>7.6087902523933854E-2</v>
      </c>
      <c r="AP24" s="68">
        <f t="shared" ref="AP24:AP31" si="49">IF(OR(I24="",I24="Sem monitoramento"),"VAZIO",IFERROR(I24/($AI24*24),"-"))</f>
        <v>0.11716710182767624</v>
      </c>
      <c r="AQ24" s="68">
        <f>IF(OR(J29="",J29="Sem monitoramento"),"VAZIO",IFERROR(J29/($AI24*24),"-"))</f>
        <v>3.2343342036553528E-2</v>
      </c>
      <c r="AR24" s="68">
        <f t="shared" si="42"/>
        <v>0.1954852045256745</v>
      </c>
      <c r="AS24" s="68">
        <f t="shared" si="43"/>
        <v>0.16677545691906004</v>
      </c>
      <c r="AT24" s="68">
        <f t="shared" ref="AT24:AT31" si="50">IF(OR(M24="",M24="Sem monitoramento"),"VAZIO",IFERROR(M24/($AI24*24),"-"))</f>
        <v>0.15763707571801566</v>
      </c>
      <c r="AU24" s="68" t="e">
        <f>IF(OR(#REF!="",#REF!="Sem monitoramento"),"VAZIO",IFERROR(#REF!/($AI24*24),"-"))</f>
        <v>#REF!</v>
      </c>
      <c r="AV24" s="68">
        <f t="shared" ref="AV24:AV31" si="51">IF(OR(O24="",O24="Sem monitoramento"),"VAZIO",IFERROR(O24/($AI24*24),"-"))</f>
        <v>0.18265883376849434</v>
      </c>
      <c r="AW24" s="68">
        <f t="shared" si="46"/>
        <v>0.1446910356832028</v>
      </c>
      <c r="AX24" s="68">
        <f t="shared" si="39"/>
        <v>0.16538294168842471</v>
      </c>
      <c r="AY24" s="68">
        <f t="shared" si="44"/>
        <v>0.17080069625761532</v>
      </c>
      <c r="AZ24" s="68">
        <f t="shared" si="45"/>
        <v>5.9094865100087039E-2</v>
      </c>
      <c r="BA24" s="68">
        <f>IF(OR(T24="",T24="Sem monitoramento"),"VAZIO",IFERROR(T24/($AI24*24),"-"))</f>
        <v>0.16525239338555264</v>
      </c>
      <c r="BB24" s="68">
        <f t="shared" si="38"/>
        <v>0.1417319408181027</v>
      </c>
      <c r="BC24" s="68" t="e">
        <f>IF(OR(#REF!="",#REF!="Sem monitoramento"),"VAZIO",IFERROR(#REF!/($AI24*24),"-"))</f>
        <v>#REF!</v>
      </c>
      <c r="BD24" s="68" t="e">
        <f>IF(OR(#REF!="",#REF!="Sem monitoramento"),"VAZIO",IFERROR(#REF!/($AI24*24),"-"))</f>
        <v>#REF!</v>
      </c>
      <c r="BE24" s="68" t="e">
        <f>IF(OR(#REF!="",#REF!="Sem monitoramento"),"VAZIO",IFERROR(#REF!/($AI24*24),"-"))</f>
        <v>#REF!</v>
      </c>
      <c r="BF24" s="68">
        <f t="shared" si="47"/>
        <v>9.9281984334203655E-2</v>
      </c>
      <c r="BG24" s="68">
        <f t="shared" si="37"/>
        <v>0.15654917319408182</v>
      </c>
      <c r="BH24" s="68">
        <f t="shared" si="37"/>
        <v>8.9479982593559618E-2</v>
      </c>
      <c r="BI24" s="68">
        <f t="shared" si="48"/>
        <v>8.8696692776327232E-2</v>
      </c>
      <c r="BJ24" s="68">
        <f t="shared" si="26"/>
        <v>9.4484334203655346E-2</v>
      </c>
      <c r="BK24" s="68" t="e">
        <f>IF(OR(#REF!="",#REF!="Sem monitoramento"),"VAZIO",IFERROR(#REF!/($AI24*24),"-"))</f>
        <v>#REF!</v>
      </c>
      <c r="BL24" s="68">
        <f t="shared" si="40"/>
        <v>0.15847476066144475</v>
      </c>
      <c r="BM24" s="68">
        <f t="shared" si="40"/>
        <v>0.10758268059181897</v>
      </c>
      <c r="BN24" s="68">
        <f>IF(OR(AG24="",AG24="Sem monitoramento"),"VAZIO",IFERROR(AG24/($AI24*24),"-"))</f>
        <v>0.13914273281114012</v>
      </c>
      <c r="BO24" s="70">
        <f t="shared" si="6"/>
        <v>0.13334421235857266</v>
      </c>
      <c r="BP24" s="198">
        <f t="shared" si="41"/>
        <v>0.168125</v>
      </c>
      <c r="BQ24" s="72">
        <f>AI24*BP24</f>
        <v>64.391874999999999</v>
      </c>
      <c r="BR24" s="73">
        <f t="shared" si="33"/>
        <v>-0.11934345082680592</v>
      </c>
      <c r="BS24" s="74">
        <f t="shared" si="9"/>
        <v>-3.4780787641427335E-2</v>
      </c>
      <c r="BT24" s="15" t="s">
        <v>29</v>
      </c>
      <c r="BU24" s="3"/>
      <c r="BV24" s="2"/>
      <c r="BW24" s="2"/>
    </row>
    <row r="25" spans="2:75" x14ac:dyDescent="0.3">
      <c r="B25" s="775"/>
      <c r="C25" s="326" t="s">
        <v>111</v>
      </c>
      <c r="D25" s="223">
        <v>413.8</v>
      </c>
      <c r="E25" s="63">
        <v>520.1</v>
      </c>
      <c r="F25" s="63">
        <v>345.6</v>
      </c>
      <c r="G25" s="63">
        <v>290.10000000000002</v>
      </c>
      <c r="H25" s="63">
        <v>196</v>
      </c>
      <c r="I25" s="63">
        <v>258.10000000000002</v>
      </c>
      <c r="J25" s="63">
        <v>331.1</v>
      </c>
      <c r="K25" s="63">
        <v>538.79999999999995</v>
      </c>
      <c r="L25" s="63">
        <v>505.7</v>
      </c>
      <c r="M25" s="63">
        <v>259.10000000000002</v>
      </c>
      <c r="N25" s="63">
        <v>393.3</v>
      </c>
      <c r="O25" s="63">
        <v>466.8</v>
      </c>
      <c r="P25" s="63">
        <v>457.1</v>
      </c>
      <c r="Q25" s="283">
        <v>272.5</v>
      </c>
      <c r="R25" s="63">
        <v>396.1</v>
      </c>
      <c r="S25" s="63">
        <v>149.19999999999999</v>
      </c>
      <c r="T25" s="316">
        <v>368.6</v>
      </c>
      <c r="U25" s="316">
        <v>398</v>
      </c>
      <c r="V25" s="283">
        <v>364.4</v>
      </c>
      <c r="W25" s="283">
        <v>358.3</v>
      </c>
      <c r="X25" s="63">
        <v>206.6</v>
      </c>
      <c r="Y25" s="63">
        <v>181.9</v>
      </c>
      <c r="Z25" s="148">
        <v>303.7</v>
      </c>
      <c r="AA25" s="18">
        <v>326.39999999999998</v>
      </c>
      <c r="AB25" s="20">
        <v>141.9</v>
      </c>
      <c r="AC25" s="15">
        <v>353.6</v>
      </c>
      <c r="AD25" s="15">
        <v>395.9</v>
      </c>
      <c r="AE25" s="15">
        <v>260.89999999999998</v>
      </c>
      <c r="AF25" s="15">
        <v>163.4</v>
      </c>
      <c r="AG25" s="15">
        <v>466.2</v>
      </c>
      <c r="AH25" s="656">
        <f t="shared" si="0"/>
        <v>10083.199999999999</v>
      </c>
      <c r="AI25" s="118">
        <v>100</v>
      </c>
      <c r="AJ25" s="121">
        <f t="shared" si="30"/>
        <v>8.0000000000000002E-3</v>
      </c>
      <c r="AK25" s="67">
        <f t="shared" si="22"/>
        <v>0.17241666666666666</v>
      </c>
      <c r="AL25" s="68">
        <f t="shared" si="18"/>
        <v>0.21670833333333334</v>
      </c>
      <c r="AM25" s="68">
        <f t="shared" si="19"/>
        <v>0.14400000000000002</v>
      </c>
      <c r="AN25" s="68">
        <f t="shared" si="20"/>
        <v>0.12087500000000001</v>
      </c>
      <c r="AO25" s="68">
        <f t="shared" si="21"/>
        <v>8.1666666666666665E-2</v>
      </c>
      <c r="AP25" s="68">
        <f t="shared" si="49"/>
        <v>0.10754166666666667</v>
      </c>
      <c r="AQ25" s="68">
        <f>IF(OR(J25="",J25="Sem monitoramento"),"VAZIO",IFERROR(J25/($AI25*24),"-"))</f>
        <v>0.13795833333333335</v>
      </c>
      <c r="AR25" s="68">
        <f t="shared" si="42"/>
        <v>0.22449999999999998</v>
      </c>
      <c r="AS25" s="68">
        <f t="shared" si="43"/>
        <v>0.21070833333333333</v>
      </c>
      <c r="AT25" s="68">
        <f t="shared" si="50"/>
        <v>0.10795833333333334</v>
      </c>
      <c r="AU25" s="68" t="e">
        <f>IF(OR(#REF!="",#REF!="Sem monitoramento"),"VAZIO",IFERROR(#REF!/($AI25*24),"-"))</f>
        <v>#REF!</v>
      </c>
      <c r="AV25" s="68">
        <f t="shared" si="51"/>
        <v>0.19450000000000001</v>
      </c>
      <c r="AW25" s="68">
        <f t="shared" si="46"/>
        <v>0.19045833333333334</v>
      </c>
      <c r="AX25" s="68">
        <f t="shared" si="39"/>
        <v>0.11354166666666667</v>
      </c>
      <c r="AY25" s="68">
        <f t="shared" si="44"/>
        <v>0.16504166666666667</v>
      </c>
      <c r="AZ25" s="68">
        <f t="shared" si="45"/>
        <v>6.2166666666666662E-2</v>
      </c>
      <c r="BA25" s="68">
        <f>IF(OR(T26="",T26="Sem monitoramento"),"VAZIO",IFERROR(T26/($AI25*24),"-"))</f>
        <v>0.18025000000000002</v>
      </c>
      <c r="BB25" s="68">
        <f>IF(OR(U26="",U26="Sem monitoramento"),"VAZIO",IFERROR(U26/($AI25*24),"-"))</f>
        <v>0.14191666666666666</v>
      </c>
      <c r="BC25" s="68">
        <f t="shared" ref="BC25:BC31" si="52">IF(OR(V25="",V25="Sem monitoramento"),"VAZIO",IFERROR(V25/($AI25*24),"-"))</f>
        <v>0.15183333333333332</v>
      </c>
      <c r="BD25" s="68" t="e">
        <f>IF(OR(#REF!="",#REF!="Sem monitoramento"),"VAZIO",IFERROR(#REF!/($AI25*24),"-"))</f>
        <v>#REF!</v>
      </c>
      <c r="BE25" s="68">
        <f>IF(OR(X25="",X25="Sem monitoramento"),"VAZIO",IFERROR(X25/($AI25*24),"-"))</f>
        <v>8.6083333333333331E-2</v>
      </c>
      <c r="BF25" s="68">
        <f t="shared" si="47"/>
        <v>7.5791666666666674E-2</v>
      </c>
      <c r="BG25" s="68">
        <f>IF(OR(Z26="",Z26="Sem monitoramento"),"VAZIO",IFERROR(Z26/($AI25*24),"-"))</f>
        <v>0.17341666666666666</v>
      </c>
      <c r="BH25" s="68">
        <f>IF(OR(AA25="",AA25="Sem monitoramento"),"VAZIO",IFERROR(AA25/($AI25*24),"-"))</f>
        <v>0.13599999999999998</v>
      </c>
      <c r="BI25" s="68">
        <f t="shared" si="48"/>
        <v>5.9125000000000004E-2</v>
      </c>
      <c r="BJ25" s="68">
        <f t="shared" si="26"/>
        <v>0.14733333333333334</v>
      </c>
      <c r="BK25" s="68">
        <f t="shared" ref="BK25:BK31" si="53">IF(OR(AD25="",AD25="Sem monitoramento"),"VAZIO",IFERROR(AD25/($AI25*24),"-"))</f>
        <v>0.16495833333333332</v>
      </c>
      <c r="BL25" s="68">
        <f t="shared" si="40"/>
        <v>0.10870833333333332</v>
      </c>
      <c r="BM25" s="68">
        <f t="shared" si="40"/>
        <v>6.8083333333333329E-2</v>
      </c>
      <c r="BN25" s="68">
        <f>IF(OR(AG25="",AG25="Sem monitoramento"),"VAZIO",IFERROR(AG25/($AI25*24),"-"))</f>
        <v>0.19425000000000001</v>
      </c>
      <c r="BO25" s="70">
        <f t="shared" si="6"/>
        <v>0.14004444444444442</v>
      </c>
      <c r="BP25" s="198">
        <f t="shared" si="41"/>
        <v>0.168125</v>
      </c>
      <c r="BQ25" s="72">
        <f t="shared" si="32"/>
        <v>16.8125</v>
      </c>
      <c r="BR25" s="73">
        <f t="shared" si="33"/>
        <v>-2.412499999999998E-2</v>
      </c>
      <c r="BS25" s="74">
        <f t="shared" si="9"/>
        <v>-2.8080555555555581E-2</v>
      </c>
      <c r="BT25" s="15" t="s">
        <v>30</v>
      </c>
      <c r="BU25" s="3"/>
      <c r="BV25" s="2"/>
      <c r="BW25" s="2"/>
    </row>
    <row r="26" spans="2:75" x14ac:dyDescent="0.3">
      <c r="B26" s="775"/>
      <c r="C26" s="326" t="s">
        <v>32</v>
      </c>
      <c r="D26" s="62">
        <v>442</v>
      </c>
      <c r="E26" s="355">
        <v>476.1</v>
      </c>
      <c r="F26" s="63">
        <v>157</v>
      </c>
      <c r="G26" s="63">
        <v>300.5</v>
      </c>
      <c r="H26" s="63">
        <v>129.6</v>
      </c>
      <c r="I26" s="283">
        <v>278.89999999999998</v>
      </c>
      <c r="J26" s="63">
        <v>380.1</v>
      </c>
      <c r="K26" s="63">
        <v>520.6</v>
      </c>
      <c r="L26" s="63">
        <v>445.3</v>
      </c>
      <c r="M26" s="283">
        <v>361.3</v>
      </c>
      <c r="N26" s="519">
        <v>397.5</v>
      </c>
      <c r="O26" s="63">
        <v>462.8</v>
      </c>
      <c r="P26" s="63">
        <v>357.9</v>
      </c>
      <c r="Q26" s="283">
        <v>361.2</v>
      </c>
      <c r="R26" s="283">
        <v>367.4</v>
      </c>
      <c r="S26" s="63">
        <v>166.5</v>
      </c>
      <c r="T26" s="63">
        <v>432.6</v>
      </c>
      <c r="U26" s="63">
        <v>340.6</v>
      </c>
      <c r="V26" s="283">
        <v>340.6</v>
      </c>
      <c r="W26" s="282">
        <v>95.9</v>
      </c>
      <c r="X26" s="63">
        <v>273.10000000000002</v>
      </c>
      <c r="Y26" s="63">
        <v>215.8</v>
      </c>
      <c r="Z26" s="221">
        <v>416.2</v>
      </c>
      <c r="AA26" s="320">
        <v>287.89999999999998</v>
      </c>
      <c r="AB26" s="323">
        <v>214.8</v>
      </c>
      <c r="AC26" s="15">
        <v>325.60000000000002</v>
      </c>
      <c r="AD26" s="221">
        <v>346</v>
      </c>
      <c r="AE26" s="15">
        <v>386.3</v>
      </c>
      <c r="AF26" s="283">
        <v>251.3</v>
      </c>
      <c r="AG26" s="283">
        <v>245.4</v>
      </c>
      <c r="AH26" s="656">
        <f t="shared" si="0"/>
        <v>9776.7999999999975</v>
      </c>
      <c r="AI26" s="118">
        <v>100</v>
      </c>
      <c r="AJ26" s="121">
        <f t="shared" si="30"/>
        <v>3.6342592592592594E-3</v>
      </c>
      <c r="AK26" s="67">
        <f t="shared" si="22"/>
        <v>0.18416666666666667</v>
      </c>
      <c r="AL26" s="68">
        <f t="shared" ref="AL26:AN27" si="54">IF(OR(E26="",E26="Sem monitoramento"),"VAZIO",IFERROR(E26/($AI26*24),"-"))</f>
        <v>0.198375</v>
      </c>
      <c r="AM26" s="68">
        <f t="shared" si="54"/>
        <v>6.5416666666666665E-2</v>
      </c>
      <c r="AN26" s="68">
        <f t="shared" si="54"/>
        <v>0.12520833333333334</v>
      </c>
      <c r="AO26" s="68" t="e">
        <f>IF(OR(#REF!="",#REF!="Sem monitoramento"),"VAZIO",IFERROR(#REF!/($AI26*24),"-"))</f>
        <v>#REF!</v>
      </c>
      <c r="AP26" s="68">
        <f t="shared" si="49"/>
        <v>0.11620833333333333</v>
      </c>
      <c r="AQ26" s="68">
        <f>IF(OR(J26="",J26="Sem monitoramento"),"VAZIO",IFERROR(J26/($AI26*24),"-"))</f>
        <v>0.15837500000000002</v>
      </c>
      <c r="AR26" s="68">
        <f t="shared" si="42"/>
        <v>0.21691666666666667</v>
      </c>
      <c r="AS26" s="68">
        <f t="shared" si="43"/>
        <v>0.18554166666666666</v>
      </c>
      <c r="AT26" s="68">
        <f t="shared" si="50"/>
        <v>0.15054166666666668</v>
      </c>
      <c r="AU26" s="68">
        <f>IF(OR(N25="",N25="Sem monitoramento"),"VAZIO",IFERROR(N25/($AI26*24),"-"))</f>
        <v>0.16387499999999999</v>
      </c>
      <c r="AV26" s="68">
        <f t="shared" si="51"/>
        <v>0.19283333333333333</v>
      </c>
      <c r="AW26" s="68">
        <f t="shared" si="46"/>
        <v>0.14912499999999998</v>
      </c>
      <c r="AX26" s="68">
        <f t="shared" si="39"/>
        <v>0.15049999999999999</v>
      </c>
      <c r="AY26" s="68">
        <f t="shared" si="44"/>
        <v>0.15308333333333332</v>
      </c>
      <c r="AZ26" s="68">
        <f t="shared" si="45"/>
        <v>6.9375000000000006E-2</v>
      </c>
      <c r="BA26" s="68" t="e">
        <f>IF(OR(#REF!="",#REF!="Sem monitoramento"),"VAZIO",IFERROR(#REF!/($AI26*24),"-"))</f>
        <v>#REF!</v>
      </c>
      <c r="BB26" s="68" t="e">
        <f>IF(OR(#REF!="",#REF!="Sem monitoramento"),"VAZIO",IFERROR(#REF!/($AI26*24),"-"))</f>
        <v>#REF!</v>
      </c>
      <c r="BC26" s="68">
        <f t="shared" si="52"/>
        <v>0.14191666666666666</v>
      </c>
      <c r="BD26" s="68">
        <f>IF(OR(W25="",W25="Sem monitoramento"),"VAZIO",IFERROR(W25/($AI26*24),"-"))</f>
        <v>0.14929166666666668</v>
      </c>
      <c r="BE26" s="68">
        <f>IF(OR(X26="",X26="Sem monitoramento"),"VAZIO",IFERROR(X26/($AI26*24),"-"))</f>
        <v>0.11379166666666668</v>
      </c>
      <c r="BF26" s="68">
        <f t="shared" si="47"/>
        <v>8.9916666666666673E-2</v>
      </c>
      <c r="BG26" s="68" t="e">
        <f>IF(OR(#REF!="",#REF!="Sem monitoramento"),"VAZIO",IFERROR(#REF!/($AI26*24),"-"))</f>
        <v>#REF!</v>
      </c>
      <c r="BH26" s="68">
        <f>IF(OR(AA26="",AA26="Sem monitoramento"),"VAZIO",IFERROR(AA26/($AI26*24),"-"))</f>
        <v>0.11995833333333332</v>
      </c>
      <c r="BI26" s="68">
        <f t="shared" si="48"/>
        <v>8.950000000000001E-2</v>
      </c>
      <c r="BJ26" s="68">
        <f t="shared" si="26"/>
        <v>0.13566666666666669</v>
      </c>
      <c r="BK26" s="68">
        <f t="shared" si="53"/>
        <v>0.14416666666666667</v>
      </c>
      <c r="BL26" s="68">
        <f t="shared" si="40"/>
        <v>0.16095833333333334</v>
      </c>
      <c r="BM26" s="68">
        <f t="shared" si="40"/>
        <v>0.10470833333333333</v>
      </c>
      <c r="BN26" s="68">
        <f>IF(OR(AG26="",AG26="Sem monitoramento"),"VAZIO",IFERROR(AG26/($AI26*24),"-"))</f>
        <v>0.10225000000000001</v>
      </c>
      <c r="BO26" s="70">
        <f t="shared" si="6"/>
        <v>0.13578888888888885</v>
      </c>
      <c r="BP26" s="198">
        <f t="shared" si="41"/>
        <v>0.168125</v>
      </c>
      <c r="BQ26" s="72">
        <f t="shared" si="32"/>
        <v>16.8125</v>
      </c>
      <c r="BR26" s="73">
        <f t="shared" si="33"/>
        <v>-0.10270833333333333</v>
      </c>
      <c r="BS26" s="74">
        <f t="shared" si="9"/>
        <v>-3.2336111111111149E-2</v>
      </c>
      <c r="BT26" s="15" t="s">
        <v>111</v>
      </c>
      <c r="BU26" s="3"/>
      <c r="BV26" s="2"/>
      <c r="BW26" s="2"/>
    </row>
    <row r="27" spans="2:75" x14ac:dyDescent="0.3">
      <c r="B27" s="775"/>
      <c r="C27" s="326" t="s">
        <v>288</v>
      </c>
      <c r="D27" s="223">
        <v>340.1</v>
      </c>
      <c r="E27" s="63">
        <v>450.6</v>
      </c>
      <c r="F27" s="63">
        <v>314.60000000000002</v>
      </c>
      <c r="G27" s="308">
        <v>213.3</v>
      </c>
      <c r="H27" s="282">
        <v>75.3</v>
      </c>
      <c r="I27" s="592">
        <v>1.6</v>
      </c>
      <c r="J27" s="283">
        <v>365.3</v>
      </c>
      <c r="K27" s="283">
        <v>475</v>
      </c>
      <c r="L27" s="283">
        <v>395.1</v>
      </c>
      <c r="M27" s="283">
        <v>250.9</v>
      </c>
      <c r="N27" s="283">
        <v>392.6</v>
      </c>
      <c r="O27" s="283">
        <v>374.1</v>
      </c>
      <c r="P27" s="63">
        <v>376.6</v>
      </c>
      <c r="Q27" s="283">
        <v>317.7</v>
      </c>
      <c r="R27" s="283">
        <v>276.60000000000002</v>
      </c>
      <c r="S27" s="63">
        <v>108.6</v>
      </c>
      <c r="T27" s="283">
        <v>346</v>
      </c>
      <c r="U27" s="283">
        <v>61.2</v>
      </c>
      <c r="V27" s="283">
        <v>326.7</v>
      </c>
      <c r="W27" s="283">
        <v>275.3</v>
      </c>
      <c r="X27" s="283">
        <v>130.69999999999999</v>
      </c>
      <c r="Y27" s="283">
        <v>207.7</v>
      </c>
      <c r="Z27" s="221">
        <v>319.7</v>
      </c>
      <c r="AA27" s="283">
        <v>339.5</v>
      </c>
      <c r="AB27" s="323">
        <v>125.3</v>
      </c>
      <c r="AC27" s="283">
        <v>264.60000000000002</v>
      </c>
      <c r="AD27" s="283">
        <v>334.8</v>
      </c>
      <c r="AE27" s="283">
        <v>303.5</v>
      </c>
      <c r="AF27" s="283">
        <v>151</v>
      </c>
      <c r="AG27" s="283">
        <v>371.6</v>
      </c>
      <c r="AH27" s="656">
        <f t="shared" si="0"/>
        <v>8285.6</v>
      </c>
      <c r="AI27" s="118">
        <v>100</v>
      </c>
      <c r="AJ27" s="121">
        <f t="shared" si="30"/>
        <v>7.2824074074074076E-3</v>
      </c>
      <c r="AK27" s="67">
        <f t="shared" si="22"/>
        <v>0.14170833333333335</v>
      </c>
      <c r="AL27" s="68">
        <f t="shared" si="54"/>
        <v>0.18775</v>
      </c>
      <c r="AM27" s="68">
        <f t="shared" si="54"/>
        <v>0.13108333333333333</v>
      </c>
      <c r="AN27" s="68">
        <f t="shared" si="54"/>
        <v>8.887500000000001E-2</v>
      </c>
      <c r="AO27" s="68">
        <f>IF(OR(H26="",H26="Sem monitoramento"),"VAZIO",IFERROR(H26/($AI27*24),"-"))</f>
        <v>5.3999999999999999E-2</v>
      </c>
      <c r="AP27" s="68">
        <f>IF(OR(I27="",I27="Sem monitoramento"),"VAZIO",IFERROR(I27/($AI27*24),"-"))</f>
        <v>6.6666666666666675E-4</v>
      </c>
      <c r="AQ27" s="68">
        <f>IF(OR(J27="",J27="Sem monitoramento"),"VAZIO",IFERROR(J27/($AI27*24),"-"))</f>
        <v>0.15220833333333333</v>
      </c>
      <c r="AR27" s="68">
        <f t="shared" si="42"/>
        <v>0.19791666666666666</v>
      </c>
      <c r="AS27" s="68">
        <f t="shared" si="43"/>
        <v>0.16462500000000002</v>
      </c>
      <c r="AT27" s="68">
        <f t="shared" si="50"/>
        <v>0.10454166666666667</v>
      </c>
      <c r="AU27" s="68">
        <f>IF(OR(N27="",N27="Sem monitoramento"),"VAZIO",IFERROR(N27/($AI27*24),"-"))</f>
        <v>0.16358333333333333</v>
      </c>
      <c r="AV27" s="68">
        <f t="shared" si="51"/>
        <v>0.15587500000000001</v>
      </c>
      <c r="AW27" s="68">
        <f t="shared" si="46"/>
        <v>0.15691666666666668</v>
      </c>
      <c r="AX27" s="68">
        <f t="shared" si="39"/>
        <v>0.13237499999999999</v>
      </c>
      <c r="AY27" s="68">
        <f t="shared" si="44"/>
        <v>0.11525000000000001</v>
      </c>
      <c r="AZ27" s="68">
        <f t="shared" si="45"/>
        <v>4.5249999999999999E-2</v>
      </c>
      <c r="BA27" s="68">
        <f t="shared" ref="BA27:BB31" si="55">IF(OR(T27="",T27="Sem monitoramento"),"VAZIO",IFERROR(T27/($AI27*24),"-"))</f>
        <v>0.14416666666666667</v>
      </c>
      <c r="BB27" s="68">
        <f t="shared" si="55"/>
        <v>2.5500000000000002E-2</v>
      </c>
      <c r="BC27" s="68">
        <f t="shared" si="52"/>
        <v>0.136125</v>
      </c>
      <c r="BD27" s="68">
        <f>IF(OR(W27="",W27="Sem monitoramento"),"VAZIO",IFERROR(W27/($AI27*24),"-"))</f>
        <v>0.11470833333333334</v>
      </c>
      <c r="BE27" s="68">
        <f>IF(OR(X27="",X27="Sem monitoramento"),"VAZIO",IFERROR(X27/($AI27*24),"-"))</f>
        <v>5.4458333333333331E-2</v>
      </c>
      <c r="BF27" s="68">
        <f t="shared" si="47"/>
        <v>8.6541666666666656E-2</v>
      </c>
      <c r="BG27" s="68">
        <f>IF(OR(Z27="",Z27="Sem monitoramento"),"VAZIO",IFERROR(Z27/($AI27*24),"-"))</f>
        <v>0.13320833333333332</v>
      </c>
      <c r="BH27" s="68" t="e">
        <f>IF(OR(#REF!="",#REF!="Sem monitoramento"),"VAZIO",IFERROR(#REF!/($AI27*24),"-"))</f>
        <v>#REF!</v>
      </c>
      <c r="BI27" s="68">
        <f t="shared" si="48"/>
        <v>5.2208333333333329E-2</v>
      </c>
      <c r="BJ27" s="68">
        <f t="shared" si="26"/>
        <v>0.11025000000000001</v>
      </c>
      <c r="BK27" s="68">
        <f t="shared" si="53"/>
        <v>0.13950000000000001</v>
      </c>
      <c r="BL27" s="68">
        <f t="shared" si="40"/>
        <v>0.12645833333333334</v>
      </c>
      <c r="BM27" s="68">
        <f t="shared" si="40"/>
        <v>6.2916666666666662E-2</v>
      </c>
      <c r="BN27" s="68">
        <f>IF(OR(AG27="",AG27="Sem monitoramento"),"VAZIO",IFERROR(AG27/($AI27*24),"-"))</f>
        <v>0.15483333333333335</v>
      </c>
      <c r="BO27" s="70">
        <f t="shared" si="6"/>
        <v>0.11507777777777778</v>
      </c>
      <c r="BP27" s="198">
        <f t="shared" si="41"/>
        <v>0.168125</v>
      </c>
      <c r="BQ27" s="72">
        <f t="shared" si="32"/>
        <v>16.8125</v>
      </c>
      <c r="BR27" s="73">
        <f t="shared" si="33"/>
        <v>-3.7041666666666667E-2</v>
      </c>
      <c r="BS27" s="74">
        <f t="shared" si="9"/>
        <v>-5.3047222222222218E-2</v>
      </c>
      <c r="BT27" s="15" t="s">
        <v>32</v>
      </c>
      <c r="BU27" s="3"/>
      <c r="BV27" s="2"/>
      <c r="BW27" s="2"/>
    </row>
    <row r="28" spans="2:75" x14ac:dyDescent="0.3">
      <c r="B28" s="775"/>
      <c r="C28" s="326" t="s">
        <v>112</v>
      </c>
      <c r="D28" s="223">
        <v>336</v>
      </c>
      <c r="E28" s="223">
        <v>396</v>
      </c>
      <c r="F28" s="63">
        <v>344.9</v>
      </c>
      <c r="G28" s="308">
        <v>200.7</v>
      </c>
      <c r="H28" s="282">
        <v>68.099999999999994</v>
      </c>
      <c r="I28" s="282">
        <v>0</v>
      </c>
      <c r="J28" s="283">
        <v>323</v>
      </c>
      <c r="K28" s="283">
        <v>449.4</v>
      </c>
      <c r="L28" s="283">
        <v>391</v>
      </c>
      <c r="M28" s="63">
        <v>275.89999999999998</v>
      </c>
      <c r="N28" s="63">
        <v>374.6</v>
      </c>
      <c r="O28" s="283">
        <v>309.89999999999998</v>
      </c>
      <c r="P28" s="283">
        <v>352.3</v>
      </c>
      <c r="Q28" s="283">
        <v>280.7</v>
      </c>
      <c r="R28" s="283">
        <v>261.89999999999998</v>
      </c>
      <c r="S28" s="283">
        <v>104.8</v>
      </c>
      <c r="T28" s="283">
        <v>319</v>
      </c>
      <c r="U28" s="283">
        <v>67.8</v>
      </c>
      <c r="V28" s="283">
        <v>304</v>
      </c>
      <c r="W28" s="283">
        <v>245.6</v>
      </c>
      <c r="X28" s="283">
        <v>120.8</v>
      </c>
      <c r="Y28" s="283">
        <v>194.8</v>
      </c>
      <c r="Z28" s="283">
        <v>300.60000000000002</v>
      </c>
      <c r="AA28" s="519">
        <v>334.7</v>
      </c>
      <c r="AB28" s="323">
        <v>117.2</v>
      </c>
      <c r="AC28" s="283">
        <v>227</v>
      </c>
      <c r="AD28" s="283">
        <v>315.60000000000002</v>
      </c>
      <c r="AE28" s="221">
        <v>314.60000000000002</v>
      </c>
      <c r="AF28" s="221">
        <v>140.9</v>
      </c>
      <c r="AG28" s="221">
        <v>344.4</v>
      </c>
      <c r="AH28" s="656">
        <f t="shared" si="0"/>
        <v>7816.2000000000007</v>
      </c>
      <c r="AI28" s="301">
        <v>100</v>
      </c>
      <c r="AJ28" s="121">
        <f t="shared" si="30"/>
        <v>7.9837962962962961E-3</v>
      </c>
      <c r="AK28" s="302" t="e">
        <f>IF(OR(#REF!="",#REF!="Sem monitoramento"),"VAZIO",IFERROR(#REF!/($AI28*24),"-"))</f>
        <v>#REF!</v>
      </c>
      <c r="AL28" s="303" t="e">
        <f>IF(OR(#REF!="",#REF!="Sem monitoramento"),"VAZIO",IFERROR(#REF!/($AI28*24),"-"))</f>
        <v>#REF!</v>
      </c>
      <c r="AM28" s="303">
        <f t="shared" ref="AM28:AO31" si="56">IF(OR(F28="",F28="Sem monitoramento"),"VAZIO",IFERROR(F28/($AI28*24),"-"))</f>
        <v>0.14370833333333333</v>
      </c>
      <c r="AN28" s="303">
        <f t="shared" si="56"/>
        <v>8.3624999999999991E-2</v>
      </c>
      <c r="AO28" s="303">
        <f>IF(OR(H28="",H28="Sem monitoramento"),"VAZIO",IFERROR(H28/($AI28*24),"-"))</f>
        <v>2.8374999999999997E-2</v>
      </c>
      <c r="AP28" s="303">
        <f>IF(OR(I28="",I28="Sem monitoramento"),"VAZIO",IFERROR(I28/($AI28*24),"-"))</f>
        <v>0</v>
      </c>
      <c r="AQ28" s="303">
        <f>IF(OR(J28="",J28="Sem monitoramento"),"VAZIO",IFERROR(J28/($AI28*24),"-"))</f>
        <v>0.13458333333333333</v>
      </c>
      <c r="AR28" s="303">
        <f t="shared" si="42"/>
        <v>0.18725</v>
      </c>
      <c r="AS28" s="303">
        <f t="shared" si="43"/>
        <v>0.16291666666666665</v>
      </c>
      <c r="AT28" s="303">
        <f t="shared" si="50"/>
        <v>0.11495833333333333</v>
      </c>
      <c r="AU28" s="303">
        <f>IF(OR(N28="",N28="Sem monitoramento"),"VAZIO",IFERROR(N28/($AI28*24),"-"))</f>
        <v>0.15608333333333335</v>
      </c>
      <c r="AV28" s="303">
        <f t="shared" si="51"/>
        <v>0.12912499999999999</v>
      </c>
      <c r="AW28" s="303">
        <f t="shared" si="46"/>
        <v>0.14679166666666668</v>
      </c>
      <c r="AX28" s="303">
        <f t="shared" si="39"/>
        <v>0.11695833333333333</v>
      </c>
      <c r="AY28" s="303">
        <f t="shared" si="44"/>
        <v>0.10912499999999999</v>
      </c>
      <c r="AZ28" s="303">
        <f t="shared" si="45"/>
        <v>4.3666666666666666E-2</v>
      </c>
      <c r="BA28" s="303">
        <f t="shared" si="55"/>
        <v>0.13291666666666666</v>
      </c>
      <c r="BB28" s="303">
        <f t="shared" si="55"/>
        <v>2.8249999999999997E-2</v>
      </c>
      <c r="BC28" s="303">
        <f t="shared" si="52"/>
        <v>0.12666666666666668</v>
      </c>
      <c r="BD28" s="303" t="e">
        <f>IF(OR(#REF!="",#REF!="Sem monitoramento"),"VAZIO",IFERROR(#REF!/($AI28*24),"-"))</f>
        <v>#REF!</v>
      </c>
      <c r="BE28" s="303" t="e">
        <f>IF(OR(#REF!="",#REF!="Sem monitoramento"),"VAZIO",IFERROR(#REF!/($AI28*24),"-"))</f>
        <v>#REF!</v>
      </c>
      <c r="BF28" s="303">
        <f t="shared" si="47"/>
        <v>8.1166666666666665E-2</v>
      </c>
      <c r="BG28" s="303">
        <f>IF(OR(Z28="",Z28="Sem monitoramento"),"VAZIO",IFERROR(Z28/($AI28*24),"-"))</f>
        <v>0.12525</v>
      </c>
      <c r="BH28" s="303">
        <f>IF(OR(AA27="",AA27="Sem monitoramento"),"VAZIO",IFERROR(AA27/($AI28*24),"-"))</f>
        <v>0.14145833333333332</v>
      </c>
      <c r="BI28" s="303">
        <f t="shared" si="48"/>
        <v>4.8833333333333333E-2</v>
      </c>
      <c r="BJ28" s="303">
        <f t="shared" si="26"/>
        <v>9.4583333333333339E-2</v>
      </c>
      <c r="BK28" s="303">
        <f t="shared" si="53"/>
        <v>0.13150000000000001</v>
      </c>
      <c r="BL28" s="303">
        <f>IF(OR(AE28="",AE28="Sem monitoramento"),"VAZIO",IFERROR(AE28/($AI28*24),"-"))</f>
        <v>0.13108333333333333</v>
      </c>
      <c r="BM28" s="303" t="e">
        <f>IF(OR(#REF!="",#REF!="Sem monitoramento"),"VAZIO",IFERROR(#REF!/($AI28*24),"-"))</f>
        <v>#REF!</v>
      </c>
      <c r="BN28" s="303" t="e">
        <f>IF(OR(#REF!="",#REF!="Sem monitoramento"),"VAZIO",IFERROR(#REF!/($AI28*24),"-"))</f>
        <v>#REF!</v>
      </c>
      <c r="BO28" s="304">
        <f t="shared" si="6"/>
        <v>0.10855833333333334</v>
      </c>
      <c r="BP28" s="198">
        <f t="shared" si="41"/>
        <v>0.168125</v>
      </c>
      <c r="BQ28" s="72">
        <f t="shared" si="32"/>
        <v>16.8125</v>
      </c>
      <c r="BR28" s="73">
        <f t="shared" si="33"/>
        <v>-2.441666666666667E-2</v>
      </c>
      <c r="BS28" s="74">
        <f>BO28-BP28</f>
        <v>-5.9566666666666657E-2</v>
      </c>
      <c r="BT28" s="15" t="s">
        <v>440</v>
      </c>
      <c r="BU28" s="3"/>
      <c r="BV28" s="2"/>
      <c r="BW28" s="2"/>
    </row>
    <row r="29" spans="2:75" ht="15" thickBot="1" x14ac:dyDescent="0.35">
      <c r="B29" s="775"/>
      <c r="C29" s="326" t="s">
        <v>289</v>
      </c>
      <c r="D29" s="223">
        <v>274.10000000000002</v>
      </c>
      <c r="E29" s="283">
        <v>343.5</v>
      </c>
      <c r="F29" s="283">
        <v>265.3</v>
      </c>
      <c r="G29" s="308">
        <v>158.30000000000001</v>
      </c>
      <c r="H29" s="282">
        <v>55.3</v>
      </c>
      <c r="I29" s="312">
        <v>1.1000000000000001</v>
      </c>
      <c r="J29" s="63">
        <v>297.3</v>
      </c>
      <c r="K29" s="283">
        <v>348.7</v>
      </c>
      <c r="L29" s="283">
        <v>305.2</v>
      </c>
      <c r="M29" s="283">
        <v>221.3</v>
      </c>
      <c r="N29" s="316">
        <v>282.8</v>
      </c>
      <c r="O29" s="283">
        <v>251.3</v>
      </c>
      <c r="P29" s="283">
        <v>278.60000000000002</v>
      </c>
      <c r="Q29" s="283">
        <v>237.8</v>
      </c>
      <c r="R29" s="283">
        <v>202.4</v>
      </c>
      <c r="S29" s="283">
        <v>77.8</v>
      </c>
      <c r="T29" s="283">
        <v>243.6</v>
      </c>
      <c r="U29" s="283">
        <v>49.2</v>
      </c>
      <c r="V29" s="283">
        <v>232.1</v>
      </c>
      <c r="W29" s="283">
        <v>176.5</v>
      </c>
      <c r="X29" s="519">
        <v>93.9</v>
      </c>
      <c r="Y29" s="283">
        <v>145.19999999999999</v>
      </c>
      <c r="Z29" s="221">
        <v>210</v>
      </c>
      <c r="AA29" s="320">
        <v>248.7</v>
      </c>
      <c r="AB29" s="323">
        <v>85.4</v>
      </c>
      <c r="AC29" s="283">
        <v>160.1</v>
      </c>
      <c r="AD29" s="283">
        <v>234</v>
      </c>
      <c r="AE29" s="221">
        <v>214.8</v>
      </c>
      <c r="AF29" s="241">
        <v>107.5</v>
      </c>
      <c r="AG29" s="221">
        <v>248</v>
      </c>
      <c r="AH29" s="656">
        <f t="shared" si="0"/>
        <v>6049.8</v>
      </c>
      <c r="AI29" s="119">
        <v>100</v>
      </c>
      <c r="AJ29" s="121">
        <f t="shared" si="30"/>
        <v>6.1412037037037043E-3</v>
      </c>
      <c r="AK29" s="98">
        <f>IF(OR(D28="",D28="Sem monitoramento"),"VAZIO",IFERROR(D28/($AI29*24),"-"))</f>
        <v>0.14000000000000001</v>
      </c>
      <c r="AL29" s="99">
        <f>IF(OR(E29="",E29="Sem monitoramento"),"VAZIO",IFERROR(E29/($AI29*24),"-"))</f>
        <v>0.143125</v>
      </c>
      <c r="AM29" s="99">
        <f t="shared" si="56"/>
        <v>0.11054166666666668</v>
      </c>
      <c r="AN29" s="99">
        <f t="shared" si="56"/>
        <v>6.5958333333333341E-2</v>
      </c>
      <c r="AO29" s="99">
        <f t="shared" si="56"/>
        <v>2.3041666666666665E-2</v>
      </c>
      <c r="AP29" s="99">
        <f t="shared" si="49"/>
        <v>4.5833333333333338E-4</v>
      </c>
      <c r="AQ29" s="99">
        <f>IF(OR(J30="",J30="Sem monitoramento"),"VAZIO",IFERROR(J30/($AI29*24),"-"))</f>
        <v>0.16387499999999999</v>
      </c>
      <c r="AR29" s="99">
        <f t="shared" si="42"/>
        <v>0.14529166666666665</v>
      </c>
      <c r="AS29" s="99">
        <f t="shared" si="43"/>
        <v>0.12716666666666665</v>
      </c>
      <c r="AT29" s="99">
        <f t="shared" si="50"/>
        <v>9.2208333333333337E-2</v>
      </c>
      <c r="AU29" s="99">
        <f>IF(OR(N30="",N30="Sem monitoramento"),"VAZIO",IFERROR(N30/($AI29*24),"-"))</f>
        <v>0.13345833333333335</v>
      </c>
      <c r="AV29" s="99">
        <f t="shared" si="51"/>
        <v>0.10470833333333333</v>
      </c>
      <c r="AW29" s="99">
        <f t="shared" si="46"/>
        <v>0.11608333333333334</v>
      </c>
      <c r="AX29" s="99">
        <f t="shared" si="39"/>
        <v>9.9083333333333343E-2</v>
      </c>
      <c r="AY29" s="99">
        <f t="shared" si="44"/>
        <v>8.433333333333333E-2</v>
      </c>
      <c r="AZ29" s="99">
        <f t="shared" si="45"/>
        <v>3.2416666666666663E-2</v>
      </c>
      <c r="BA29" s="99">
        <f t="shared" si="55"/>
        <v>0.10149999999999999</v>
      </c>
      <c r="BB29" s="99">
        <f t="shared" si="55"/>
        <v>2.0500000000000001E-2</v>
      </c>
      <c r="BC29" s="99">
        <f t="shared" si="52"/>
        <v>9.6708333333333327E-2</v>
      </c>
      <c r="BD29" s="99">
        <f>IF(OR(X28="",X28="Sem monitoramento"),"VAZIO",IFERROR(X28/($AI29*24),"-"))</f>
        <v>5.0333333333333334E-2</v>
      </c>
      <c r="BE29" s="99" t="e">
        <f>IF(OR(#REF!="",#REF!="Sem monitoramento"),"VAZIO",IFERROR(#REF!/($AI29*24),"-"))</f>
        <v>#REF!</v>
      </c>
      <c r="BF29" s="99">
        <f t="shared" si="47"/>
        <v>6.0499999999999998E-2</v>
      </c>
      <c r="BG29" s="99">
        <f>IF(OR(Z29="",Z29="Sem monitoramento"),"VAZIO",IFERROR(Z29/($AI29*24),"-"))</f>
        <v>8.7499999999999994E-2</v>
      </c>
      <c r="BH29" s="99">
        <f>IF(OR(AA29="",AA29="Sem monitoramento"),"VAZIO",IFERROR(AA29/($AI29*24),"-"))</f>
        <v>0.10362499999999999</v>
      </c>
      <c r="BI29" s="99">
        <f t="shared" si="48"/>
        <v>3.5583333333333335E-2</v>
      </c>
      <c r="BJ29" s="99">
        <f t="shared" si="26"/>
        <v>6.6708333333333328E-2</v>
      </c>
      <c r="BK29" s="99">
        <f t="shared" si="53"/>
        <v>9.7500000000000003E-2</v>
      </c>
      <c r="BL29" s="99">
        <f>IF(OR(AE29="",AE29="Sem monitoramento"),"VAZIO",IFERROR(AE29/($AI29*24),"-"))</f>
        <v>8.950000000000001E-2</v>
      </c>
      <c r="BM29" s="99">
        <f>IF(OR(AF28="",AF28="Sem monitoramento"),"VAZIO",IFERROR(AF28/($AI29*24),"-"))</f>
        <v>5.8708333333333335E-2</v>
      </c>
      <c r="BN29" s="99">
        <f>IF(OR(AG28="",AG28="Sem monitoramento"),"VAZIO",IFERROR(AG28/($AI29*24),"-"))</f>
        <v>0.14349999999999999</v>
      </c>
      <c r="BO29" s="101">
        <f t="shared" si="6"/>
        <v>8.4025000000000002E-2</v>
      </c>
      <c r="BP29" s="198">
        <f t="shared" si="41"/>
        <v>0.168125</v>
      </c>
      <c r="BQ29" s="72">
        <f t="shared" si="32"/>
        <v>16.8125</v>
      </c>
      <c r="BR29" s="73">
        <f t="shared" si="33"/>
        <v>-5.758333333333332E-2</v>
      </c>
      <c r="BS29" s="74">
        <f t="shared" si="9"/>
        <v>-8.4099999999999994E-2</v>
      </c>
      <c r="BT29" s="15" t="s">
        <v>112</v>
      </c>
      <c r="BU29" s="3"/>
      <c r="BV29" s="2"/>
      <c r="BW29" s="2"/>
    </row>
    <row r="30" spans="2:75" ht="15" thickBot="1" x14ac:dyDescent="0.35">
      <c r="B30" s="773" t="s">
        <v>290</v>
      </c>
      <c r="C30" s="326" t="s">
        <v>291</v>
      </c>
      <c r="D30" s="223">
        <v>358.1</v>
      </c>
      <c r="E30" s="31">
        <v>370</v>
      </c>
      <c r="F30" s="63">
        <v>335.7</v>
      </c>
      <c r="G30" s="63">
        <v>251.1</v>
      </c>
      <c r="H30" s="283">
        <v>133.6</v>
      </c>
      <c r="I30" s="470">
        <v>263.39999999999998</v>
      </c>
      <c r="J30" s="308">
        <v>393.3</v>
      </c>
      <c r="K30" s="283">
        <v>439.9</v>
      </c>
      <c r="L30" s="283">
        <v>315.3</v>
      </c>
      <c r="M30" s="283">
        <v>153.30000000000001</v>
      </c>
      <c r="N30" s="283">
        <v>320.3</v>
      </c>
      <c r="O30" s="283">
        <v>384.1</v>
      </c>
      <c r="P30" s="283">
        <v>287.10000000000002</v>
      </c>
      <c r="Q30" s="283">
        <v>367.4</v>
      </c>
      <c r="R30" s="283">
        <v>357.9</v>
      </c>
      <c r="S30" s="283">
        <v>151.9</v>
      </c>
      <c r="T30" s="283">
        <v>406.6</v>
      </c>
      <c r="U30" s="283">
        <v>292.8</v>
      </c>
      <c r="V30" s="283">
        <v>219.5</v>
      </c>
      <c r="W30" s="283">
        <v>254.1</v>
      </c>
      <c r="X30" s="283">
        <v>228.3</v>
      </c>
      <c r="Y30" s="320">
        <v>210.7</v>
      </c>
      <c r="Z30" s="320">
        <v>333.4</v>
      </c>
      <c r="AA30" s="320">
        <v>170.7</v>
      </c>
      <c r="AB30" s="323">
        <v>221.4</v>
      </c>
      <c r="AC30" s="15">
        <v>110.7</v>
      </c>
      <c r="AD30" s="221">
        <v>131</v>
      </c>
      <c r="AE30" s="388">
        <v>16.899999999999999</v>
      </c>
      <c r="AF30" s="193">
        <v>28.9</v>
      </c>
      <c r="AG30" s="15">
        <v>34.5</v>
      </c>
      <c r="AH30" s="656">
        <f t="shared" si="0"/>
        <v>7541.8999999999987</v>
      </c>
      <c r="AI30" s="2">
        <v>100</v>
      </c>
      <c r="AJ30" s="285">
        <f t="shared" si="30"/>
        <v>7.7708333333333327E-3</v>
      </c>
      <c r="AK30" s="98">
        <f>IF(OR(D30="",D30="Sem monitoramento"),"VAZIO",IFERROR(D30/($AI30*24),"-"))</f>
        <v>0.14920833333333333</v>
      </c>
      <c r="AL30" s="99">
        <f>IF(OR(E28="",E28="Sem monitoramento"),"VAZIO",IFERROR(E28/($AI30*24),"-"))</f>
        <v>0.16500000000000001</v>
      </c>
      <c r="AM30" s="99">
        <f t="shared" si="56"/>
        <v>0.139875</v>
      </c>
      <c r="AN30" s="99">
        <f t="shared" si="56"/>
        <v>0.104625</v>
      </c>
      <c r="AO30" s="99">
        <f t="shared" si="56"/>
        <v>5.5666666666666663E-2</v>
      </c>
      <c r="AP30" s="99">
        <f t="shared" si="49"/>
        <v>0.10974999999999999</v>
      </c>
      <c r="AQ30" s="99" t="e">
        <f>IF(OR(#REF!="",#REF!="Sem monitoramento"),"VAZIO",IFERROR(#REF!/($AI30*24),"-"))</f>
        <v>#REF!</v>
      </c>
      <c r="AR30" s="99">
        <f t="shared" si="42"/>
        <v>0.18329166666666666</v>
      </c>
      <c r="AS30" s="99">
        <f t="shared" si="43"/>
        <v>0.13137499999999999</v>
      </c>
      <c r="AT30" s="99">
        <f t="shared" si="50"/>
        <v>6.3875000000000001E-2</v>
      </c>
      <c r="AU30" s="99" t="e">
        <f>IF(OR(#REF!="",#REF!="Sem monitoramento"),"VAZIO",IFERROR(#REF!/($AI30*24),"-"))</f>
        <v>#REF!</v>
      </c>
      <c r="AV30" s="99">
        <f t="shared" si="51"/>
        <v>0.16004166666666667</v>
      </c>
      <c r="AW30" s="99">
        <f t="shared" si="46"/>
        <v>0.11962500000000001</v>
      </c>
      <c r="AX30" s="99">
        <f t="shared" si="39"/>
        <v>0.15308333333333332</v>
      </c>
      <c r="AY30" s="99">
        <f t="shared" si="44"/>
        <v>0.14912499999999998</v>
      </c>
      <c r="AZ30" s="99">
        <f t="shared" si="45"/>
        <v>6.3291666666666663E-2</v>
      </c>
      <c r="BA30" s="99">
        <f t="shared" si="55"/>
        <v>0.16941666666666669</v>
      </c>
      <c r="BB30" s="99">
        <f t="shared" si="55"/>
        <v>0.12200000000000001</v>
      </c>
      <c r="BC30" s="99">
        <f t="shared" si="52"/>
        <v>9.1458333333333336E-2</v>
      </c>
      <c r="BD30" s="99">
        <f>IF(OR(W30="",W30="Sem monitoramento"),"VAZIO",IFERROR(W30/($AI30*24),"-"))</f>
        <v>0.105875</v>
      </c>
      <c r="BE30" s="99">
        <f>IF(OR(X30="",X30="Sem monitoramento"),"VAZIO",IFERROR(X30/($AI30*24),"-"))</f>
        <v>9.5125000000000001E-2</v>
      </c>
      <c r="BF30" s="99">
        <f t="shared" si="47"/>
        <v>8.7791666666666657E-2</v>
      </c>
      <c r="BG30" s="99">
        <f>IF(OR(Z30="",Z30="Sem monitoramento"),"VAZIO",IFERROR(Z30/($AI30*24),"-"))</f>
        <v>0.13891666666666666</v>
      </c>
      <c r="BH30" s="99">
        <f>IF(OR(AA30="",AA30="Sem monitoramento"),"VAZIO",IFERROR(AA30/($AI30*24),"-"))</f>
        <v>7.1124999999999994E-2</v>
      </c>
      <c r="BI30" s="99">
        <f t="shared" si="48"/>
        <v>9.2249999999999999E-2</v>
      </c>
      <c r="BJ30" s="99">
        <f t="shared" si="26"/>
        <v>4.6124999999999999E-2</v>
      </c>
      <c r="BK30" s="99">
        <f t="shared" si="53"/>
        <v>5.4583333333333331E-2</v>
      </c>
      <c r="BL30" s="99">
        <f>IF(OR(AE30="",AE30="Sem monitoramento"),"VAZIO",IFERROR(AE30/($AI30*24),"-"))</f>
        <v>7.0416666666666657E-3</v>
      </c>
      <c r="BM30" s="286">
        <f>IF(OR(AF30="",AF30="Sem monitoramento"),"VAZIO",IFERROR(AF30/($AI30*24),"-"))</f>
        <v>1.2041666666666666E-2</v>
      </c>
      <c r="BN30" s="286">
        <f>IF(OR(AG30="",AG30="Sem monitoramento"),"VAZIO",IFERROR(AG30/($AI30*24),"-"))</f>
        <v>1.4375000000000001E-2</v>
      </c>
      <c r="BO30" s="286">
        <f t="shared" si="6"/>
        <v>0.1047486111111111</v>
      </c>
      <c r="BP30" s="198">
        <f t="shared" si="41"/>
        <v>0.168125</v>
      </c>
      <c r="BQ30" s="72">
        <f t="shared" si="32"/>
        <v>16.8125</v>
      </c>
      <c r="BR30" s="73">
        <f t="shared" si="33"/>
        <v>-2.8249999999999997E-2</v>
      </c>
      <c r="BS30" s="74">
        <f t="shared" si="9"/>
        <v>-6.3376388888888899E-2</v>
      </c>
      <c r="BT30" s="2"/>
      <c r="BU30" s="3"/>
      <c r="BV30" s="2"/>
      <c r="BW30" s="2"/>
    </row>
    <row r="31" spans="2:75" ht="15" thickBot="1" x14ac:dyDescent="0.35">
      <c r="B31" s="777"/>
      <c r="C31" s="329" t="s">
        <v>563</v>
      </c>
      <c r="D31" s="224">
        <v>265.89999999999998</v>
      </c>
      <c r="E31" s="93">
        <v>464.3</v>
      </c>
      <c r="F31" s="93">
        <v>323.2</v>
      </c>
      <c r="G31" s="115">
        <v>238.3</v>
      </c>
      <c r="H31" s="532">
        <v>111.7</v>
      </c>
      <c r="I31" s="115">
        <v>280</v>
      </c>
      <c r="J31" s="115">
        <v>386.6</v>
      </c>
      <c r="K31" s="93">
        <v>411.2</v>
      </c>
      <c r="L31" s="93">
        <v>229.7</v>
      </c>
      <c r="M31" s="93">
        <v>275.7</v>
      </c>
      <c r="N31" s="93">
        <v>324.8</v>
      </c>
      <c r="O31" s="318">
        <v>298.39999999999998</v>
      </c>
      <c r="P31" s="93">
        <v>257.3</v>
      </c>
      <c r="Q31" s="318">
        <v>265.60000000000002</v>
      </c>
      <c r="R31" s="318">
        <v>347.7</v>
      </c>
      <c r="S31" s="318">
        <v>112.15</v>
      </c>
      <c r="T31" s="318">
        <v>267.10000000000002</v>
      </c>
      <c r="U31" s="318">
        <v>259.10000000000002</v>
      </c>
      <c r="V31" s="318">
        <v>155.25</v>
      </c>
      <c r="W31" s="622">
        <v>71.36</v>
      </c>
      <c r="X31" s="277">
        <v>161.5</v>
      </c>
      <c r="Y31" s="318">
        <v>154.19999999999999</v>
      </c>
      <c r="Z31" s="318">
        <v>243.2</v>
      </c>
      <c r="AA31" s="318">
        <v>124.1</v>
      </c>
      <c r="AB31" s="655">
        <v>153.1</v>
      </c>
      <c r="AC31" s="22">
        <v>144.6</v>
      </c>
      <c r="AD31" s="277">
        <v>174.9</v>
      </c>
      <c r="AE31" s="93">
        <v>219.2</v>
      </c>
      <c r="AF31" s="22">
        <v>212.1</v>
      </c>
      <c r="AG31" s="277">
        <v>191.3</v>
      </c>
      <c r="AH31" s="335">
        <f t="shared" si="0"/>
        <v>7123.56</v>
      </c>
      <c r="AI31" s="2"/>
      <c r="AJ31" s="285"/>
      <c r="AK31" s="286" t="str">
        <f>IF(OR(D31="",D31="Sem monitoramento"),"VAZIO",IFERROR(D31/($AI31*24),"-"))</f>
        <v>-</v>
      </c>
      <c r="AL31" s="286" t="str">
        <f>IF(OR(E31="",E31="Sem monitoramento"),"VAZIO",IFERROR(E31/($AI31*24),"-"))</f>
        <v>-</v>
      </c>
      <c r="AM31" s="286" t="str">
        <f t="shared" si="56"/>
        <v>-</v>
      </c>
      <c r="AN31" s="286" t="str">
        <f t="shared" si="56"/>
        <v>-</v>
      </c>
      <c r="AO31" s="286" t="str">
        <f t="shared" si="56"/>
        <v>-</v>
      </c>
      <c r="AP31" s="286" t="str">
        <f t="shared" si="49"/>
        <v>-</v>
      </c>
      <c r="AQ31" s="286" t="str">
        <f>IF(OR(J31="",J31="Sem monitoramento"),"VAZIO",IFERROR(J31/($AI31*24),"-"))</f>
        <v>-</v>
      </c>
      <c r="AR31" s="286" t="str">
        <f t="shared" si="42"/>
        <v>-</v>
      </c>
      <c r="AS31" s="286" t="str">
        <f t="shared" si="43"/>
        <v>-</v>
      </c>
      <c r="AT31" s="286" t="str">
        <f t="shared" si="50"/>
        <v>-</v>
      </c>
      <c r="AU31" s="286" t="str">
        <f>IF(OR(N31="",N31="Sem monitoramento"),"VAZIO",IFERROR(N31/($AI31*24),"-"))</f>
        <v>-</v>
      </c>
      <c r="AV31" s="286" t="str">
        <f t="shared" si="51"/>
        <v>-</v>
      </c>
      <c r="AW31" s="286" t="str">
        <f t="shared" si="46"/>
        <v>-</v>
      </c>
      <c r="AX31" s="286" t="str">
        <f t="shared" si="39"/>
        <v>-</v>
      </c>
      <c r="AY31" s="286" t="str">
        <f t="shared" si="44"/>
        <v>-</v>
      </c>
      <c r="AZ31" s="286" t="str">
        <f t="shared" si="45"/>
        <v>-</v>
      </c>
      <c r="BA31" s="286" t="str">
        <f t="shared" si="55"/>
        <v>-</v>
      </c>
      <c r="BB31" s="286" t="str">
        <f t="shared" si="55"/>
        <v>-</v>
      </c>
      <c r="BC31" s="286" t="str">
        <f t="shared" si="52"/>
        <v>-</v>
      </c>
      <c r="BD31" s="286" t="str">
        <f>IF(OR(W31="",W31="Sem monitoramento"),"VAZIO",IFERROR(W31/($AI31*24),"-"))</f>
        <v>-</v>
      </c>
      <c r="BE31" s="286" t="str">
        <f>IF(OR(X31="",X31="Sem monitoramento"),"VAZIO",IFERROR(X31/($AI31*24),"-"))</f>
        <v>-</v>
      </c>
      <c r="BF31" s="286" t="str">
        <f t="shared" si="47"/>
        <v>-</v>
      </c>
      <c r="BG31" s="286" t="str">
        <f>IF(OR(Z31="",Z31="Sem monitoramento"),"VAZIO",IFERROR(Z31/($AI31*24),"-"))</f>
        <v>-</v>
      </c>
      <c r="BH31" s="286" t="str">
        <f>IF(OR(AA31="",AA31="Sem monitoramento"),"VAZIO",IFERROR(AA31/($AI31*24),"-"))</f>
        <v>-</v>
      </c>
      <c r="BI31" s="286" t="str">
        <f t="shared" si="48"/>
        <v>-</v>
      </c>
      <c r="BJ31" s="286" t="str">
        <f t="shared" si="26"/>
        <v>-</v>
      </c>
      <c r="BK31" s="286" t="str">
        <f t="shared" si="53"/>
        <v>-</v>
      </c>
      <c r="BL31" s="286" t="str">
        <f>IF(OR(AE31="",AE31="Sem monitoramento"),"VAZIO",IFERROR(AE31/($AI31*24),"-"))</f>
        <v>-</v>
      </c>
      <c r="BM31" s="286" t="str">
        <f>IF(OR(AF31="",AF31="Sem monitoramento"),"VAZIO",IFERROR(AF31/($AI31*24),"-"))</f>
        <v>-</v>
      </c>
      <c r="BN31" s="286" t="str">
        <f>IF(OR(AG31="",AG31="Sem monitoramento"),"VAZIO",IFERROR(AG31/($AI31*24),"-"))</f>
        <v>-</v>
      </c>
      <c r="BO31" s="286" t="e">
        <f t="shared" si="6"/>
        <v>#DIV/0!</v>
      </c>
      <c r="BP31" s="198"/>
      <c r="BQ31" s="287"/>
      <c r="BR31" s="288"/>
      <c r="BS31" s="289"/>
      <c r="BT31" s="2"/>
      <c r="BU31" s="3"/>
      <c r="BV31" s="2"/>
      <c r="BW31" s="2"/>
    </row>
    <row r="32" spans="2:75" ht="18" x14ac:dyDescent="0.3">
      <c r="B32" s="776" t="s">
        <v>113</v>
      </c>
      <c r="C32" s="776"/>
      <c r="D32" s="103">
        <f>SUM(D5:D31)</f>
        <v>7166.3000000000011</v>
      </c>
      <c r="E32" s="103">
        <f>SUM(E5:E31)</f>
        <v>10088.199999999999</v>
      </c>
      <c r="F32" s="103">
        <f>SUM(F5:F31)</f>
        <v>5758</v>
      </c>
      <c r="G32" s="103">
        <f>SUM(G5:G31)</f>
        <v>6062.5000000000018</v>
      </c>
      <c r="H32" s="103">
        <f t="shared" ref="H32:AG32" si="57">SUM(H5:H31)</f>
        <v>4138.1000000000004</v>
      </c>
      <c r="I32" s="103">
        <f t="shared" si="57"/>
        <v>5912.1</v>
      </c>
      <c r="J32" s="103">
        <f t="shared" si="57"/>
        <v>9849.2999999999993</v>
      </c>
      <c r="K32" s="103">
        <f t="shared" si="57"/>
        <v>10913.1</v>
      </c>
      <c r="L32" s="103">
        <f t="shared" si="57"/>
        <v>9161.2999999999993</v>
      </c>
      <c r="M32" s="103">
        <f t="shared" si="57"/>
        <v>8021.2000000000007</v>
      </c>
      <c r="N32" s="103">
        <f t="shared" si="57"/>
        <v>10338.199999999999</v>
      </c>
      <c r="O32" s="103">
        <f t="shared" si="57"/>
        <v>10066.799999999999</v>
      </c>
      <c r="P32" s="103">
        <f t="shared" si="57"/>
        <v>8370.4000000000015</v>
      </c>
      <c r="Q32" s="103">
        <f t="shared" si="57"/>
        <v>8212</v>
      </c>
      <c r="R32" s="103">
        <f t="shared" si="57"/>
        <v>9194.4</v>
      </c>
      <c r="S32" s="103">
        <f t="shared" si="57"/>
        <v>3041.55</v>
      </c>
      <c r="T32" s="103">
        <f>SUM(T5:T31)</f>
        <v>8888.0000000000018</v>
      </c>
      <c r="U32" s="103">
        <f>SUM(U5:U31)</f>
        <v>7033.9000000000015</v>
      </c>
      <c r="V32" s="103">
        <f t="shared" si="57"/>
        <v>5917.2500000000009</v>
      </c>
      <c r="W32" s="103">
        <f t="shared" si="57"/>
        <v>8868.260000000002</v>
      </c>
      <c r="X32" s="103">
        <f t="shared" si="57"/>
        <v>5852.3</v>
      </c>
      <c r="Y32" s="103">
        <f t="shared" si="57"/>
        <v>5779.9</v>
      </c>
      <c r="Z32" s="103">
        <f t="shared" si="57"/>
        <v>8921.4000000000015</v>
      </c>
      <c r="AA32" s="103">
        <f t="shared" si="57"/>
        <v>5420.4999999999991</v>
      </c>
      <c r="AB32" s="103">
        <f>SUM(AB5:AB31)</f>
        <v>5275.4</v>
      </c>
      <c r="AC32" s="103">
        <f t="shared" si="57"/>
        <v>5673.2000000000016</v>
      </c>
      <c r="AD32" s="103">
        <f t="shared" si="57"/>
        <v>6090.5</v>
      </c>
      <c r="AE32" s="103">
        <f t="shared" si="57"/>
        <v>8668.0999999999985</v>
      </c>
      <c r="AF32" s="103">
        <f t="shared" si="57"/>
        <v>5094.8999999999996</v>
      </c>
      <c r="AG32" s="103">
        <f t="shared" si="57"/>
        <v>7094.7999999999993</v>
      </c>
      <c r="AH32" s="189">
        <f>SUM(AH5:AH31)</f>
        <v>220871.86</v>
      </c>
      <c r="AI32" s="104">
        <f>SUM(AI5:AI31)</f>
        <v>2329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U32" s="3"/>
      <c r="BV32" s="2"/>
      <c r="BW32" s="2"/>
    </row>
    <row r="33" spans="2:75" ht="18.600000000000001" thickBot="1" x14ac:dyDescent="0.3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190" t="str">
        <f>_xlfn.CONCAT(ROUND(AH32/1000,3)," MWh")</f>
        <v>220,872 MWh</v>
      </c>
      <c r="AI33" s="2"/>
      <c r="AM33" s="778">
        <v>12</v>
      </c>
      <c r="AV33">
        <v>1000</v>
      </c>
      <c r="AW33">
        <v>1000</v>
      </c>
      <c r="BQ33" s="9"/>
      <c r="BS33" s="2"/>
      <c r="BU33" s="2"/>
      <c r="BV33" s="2"/>
      <c r="BW33" s="2"/>
    </row>
    <row r="34" spans="2:75" ht="15" thickBot="1" x14ac:dyDescent="0.35">
      <c r="C34" s="105"/>
      <c r="D34" t="s">
        <v>36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61"/>
      <c r="U34" s="2"/>
      <c r="V34" s="2"/>
      <c r="W34" s="2"/>
      <c r="X34" s="2"/>
      <c r="Y34" s="2"/>
      <c r="Z34" s="2"/>
      <c r="AA34" s="2"/>
      <c r="AB34" s="2"/>
      <c r="AC34" s="2"/>
      <c r="AD34" s="2">
        <v>1497</v>
      </c>
      <c r="AE34" s="767" t="s">
        <v>194</v>
      </c>
      <c r="AF34" s="767"/>
      <c r="AG34" s="767"/>
      <c r="AH34" s="191" t="str">
        <f>_xlfn.CONCAT(ROUND($AH$32/COUNTIF($D$32:$AG$32,"&lt;&gt;0"),3)," kWh")</f>
        <v>7362,395 kWh</v>
      </c>
      <c r="AI34" s="2"/>
      <c r="AJ34" s="2"/>
      <c r="AK34" s="2"/>
      <c r="AL34" s="2"/>
      <c r="AM34" s="779"/>
      <c r="AU34">
        <v>900</v>
      </c>
      <c r="AV34">
        <v>100</v>
      </c>
      <c r="BQ34" s="11"/>
      <c r="BS34" s="106"/>
      <c r="BT34" s="3" t="s">
        <v>114</v>
      </c>
    </row>
    <row r="35" spans="2:75" ht="15" thickBot="1" x14ac:dyDescent="0.35">
      <c r="C35" s="107"/>
      <c r="D35" t="s">
        <v>115</v>
      </c>
      <c r="E35" s="2"/>
      <c r="F35" s="2"/>
      <c r="G35" s="2"/>
      <c r="H35" s="161"/>
      <c r="I35" s="2"/>
      <c r="J35" s="161"/>
      <c r="K35" s="314">
        <v>45533.1</v>
      </c>
      <c r="L35" s="161">
        <v>270.5</v>
      </c>
      <c r="M35" s="2">
        <v>46064.2</v>
      </c>
      <c r="N35" s="2">
        <v>42.5</v>
      </c>
      <c r="O35" s="2"/>
      <c r="P35" s="2"/>
      <c r="Q35" s="2"/>
      <c r="R35" s="2"/>
      <c r="S35" s="2"/>
      <c r="T35" s="2">
        <v>151771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767" t="s">
        <v>195</v>
      </c>
      <c r="AF35" s="767"/>
      <c r="AG35" s="767"/>
      <c r="AH35" s="191" t="str">
        <f>_xlfn.CONCAT(ROUND($AH$32/COUNTIF($D$32:$AG$32,"&lt;&gt;0"),3)*30," kWh")</f>
        <v>220871,85 kWh</v>
      </c>
      <c r="AI35" s="2"/>
      <c r="AJ35" s="2"/>
      <c r="AK35" s="2"/>
      <c r="AL35" s="2"/>
      <c r="AM35" s="780"/>
      <c r="BQ35" s="2"/>
      <c r="BS35" s="109"/>
      <c r="BT35" s="5" t="s">
        <v>116</v>
      </c>
    </row>
    <row r="36" spans="2:75" x14ac:dyDescent="0.3">
      <c r="I36">
        <v>50190</v>
      </c>
      <c r="K36" s="313">
        <v>45214.2</v>
      </c>
      <c r="L36" s="102">
        <f>K35-K36</f>
        <v>318.90000000000146</v>
      </c>
      <c r="M36" s="102"/>
      <c r="N36" s="315">
        <f>M35-K35-N35</f>
        <v>488.59999999999854</v>
      </c>
      <c r="T36">
        <v>152247</v>
      </c>
      <c r="AC36">
        <v>52911.8</v>
      </c>
      <c r="AE36" s="767" t="s">
        <v>195</v>
      </c>
      <c r="AF36" s="767"/>
      <c r="AG36" s="767"/>
      <c r="AH36" s="191" t="str">
        <f>_xlfn.CONCAT(ROUND(($AH$32/COUNTIF($D$32:$AG$32,"&lt;&gt;0"))*30/1000,3)," MWh")</f>
        <v>220,872 MWh</v>
      </c>
      <c r="AM36" s="778">
        <v>67</v>
      </c>
    </row>
    <row r="37" spans="2:75" x14ac:dyDescent="0.3">
      <c r="E37" s="436">
        <v>558.9</v>
      </c>
      <c r="F37">
        <v>403.7</v>
      </c>
      <c r="G37">
        <v>563.5</v>
      </c>
      <c r="I37">
        <v>51533</v>
      </c>
      <c r="T37">
        <f>T36-T35+1.8</f>
        <v>477.8</v>
      </c>
      <c r="X37" s="102"/>
      <c r="AC37">
        <v>53196</v>
      </c>
      <c r="AM37" s="779"/>
    </row>
    <row r="38" spans="2:75" x14ac:dyDescent="0.3">
      <c r="I38">
        <f>I37-I36</f>
        <v>1343</v>
      </c>
      <c r="AC38">
        <v>60.6</v>
      </c>
      <c r="AM38" s="780"/>
    </row>
    <row r="39" spans="2:75" x14ac:dyDescent="0.3">
      <c r="AC39">
        <f>AC37-AC36+AC38</f>
        <v>344.79999999999711</v>
      </c>
      <c r="AD39">
        <v>53642</v>
      </c>
      <c r="AE39">
        <f>AD39-AC37</f>
        <v>446</v>
      </c>
      <c r="AF39">
        <v>53925.599999999999</v>
      </c>
      <c r="AM39" s="778">
        <v>49</v>
      </c>
    </row>
    <row r="40" spans="2:75" x14ac:dyDescent="0.3">
      <c r="N40">
        <v>91151.5</v>
      </c>
      <c r="O40">
        <f>N41-N40</f>
        <v>734</v>
      </c>
      <c r="X40" s="102"/>
      <c r="AF40">
        <f>AF39-20.4</f>
        <v>53905.2</v>
      </c>
      <c r="AM40" s="779"/>
    </row>
    <row r="41" spans="2:75" x14ac:dyDescent="0.3">
      <c r="N41">
        <v>91885.5</v>
      </c>
      <c r="X41" s="102"/>
      <c r="AF41">
        <f>AF40-AD39</f>
        <v>263.19999999999709</v>
      </c>
      <c r="AM41" s="780"/>
    </row>
    <row r="42" spans="2:75" x14ac:dyDescent="0.3">
      <c r="E42" t="str">
        <f>TEXT(E43,"dddd")</f>
        <v>sábado</v>
      </c>
      <c r="F42" t="str">
        <f>TEXT(F43,"dddd")</f>
        <v>domingo</v>
      </c>
      <c r="L42" t="str">
        <f>TEXT(L43,"dddd")</f>
        <v>sábado</v>
      </c>
      <c r="M42" t="str">
        <f>TEXT(M43,"dddd")</f>
        <v>domingo</v>
      </c>
      <c r="S42" t="str">
        <f>TEXT(S43,"dddd")</f>
        <v>sábado</v>
      </c>
      <c r="T42" t="str">
        <f>TEXT(T43,"dddd")</f>
        <v>domingo</v>
      </c>
      <c r="Z42" t="str">
        <f>TEXT(Z43,"dddd")</f>
        <v>sábado</v>
      </c>
      <c r="AA42" t="str">
        <f>TEXT(AA43,"dddd")</f>
        <v>domingo</v>
      </c>
      <c r="AG42" t="str">
        <f>TEXT(AG43,"dddd")</f>
        <v>sábado</v>
      </c>
      <c r="AM42" s="778">
        <v>33</v>
      </c>
    </row>
    <row r="43" spans="2:75" x14ac:dyDescent="0.3">
      <c r="B43" s="141" t="s">
        <v>117</v>
      </c>
      <c r="C43" s="141" t="s">
        <v>118</v>
      </c>
      <c r="D43" s="140">
        <v>45170</v>
      </c>
      <c r="E43" s="140">
        <v>45171</v>
      </c>
      <c r="F43" s="140">
        <v>45172</v>
      </c>
      <c r="G43" s="140">
        <v>45173</v>
      </c>
      <c r="H43" s="140">
        <v>45174</v>
      </c>
      <c r="I43" s="140">
        <v>45175</v>
      </c>
      <c r="J43" s="140">
        <v>45176</v>
      </c>
      <c r="K43" s="140">
        <v>45177</v>
      </c>
      <c r="L43" s="140">
        <v>45178</v>
      </c>
      <c r="M43" s="140">
        <v>45179</v>
      </c>
      <c r="N43" s="140">
        <v>45180</v>
      </c>
      <c r="O43" s="140">
        <v>45181</v>
      </c>
      <c r="P43" s="140">
        <v>45182</v>
      </c>
      <c r="Q43" s="140">
        <v>45183</v>
      </c>
      <c r="R43" s="140">
        <v>45184</v>
      </c>
      <c r="S43" s="140">
        <v>45185</v>
      </c>
      <c r="T43" s="140">
        <v>45186</v>
      </c>
      <c r="U43" s="140">
        <v>45187</v>
      </c>
      <c r="V43" s="140">
        <v>45188</v>
      </c>
      <c r="W43" s="140">
        <v>45189</v>
      </c>
      <c r="X43" s="140">
        <v>45190</v>
      </c>
      <c r="Y43" s="140">
        <v>45191</v>
      </c>
      <c r="Z43" s="140">
        <v>45192</v>
      </c>
      <c r="AA43" s="140">
        <v>45193</v>
      </c>
      <c r="AB43" s="140">
        <v>45194</v>
      </c>
      <c r="AC43" s="140">
        <v>45195</v>
      </c>
      <c r="AD43" s="140">
        <v>45196</v>
      </c>
      <c r="AE43" s="140">
        <v>45197</v>
      </c>
      <c r="AF43" s="140">
        <v>45198</v>
      </c>
      <c r="AG43" s="140">
        <v>45199</v>
      </c>
      <c r="AL43" s="63">
        <v>19.7</v>
      </c>
      <c r="AM43" s="779"/>
    </row>
    <row r="44" spans="2:75" x14ac:dyDescent="0.3">
      <c r="B44" s="751" t="s">
        <v>6</v>
      </c>
      <c r="C44" s="18" t="s">
        <v>7</v>
      </c>
      <c r="D44" s="163">
        <f>D5+Agosto23!AF41</f>
        <v>48885.700000000004</v>
      </c>
      <c r="E44" s="164">
        <f t="shared" ref="E44:F59" si="58">D44+E5</f>
        <v>48937.100000000006</v>
      </c>
      <c r="F44" s="164">
        <f t="shared" si="58"/>
        <v>48982.100000000006</v>
      </c>
      <c r="G44" s="165">
        <v>49036.4</v>
      </c>
      <c r="H44" s="166">
        <v>49076</v>
      </c>
      <c r="I44" s="163">
        <f t="shared" ref="I44:V59" si="59">H44+I5</f>
        <v>49111.199999999997</v>
      </c>
      <c r="J44" s="163">
        <f t="shared" si="59"/>
        <v>49168.399999999994</v>
      </c>
      <c r="K44" s="163">
        <f t="shared" si="59"/>
        <v>49226.499999999993</v>
      </c>
      <c r="L44" s="163">
        <f t="shared" si="59"/>
        <v>49274.399999999994</v>
      </c>
      <c r="M44" s="163">
        <f t="shared" si="59"/>
        <v>49304.999999999993</v>
      </c>
      <c r="N44" s="163">
        <f t="shared" si="59"/>
        <v>49362.499999999993</v>
      </c>
      <c r="O44" s="163">
        <f t="shared" si="59"/>
        <v>49407.899999999994</v>
      </c>
      <c r="P44" s="163">
        <f t="shared" si="59"/>
        <v>49448.2</v>
      </c>
      <c r="Q44" s="163">
        <f t="shared" si="59"/>
        <v>49488.399999999994</v>
      </c>
      <c r="R44" s="163">
        <f t="shared" si="59"/>
        <v>49531.399999999994</v>
      </c>
      <c r="S44" s="163">
        <f t="shared" si="59"/>
        <v>49545.499999999993</v>
      </c>
      <c r="T44" s="163">
        <f t="shared" si="59"/>
        <v>49580.69999999999</v>
      </c>
      <c r="U44" s="163">
        <f t="shared" si="59"/>
        <v>49611.299999999988</v>
      </c>
      <c r="V44" s="163">
        <f t="shared" si="59"/>
        <v>49636.899999999987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L44" s="63">
        <f>20.7+88.5</f>
        <v>109.2</v>
      </c>
      <c r="AM44" s="780"/>
    </row>
    <row r="45" spans="2:75" x14ac:dyDescent="0.3">
      <c r="B45" s="752"/>
      <c r="C45" s="18" t="s">
        <v>8</v>
      </c>
      <c r="D45" s="163">
        <f>D6+Agosto23!AF42</f>
        <v>99030.700000000012</v>
      </c>
      <c r="E45" s="164">
        <f t="shared" si="58"/>
        <v>99315.900000000009</v>
      </c>
      <c r="F45" s="164">
        <f t="shared" si="58"/>
        <v>99577.8</v>
      </c>
      <c r="G45" s="165">
        <f>21775+78123.8</f>
        <v>99898.8</v>
      </c>
      <c r="H45" s="166">
        <f>21823+78322.8</f>
        <v>100145.8</v>
      </c>
      <c r="I45" s="163">
        <f t="shared" si="59"/>
        <v>100348.5</v>
      </c>
      <c r="J45" s="163">
        <f t="shared" si="59"/>
        <v>100689.2</v>
      </c>
      <c r="K45" s="163">
        <f t="shared" si="59"/>
        <v>101040.5</v>
      </c>
      <c r="L45" s="163">
        <f t="shared" si="59"/>
        <v>101338.4</v>
      </c>
      <c r="M45" s="163">
        <f t="shared" si="59"/>
        <v>101553</v>
      </c>
      <c r="N45" s="163">
        <f t="shared" si="59"/>
        <v>101894.6</v>
      </c>
      <c r="O45" s="163">
        <f t="shared" si="59"/>
        <v>102170.5</v>
      </c>
      <c r="P45" s="163">
        <f t="shared" si="59"/>
        <v>102418.7</v>
      </c>
      <c r="Q45" s="163">
        <f t="shared" si="59"/>
        <v>102659.8</v>
      </c>
      <c r="R45" s="163">
        <f t="shared" si="59"/>
        <v>102884.40000000001</v>
      </c>
      <c r="S45" s="163">
        <f t="shared" si="59"/>
        <v>102963.1</v>
      </c>
      <c r="T45" s="163">
        <f t="shared" si="59"/>
        <v>103165.90000000001</v>
      </c>
      <c r="U45" s="163">
        <f t="shared" si="59"/>
        <v>103356.70000000001</v>
      </c>
      <c r="V45" s="163">
        <f t="shared" si="59"/>
        <v>103494.80000000002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L45" s="63">
        <v>82.2</v>
      </c>
      <c r="AM45" s="778">
        <v>12</v>
      </c>
    </row>
    <row r="46" spans="2:75" x14ac:dyDescent="0.3">
      <c r="B46" s="752"/>
      <c r="C46" s="18" t="s">
        <v>9</v>
      </c>
      <c r="D46" s="163">
        <f>D7+Agosto23!AF43</f>
        <v>69847.100000000006</v>
      </c>
      <c r="E46" s="164">
        <f t="shared" si="58"/>
        <v>70072.3</v>
      </c>
      <c r="F46" s="164">
        <f t="shared" si="58"/>
        <v>70259.900000000009</v>
      </c>
      <c r="G46" s="165">
        <v>70458.2</v>
      </c>
      <c r="H46" s="166">
        <v>70615.5</v>
      </c>
      <c r="I46" s="163">
        <f t="shared" si="59"/>
        <v>70771</v>
      </c>
      <c r="J46" s="163">
        <f t="shared" si="59"/>
        <v>71019.100000000006</v>
      </c>
      <c r="K46" s="163">
        <f t="shared" si="59"/>
        <v>71277.8</v>
      </c>
      <c r="L46" s="163">
        <f t="shared" si="59"/>
        <v>71494.3</v>
      </c>
      <c r="M46" s="163">
        <f t="shared" si="59"/>
        <v>71638.8</v>
      </c>
      <c r="N46" s="163">
        <f t="shared" si="59"/>
        <v>71894.7</v>
      </c>
      <c r="O46" s="163">
        <f t="shared" si="59"/>
        <v>72105.099999999991</v>
      </c>
      <c r="P46" s="163">
        <f t="shared" si="59"/>
        <v>72286.2</v>
      </c>
      <c r="Q46" s="163">
        <f t="shared" si="59"/>
        <v>72466.599999999991</v>
      </c>
      <c r="R46" s="163">
        <f t="shared" si="59"/>
        <v>72672.299999999988</v>
      </c>
      <c r="S46" s="163">
        <f t="shared" si="59"/>
        <v>72735.299999999988</v>
      </c>
      <c r="T46" s="163">
        <f t="shared" si="59"/>
        <v>72896.799999999988</v>
      </c>
      <c r="U46" s="163" t="e">
        <f>T46+#REF!</f>
        <v>#REF!</v>
      </c>
      <c r="V46" s="163" t="e">
        <f t="shared" si="59"/>
        <v>#REF!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L46" s="63">
        <v>57.3</v>
      </c>
      <c r="AM46" s="779"/>
    </row>
    <row r="47" spans="2:75" x14ac:dyDescent="0.3">
      <c r="B47" s="752"/>
      <c r="C47" s="18" t="s">
        <v>10</v>
      </c>
      <c r="D47" s="163">
        <f>D8+Agosto23!AF44</f>
        <v>95722.099999999991</v>
      </c>
      <c r="E47" s="164">
        <f t="shared" si="58"/>
        <v>95849.7</v>
      </c>
      <c r="F47" s="164">
        <f t="shared" si="58"/>
        <v>95955.199999999997</v>
      </c>
      <c r="G47" s="165">
        <v>96154</v>
      </c>
      <c r="H47" s="166">
        <v>96261.9</v>
      </c>
      <c r="I47" s="163" t="e">
        <f>H47+#REF!</f>
        <v>#REF!</v>
      </c>
      <c r="J47" s="163" t="e">
        <f t="shared" si="59"/>
        <v>#REF!</v>
      </c>
      <c r="K47" s="163" t="e">
        <f t="shared" si="59"/>
        <v>#REF!</v>
      </c>
      <c r="L47" s="163" t="e">
        <f t="shared" si="59"/>
        <v>#REF!</v>
      </c>
      <c r="M47" s="163" t="e">
        <f t="shared" si="59"/>
        <v>#REF!</v>
      </c>
      <c r="N47" s="163" t="e">
        <f t="shared" si="59"/>
        <v>#REF!</v>
      </c>
      <c r="O47" s="163" t="e">
        <f t="shared" si="59"/>
        <v>#REF!</v>
      </c>
      <c r="P47" s="163" t="e">
        <f t="shared" si="59"/>
        <v>#REF!</v>
      </c>
      <c r="Q47" s="163" t="e">
        <f t="shared" si="59"/>
        <v>#REF!</v>
      </c>
      <c r="R47" s="163" t="e">
        <f t="shared" si="59"/>
        <v>#REF!</v>
      </c>
      <c r="S47" s="163" t="e">
        <f t="shared" si="59"/>
        <v>#REF!</v>
      </c>
      <c r="T47" s="163" t="e">
        <f t="shared" si="59"/>
        <v>#REF!</v>
      </c>
      <c r="U47" s="163" t="e">
        <f>T47+#REF!</f>
        <v>#REF!</v>
      </c>
      <c r="V47" s="163" t="e">
        <f t="shared" si="59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L47" s="63">
        <v>17.7</v>
      </c>
      <c r="AM47" s="780"/>
    </row>
    <row r="48" spans="2:75" x14ac:dyDescent="0.3">
      <c r="B48" s="752"/>
      <c r="C48" s="18" t="s">
        <v>11</v>
      </c>
      <c r="D48" s="163">
        <f>D10+Agosto23!AF45</f>
        <v>18802.3</v>
      </c>
      <c r="E48" s="164">
        <f t="shared" si="58"/>
        <v>18852.5</v>
      </c>
      <c r="F48" s="164">
        <f t="shared" si="58"/>
        <v>18902</v>
      </c>
      <c r="G48" s="165">
        <v>18957</v>
      </c>
      <c r="H48" s="166">
        <v>18998</v>
      </c>
      <c r="I48" s="163">
        <f t="shared" si="59"/>
        <v>19033</v>
      </c>
      <c r="J48" s="163">
        <f>I48+J10</f>
        <v>19107.599999999999</v>
      </c>
      <c r="K48" s="163">
        <f>J48+K10</f>
        <v>19182</v>
      </c>
      <c r="L48" s="163">
        <f t="shared" si="59"/>
        <v>19237.099999999999</v>
      </c>
      <c r="M48" s="163">
        <f t="shared" si="59"/>
        <v>19271</v>
      </c>
      <c r="N48" s="163">
        <f t="shared" si="59"/>
        <v>19312</v>
      </c>
      <c r="O48" s="163">
        <f t="shared" si="59"/>
        <v>19347</v>
      </c>
      <c r="P48" s="163">
        <f>O48+P10</f>
        <v>19393.2</v>
      </c>
      <c r="Q48" s="163">
        <f t="shared" si="59"/>
        <v>19428.2</v>
      </c>
      <c r="R48" s="163">
        <f t="shared" si="59"/>
        <v>19477.2</v>
      </c>
      <c r="S48" s="163">
        <f t="shared" si="59"/>
        <v>19487.2</v>
      </c>
      <c r="T48" s="163">
        <f t="shared" si="59"/>
        <v>19499.2</v>
      </c>
      <c r="U48" s="163">
        <f>T48+U7</f>
        <v>19636.5</v>
      </c>
      <c r="V48" s="163">
        <f t="shared" si="59"/>
        <v>19662.099999999999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L48" s="63">
        <v>37.700000000000003</v>
      </c>
      <c r="AM48" s="778">
        <v>25</v>
      </c>
    </row>
    <row r="49" spans="2:39" x14ac:dyDescent="0.3">
      <c r="B49" s="752"/>
      <c r="C49" s="18" t="s">
        <v>12</v>
      </c>
      <c r="D49" s="163" t="e">
        <f>#REF!+Agosto23!AF46</f>
        <v>#REF!</v>
      </c>
      <c r="E49" s="164" t="e">
        <f t="shared" si="58"/>
        <v>#REF!</v>
      </c>
      <c r="F49" s="164" t="e">
        <f t="shared" si="58"/>
        <v>#REF!</v>
      </c>
      <c r="G49" s="165">
        <v>58550</v>
      </c>
      <c r="H49" s="166">
        <v>58640</v>
      </c>
      <c r="I49" s="163">
        <f>H49+I8</f>
        <v>58728.7</v>
      </c>
      <c r="J49" s="163" t="e">
        <f>I49+#REF!</f>
        <v>#REF!</v>
      </c>
      <c r="K49" s="163" t="e">
        <f>J49+#REF!</f>
        <v>#REF!</v>
      </c>
      <c r="L49" s="163" t="e">
        <f t="shared" si="59"/>
        <v>#REF!</v>
      </c>
      <c r="M49" s="163" t="e">
        <f t="shared" si="59"/>
        <v>#REF!</v>
      </c>
      <c r="N49" s="163" t="e">
        <f t="shared" si="59"/>
        <v>#REF!</v>
      </c>
      <c r="O49" s="163" t="e">
        <f t="shared" si="59"/>
        <v>#REF!</v>
      </c>
      <c r="P49" s="163" t="e">
        <f>O49+#REF!</f>
        <v>#REF!</v>
      </c>
      <c r="Q49" s="163" t="e">
        <f t="shared" si="59"/>
        <v>#REF!</v>
      </c>
      <c r="R49" s="163" t="e">
        <f t="shared" si="59"/>
        <v>#REF!</v>
      </c>
      <c r="S49" s="163" t="e">
        <f t="shared" si="59"/>
        <v>#REF!</v>
      </c>
      <c r="T49" s="163" t="e">
        <f t="shared" si="59"/>
        <v>#REF!</v>
      </c>
      <c r="U49" s="163" t="e">
        <f>T49+U8</f>
        <v>#REF!</v>
      </c>
      <c r="V49" s="163" t="e">
        <f t="shared" si="59"/>
        <v>#REF!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L49" s="63">
        <v>151.30000000000001</v>
      </c>
      <c r="AM49" s="779"/>
    </row>
    <row r="50" spans="2:39" x14ac:dyDescent="0.3">
      <c r="B50" s="752"/>
      <c r="C50" s="18" t="s">
        <v>13</v>
      </c>
      <c r="D50" s="163">
        <f>D11+Agosto23!AF47</f>
        <v>230209.1</v>
      </c>
      <c r="E50" s="164">
        <f t="shared" si="58"/>
        <v>230519.80000000002</v>
      </c>
      <c r="F50" s="164">
        <f t="shared" si="58"/>
        <v>230822.50000000003</v>
      </c>
      <c r="G50" s="165">
        <v>231148.9</v>
      </c>
      <c r="H50" s="166">
        <v>231319.5</v>
      </c>
      <c r="I50" s="163">
        <f t="shared" si="59"/>
        <v>231539.4</v>
      </c>
      <c r="J50" s="163">
        <f t="shared" si="59"/>
        <v>231930.4</v>
      </c>
      <c r="K50" s="163">
        <f t="shared" si="59"/>
        <v>232335.9</v>
      </c>
      <c r="L50" s="163">
        <f t="shared" si="59"/>
        <v>232630</v>
      </c>
      <c r="M50" s="163">
        <f>L50+M12</f>
        <v>232895</v>
      </c>
      <c r="N50" s="163">
        <f t="shared" si="59"/>
        <v>233257.2</v>
      </c>
      <c r="O50" s="163">
        <f t="shared" si="59"/>
        <v>233622.1</v>
      </c>
      <c r="P50" s="163">
        <f t="shared" si="59"/>
        <v>233860.1</v>
      </c>
      <c r="Q50" s="163">
        <f t="shared" si="59"/>
        <v>234146</v>
      </c>
      <c r="R50" s="163">
        <f t="shared" si="59"/>
        <v>234472.9</v>
      </c>
      <c r="S50" s="163">
        <f t="shared" si="59"/>
        <v>234587.69999999998</v>
      </c>
      <c r="T50" s="163">
        <f t="shared" si="59"/>
        <v>234834.8</v>
      </c>
      <c r="U50" s="163">
        <f t="shared" si="59"/>
        <v>235059.9</v>
      </c>
      <c r="V50" s="163">
        <f t="shared" si="59"/>
        <v>235232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L50" s="82">
        <v>81.099999999999994</v>
      </c>
      <c r="AM50" s="780"/>
    </row>
    <row r="51" spans="2:39" x14ac:dyDescent="0.3">
      <c r="B51" s="753"/>
      <c r="C51" s="18" t="s">
        <v>14</v>
      </c>
      <c r="D51" s="163">
        <f>D12+Agosto23!AF48</f>
        <v>894</v>
      </c>
      <c r="E51" s="164">
        <f t="shared" si="58"/>
        <v>1193</v>
      </c>
      <c r="F51" s="164">
        <f t="shared" si="58"/>
        <v>1485</v>
      </c>
      <c r="G51" s="165">
        <v>1440</v>
      </c>
      <c r="H51" s="166">
        <v>1620</v>
      </c>
      <c r="I51" s="163">
        <f t="shared" si="59"/>
        <v>1870</v>
      </c>
      <c r="J51" s="163">
        <f t="shared" si="59"/>
        <v>2280</v>
      </c>
      <c r="K51" s="163">
        <f t="shared" si="59"/>
        <v>2685</v>
      </c>
      <c r="L51" s="163">
        <f t="shared" si="59"/>
        <v>2995</v>
      </c>
      <c r="M51" s="163">
        <f>L51+M13</f>
        <v>3331.9</v>
      </c>
      <c r="N51" s="163">
        <f t="shared" si="59"/>
        <v>3711.9</v>
      </c>
      <c r="O51" s="163">
        <f t="shared" si="59"/>
        <v>3996.9</v>
      </c>
      <c r="P51" s="163">
        <f t="shared" si="59"/>
        <v>4261.8999999999996</v>
      </c>
      <c r="Q51" s="163">
        <f t="shared" si="59"/>
        <v>4525.8999999999996</v>
      </c>
      <c r="R51" s="163">
        <f t="shared" si="59"/>
        <v>4815.8999999999996</v>
      </c>
      <c r="S51" s="163">
        <f t="shared" si="59"/>
        <v>4900.8999999999996</v>
      </c>
      <c r="T51" s="163">
        <f>S51+T12</f>
        <v>5103.8999999999996</v>
      </c>
      <c r="U51" s="163">
        <f t="shared" si="59"/>
        <v>5318.9</v>
      </c>
      <c r="V51" s="163">
        <f t="shared" si="59"/>
        <v>5438.9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L51" s="63">
        <v>156.9</v>
      </c>
      <c r="AM51" s="778">
        <v>78</v>
      </c>
    </row>
    <row r="52" spans="2:39" x14ac:dyDescent="0.3">
      <c r="B52" s="751" t="s">
        <v>16</v>
      </c>
      <c r="C52" s="18" t="s">
        <v>17</v>
      </c>
      <c r="D52" s="163">
        <f>D13+Agosto23!AF49</f>
        <v>137290.20000000001</v>
      </c>
      <c r="E52" s="164">
        <f t="shared" si="58"/>
        <v>137661.90000000002</v>
      </c>
      <c r="F52" s="164">
        <f t="shared" si="58"/>
        <v>138040.10000000003</v>
      </c>
      <c r="G52" s="165">
        <v>138545</v>
      </c>
      <c r="H52" s="166">
        <v>138937</v>
      </c>
      <c r="I52" s="163">
        <f t="shared" si="59"/>
        <v>139248.6</v>
      </c>
      <c r="J52" s="163">
        <f t="shared" si="59"/>
        <v>139775.4</v>
      </c>
      <c r="K52" s="163">
        <f t="shared" si="59"/>
        <v>140286.6</v>
      </c>
      <c r="L52" s="163">
        <f t="shared" si="59"/>
        <v>140693.80000000002</v>
      </c>
      <c r="M52" s="163" t="e">
        <f>L52+#REF!</f>
        <v>#REF!</v>
      </c>
      <c r="N52" s="163" t="e">
        <f t="shared" si="59"/>
        <v>#REF!</v>
      </c>
      <c r="O52" s="163" t="e">
        <f t="shared" si="59"/>
        <v>#REF!</v>
      </c>
      <c r="P52" s="163" t="e">
        <f t="shared" si="59"/>
        <v>#REF!</v>
      </c>
      <c r="Q52" s="163" t="e">
        <f t="shared" si="59"/>
        <v>#REF!</v>
      </c>
      <c r="R52" s="163" t="e">
        <f t="shared" si="59"/>
        <v>#REF!</v>
      </c>
      <c r="S52" s="163" t="e">
        <f t="shared" si="59"/>
        <v>#REF!</v>
      </c>
      <c r="T52" s="163" t="e">
        <f>S52+T13</f>
        <v>#REF!</v>
      </c>
      <c r="U52" s="163" t="e">
        <f t="shared" si="59"/>
        <v>#REF!</v>
      </c>
      <c r="V52" s="163" t="e">
        <f t="shared" si="59"/>
        <v>#REF!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L52" s="63">
        <v>195.6</v>
      </c>
      <c r="AM52" s="779"/>
    </row>
    <row r="53" spans="2:39" x14ac:dyDescent="0.3">
      <c r="B53" s="752"/>
      <c r="C53" s="18" t="s">
        <v>18</v>
      </c>
      <c r="D53" s="163">
        <f>D14+Agosto23!AF50</f>
        <v>127592.8</v>
      </c>
      <c r="E53" s="164">
        <f t="shared" si="58"/>
        <v>127920.5</v>
      </c>
      <c r="F53" s="164">
        <f t="shared" si="58"/>
        <v>127920.5</v>
      </c>
      <c r="G53" s="165">
        <v>128878</v>
      </c>
      <c r="H53" s="166">
        <v>129112</v>
      </c>
      <c r="I53" s="163">
        <f t="shared" si="59"/>
        <v>129112</v>
      </c>
      <c r="J53" s="163">
        <f t="shared" si="59"/>
        <v>129112</v>
      </c>
      <c r="K53" s="163">
        <f t="shared" si="59"/>
        <v>129112</v>
      </c>
      <c r="L53" s="163">
        <f t="shared" si="59"/>
        <v>129183.7</v>
      </c>
      <c r="M53" s="163">
        <f t="shared" si="59"/>
        <v>129583.8</v>
      </c>
      <c r="N53" s="163">
        <f t="shared" si="59"/>
        <v>130064.8</v>
      </c>
      <c r="O53" s="163">
        <f>N53+O14</f>
        <v>130529.3</v>
      </c>
      <c r="P53" s="163">
        <f t="shared" si="59"/>
        <v>130776.8</v>
      </c>
      <c r="Q53" s="163">
        <f t="shared" si="59"/>
        <v>130776.8</v>
      </c>
      <c r="R53" s="163">
        <f t="shared" si="59"/>
        <v>130776.8</v>
      </c>
      <c r="S53" s="163">
        <f t="shared" si="59"/>
        <v>130776.8</v>
      </c>
      <c r="T53" s="163" t="e">
        <f>S53+#REF!</f>
        <v>#REF!</v>
      </c>
      <c r="U53" s="163" t="e">
        <f>T53+U14</f>
        <v>#REF!</v>
      </c>
      <c r="V53" s="163" t="e">
        <f t="shared" si="59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L53" s="63">
        <v>55.4</v>
      </c>
      <c r="AM53" s="780"/>
    </row>
    <row r="54" spans="2:39" x14ac:dyDescent="0.3">
      <c r="B54" s="752"/>
      <c r="C54" s="18" t="s">
        <v>19</v>
      </c>
      <c r="D54" s="163">
        <f>D15+Agosto23!AF51</f>
        <v>37795.300000000003</v>
      </c>
      <c r="E54" s="164">
        <f t="shared" si="58"/>
        <v>37917.5</v>
      </c>
      <c r="F54" s="164">
        <f t="shared" si="58"/>
        <v>38034.9</v>
      </c>
      <c r="G54" s="165">
        <v>38160</v>
      </c>
      <c r="H54" s="166">
        <v>38222</v>
      </c>
      <c r="I54" s="163">
        <f t="shared" si="59"/>
        <v>38305</v>
      </c>
      <c r="J54" s="163">
        <f t="shared" si="59"/>
        <v>38452</v>
      </c>
      <c r="K54" s="163">
        <f t="shared" si="59"/>
        <v>38604.699999999997</v>
      </c>
      <c r="L54" s="163">
        <f t="shared" si="59"/>
        <v>38724.699999999997</v>
      </c>
      <c r="M54" s="163">
        <f t="shared" si="59"/>
        <v>38836.1</v>
      </c>
      <c r="N54" s="163">
        <f t="shared" si="59"/>
        <v>38976.199999999997</v>
      </c>
      <c r="O54" s="163">
        <f>N54+O15</f>
        <v>39112.1</v>
      </c>
      <c r="P54" s="163">
        <f t="shared" si="59"/>
        <v>39221.799999999996</v>
      </c>
      <c r="Q54" s="163">
        <f t="shared" si="59"/>
        <v>39338.399999999994</v>
      </c>
      <c r="R54" s="163">
        <f t="shared" si="59"/>
        <v>39460.299999999996</v>
      </c>
      <c r="S54" s="163">
        <f t="shared" si="59"/>
        <v>39500.1</v>
      </c>
      <c r="T54" s="163">
        <f>S54+T15</f>
        <v>39592.799999999996</v>
      </c>
      <c r="U54" s="163">
        <f>T54+U15</f>
        <v>39680.199999999997</v>
      </c>
      <c r="V54" s="163">
        <f t="shared" si="59"/>
        <v>39742.699999999997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L54" s="63">
        <v>183.6</v>
      </c>
      <c r="AM54" s="778">
        <v>60</v>
      </c>
    </row>
    <row r="55" spans="2:39" x14ac:dyDescent="0.3">
      <c r="B55" s="753"/>
      <c r="C55" s="18" t="s">
        <v>20</v>
      </c>
      <c r="D55" s="163">
        <f>D16+Agosto23!AF52</f>
        <v>96989.7</v>
      </c>
      <c r="E55" s="164">
        <f t="shared" si="58"/>
        <v>97111.8</v>
      </c>
      <c r="F55" s="164">
        <f t="shared" si="58"/>
        <v>97190</v>
      </c>
      <c r="G55" s="165">
        <v>98510</v>
      </c>
      <c r="H55" s="166">
        <v>98809</v>
      </c>
      <c r="I55" s="163">
        <f t="shared" si="59"/>
        <v>99046.2</v>
      </c>
      <c r="J55" s="163">
        <f t="shared" si="59"/>
        <v>99179.3</v>
      </c>
      <c r="K55" s="163">
        <f t="shared" si="59"/>
        <v>99276.6</v>
      </c>
      <c r="L55" s="163">
        <f t="shared" si="59"/>
        <v>99700.200000000012</v>
      </c>
      <c r="M55" s="163">
        <f t="shared" si="59"/>
        <v>100079.1</v>
      </c>
      <c r="N55" s="163">
        <f t="shared" si="59"/>
        <v>100495.6</v>
      </c>
      <c r="O55" s="163">
        <f t="shared" si="59"/>
        <v>100964.40000000001</v>
      </c>
      <c r="P55" s="163">
        <f t="shared" si="59"/>
        <v>101338.3</v>
      </c>
      <c r="Q55" s="163">
        <f t="shared" si="59"/>
        <v>101738.5</v>
      </c>
      <c r="R55" s="163">
        <f t="shared" si="59"/>
        <v>102114.4</v>
      </c>
      <c r="S55" s="163">
        <f t="shared" si="59"/>
        <v>102252</v>
      </c>
      <c r="T55" s="163">
        <f>S55+T14</f>
        <v>102252</v>
      </c>
      <c r="U55" s="163">
        <f t="shared" si="59"/>
        <v>102587.5</v>
      </c>
      <c r="V55" s="163">
        <f t="shared" si="59"/>
        <v>102788.4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L55" s="63" t="s">
        <v>31</v>
      </c>
      <c r="AM55" s="779"/>
    </row>
    <row r="56" spans="2:39" x14ac:dyDescent="0.3">
      <c r="B56" s="754" t="s">
        <v>21</v>
      </c>
      <c r="C56" s="18" t="s">
        <v>22</v>
      </c>
      <c r="D56" s="163">
        <f>D17+Agosto23!AF53</f>
        <v>66079.400000000009</v>
      </c>
      <c r="E56" s="164">
        <f t="shared" si="58"/>
        <v>66521.700000000012</v>
      </c>
      <c r="F56" s="164">
        <f t="shared" si="58"/>
        <v>66939.800000000017</v>
      </c>
      <c r="G56" s="165">
        <v>67299</v>
      </c>
      <c r="H56" s="166">
        <v>67726</v>
      </c>
      <c r="I56" s="163">
        <f t="shared" si="59"/>
        <v>68020.600000000006</v>
      </c>
      <c r="J56" s="163">
        <f t="shared" si="59"/>
        <v>68442.900000000009</v>
      </c>
      <c r="K56" s="163" t="e">
        <f>J56+#REF!</f>
        <v>#REF!</v>
      </c>
      <c r="L56" s="163" t="e">
        <f>K56+#REF!</f>
        <v>#REF!</v>
      </c>
      <c r="M56" s="163" t="e">
        <f t="shared" si="59"/>
        <v>#REF!</v>
      </c>
      <c r="N56" s="163" t="e">
        <f>M56+N18</f>
        <v>#REF!</v>
      </c>
      <c r="O56" s="163" t="e">
        <f t="shared" si="59"/>
        <v>#REF!</v>
      </c>
      <c r="P56" s="163" t="e">
        <f t="shared" si="59"/>
        <v>#REF!</v>
      </c>
      <c r="Q56" s="163" t="e">
        <f t="shared" si="59"/>
        <v>#REF!</v>
      </c>
      <c r="R56" s="163" t="e">
        <f t="shared" si="59"/>
        <v>#REF!</v>
      </c>
      <c r="S56" s="163" t="e">
        <f t="shared" si="59"/>
        <v>#REF!</v>
      </c>
      <c r="T56" s="163" t="e">
        <f t="shared" si="59"/>
        <v>#REF!</v>
      </c>
      <c r="U56" s="163" t="e">
        <f t="shared" si="59"/>
        <v>#REF!</v>
      </c>
      <c r="V56" s="163" t="e">
        <f t="shared" si="59"/>
        <v>#REF!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L56" s="63">
        <v>40.200000000000003</v>
      </c>
      <c r="AM56" s="780"/>
    </row>
    <row r="57" spans="2:39" x14ac:dyDescent="0.3">
      <c r="B57" s="754"/>
      <c r="C57" s="18" t="s">
        <v>23</v>
      </c>
      <c r="D57" s="163">
        <f>D18+Agosto23!AF54</f>
        <v>74681.200000000012</v>
      </c>
      <c r="E57" s="164">
        <f t="shared" si="58"/>
        <v>75163.000000000015</v>
      </c>
      <c r="F57" s="164">
        <f t="shared" si="58"/>
        <v>75621.400000000009</v>
      </c>
      <c r="G57" s="165">
        <v>75901</v>
      </c>
      <c r="H57" s="166">
        <v>76333</v>
      </c>
      <c r="I57" s="163">
        <f t="shared" si="59"/>
        <v>76651.199999999997</v>
      </c>
      <c r="J57" s="163">
        <f t="shared" si="59"/>
        <v>77107.7</v>
      </c>
      <c r="K57" s="163">
        <f t="shared" si="59"/>
        <v>77637.3</v>
      </c>
      <c r="L57" s="163">
        <f>K57+L17</f>
        <v>77987.600000000006</v>
      </c>
      <c r="M57" s="163">
        <f>L57+M19</f>
        <v>78263</v>
      </c>
      <c r="N57" s="163" t="e">
        <f>M57+#REF!</f>
        <v>#REF!</v>
      </c>
      <c r="O57" s="163" t="e">
        <f t="shared" si="59"/>
        <v>#REF!</v>
      </c>
      <c r="P57" s="163" t="e">
        <f t="shared" si="59"/>
        <v>#REF!</v>
      </c>
      <c r="Q57" s="163" t="e">
        <f>P57+Q19</f>
        <v>#REF!</v>
      </c>
      <c r="R57" s="163" t="e">
        <f>Q57+#REF!</f>
        <v>#REF!</v>
      </c>
      <c r="S57" s="163" t="e">
        <f t="shared" si="59"/>
        <v>#REF!</v>
      </c>
      <c r="T57" s="163" t="e">
        <f t="shared" si="59"/>
        <v>#REF!</v>
      </c>
      <c r="U57" s="163" t="e">
        <f t="shared" si="59"/>
        <v>#REF!</v>
      </c>
      <c r="V57" s="163" t="e">
        <f t="shared" si="59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L57" s="63">
        <v>115</v>
      </c>
      <c r="AM57" s="784">
        <v>100</v>
      </c>
    </row>
    <row r="58" spans="2:39" x14ac:dyDescent="0.3">
      <c r="B58" s="754"/>
      <c r="C58" s="18" t="s">
        <v>24</v>
      </c>
      <c r="D58" s="163">
        <f>D19+Agosto23!AF55</f>
        <v>135980.70000000001</v>
      </c>
      <c r="E58" s="164">
        <f t="shared" si="58"/>
        <v>136391.70000000001</v>
      </c>
      <c r="F58" s="164">
        <f t="shared" si="58"/>
        <v>136470.70000000001</v>
      </c>
      <c r="G58" s="165">
        <v>137294</v>
      </c>
      <c r="H58" s="166">
        <v>137664</v>
      </c>
      <c r="I58" s="163">
        <f>H58+I19</f>
        <v>137923.29999999999</v>
      </c>
      <c r="J58" s="163">
        <f t="shared" si="59"/>
        <v>138282.09999999998</v>
      </c>
      <c r="K58" s="163">
        <f t="shared" si="59"/>
        <v>138681.09999999998</v>
      </c>
      <c r="L58" s="163">
        <f>K58+L21</f>
        <v>139024.09999999998</v>
      </c>
      <c r="M58" s="163" t="e">
        <f>L58+#REF!</f>
        <v>#REF!</v>
      </c>
      <c r="N58" s="163" t="e">
        <f t="shared" si="59"/>
        <v>#REF!</v>
      </c>
      <c r="O58" s="163" t="e">
        <f t="shared" si="59"/>
        <v>#REF!</v>
      </c>
      <c r="P58" s="163" t="e">
        <f t="shared" si="59"/>
        <v>#REF!</v>
      </c>
      <c r="Q58" s="163" t="e">
        <f>P58+#REF!</f>
        <v>#REF!</v>
      </c>
      <c r="R58" s="163" t="e">
        <f t="shared" si="59"/>
        <v>#REF!</v>
      </c>
      <c r="S58" s="163" t="e">
        <f t="shared" si="59"/>
        <v>#REF!</v>
      </c>
      <c r="T58" s="163" t="e">
        <f t="shared" si="59"/>
        <v>#REF!</v>
      </c>
      <c r="U58" s="163" t="e">
        <f>T58+U19</f>
        <v>#REF!</v>
      </c>
      <c r="V58" s="163" t="e">
        <f>U58+#REF!</f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L58" s="63">
        <v>160.30000000000001</v>
      </c>
      <c r="AM58" s="785"/>
    </row>
    <row r="59" spans="2:39" x14ac:dyDescent="0.3">
      <c r="B59" s="754"/>
      <c r="C59" s="18" t="s">
        <v>25</v>
      </c>
      <c r="D59" s="163">
        <f>D20+Agosto23!AF56</f>
        <v>174331</v>
      </c>
      <c r="E59" s="164">
        <f t="shared" si="58"/>
        <v>174806</v>
      </c>
      <c r="F59" s="164">
        <f t="shared" si="58"/>
        <v>174891.8</v>
      </c>
      <c r="G59" s="165">
        <v>176032</v>
      </c>
      <c r="H59" s="166">
        <v>176536</v>
      </c>
      <c r="I59" s="163">
        <f>H59+I20</f>
        <v>176886.5</v>
      </c>
      <c r="J59" s="163">
        <f t="shared" si="59"/>
        <v>177338.8</v>
      </c>
      <c r="K59" s="163">
        <f>J59+K17</f>
        <v>177815.3</v>
      </c>
      <c r="L59" s="163">
        <f t="shared" si="59"/>
        <v>178219.9</v>
      </c>
      <c r="M59" s="163">
        <f t="shared" si="59"/>
        <v>178594.3</v>
      </c>
      <c r="N59" s="163">
        <f>M59+N21</f>
        <v>179055.09999999998</v>
      </c>
      <c r="O59" s="163" t="e">
        <f>N59+#REF!</f>
        <v>#REF!</v>
      </c>
      <c r="P59" s="163" t="e">
        <f t="shared" si="59"/>
        <v>#REF!</v>
      </c>
      <c r="Q59" s="163" t="e">
        <f t="shared" si="59"/>
        <v>#REF!</v>
      </c>
      <c r="R59" s="163" t="e">
        <f>Q59+R18</f>
        <v>#REF!</v>
      </c>
      <c r="S59" s="163" t="e">
        <f>R59+S21</f>
        <v>#REF!</v>
      </c>
      <c r="T59" s="163" t="e">
        <f>S59+#REF!</f>
        <v>#REF!</v>
      </c>
      <c r="U59" s="163" t="e">
        <f>T59+U20</f>
        <v>#REF!</v>
      </c>
      <c r="V59" s="163" t="e">
        <f>U59+V19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L59" s="63">
        <v>136.9</v>
      </c>
      <c r="AM59" s="786"/>
    </row>
    <row r="60" spans="2:39" x14ac:dyDescent="0.3">
      <c r="B60" s="754"/>
      <c r="C60" s="18" t="s">
        <v>26</v>
      </c>
      <c r="D60" s="163">
        <f>D21+Agosto23!AF57</f>
        <v>82154.600000000006</v>
      </c>
      <c r="E60" s="164">
        <f t="shared" ref="E60:F66" si="60">D60+E21</f>
        <v>82552.600000000006</v>
      </c>
      <c r="F60" s="164">
        <f t="shared" si="60"/>
        <v>82617.5</v>
      </c>
      <c r="G60" s="165">
        <v>83628</v>
      </c>
      <c r="H60" s="166">
        <v>84081</v>
      </c>
      <c r="I60" s="163">
        <f t="shared" ref="I60:L66" si="61">H60+I21</f>
        <v>84373.4</v>
      </c>
      <c r="J60" s="163">
        <f t="shared" si="61"/>
        <v>84766.099999999991</v>
      </c>
      <c r="K60" s="163">
        <f t="shared" si="61"/>
        <v>85245.499999999985</v>
      </c>
      <c r="L60" s="163" t="e">
        <f>K60+#REF!</f>
        <v>#REF!</v>
      </c>
      <c r="M60" s="163" t="e">
        <f>L60+#REF!</f>
        <v>#REF!</v>
      </c>
      <c r="N60" s="163" t="e">
        <f>M60+#REF!</f>
        <v>#REF!</v>
      </c>
      <c r="O60" s="163" t="e">
        <f t="shared" ref="M60:S66" si="62">N60+O21</f>
        <v>#REF!</v>
      </c>
      <c r="P60" s="163" t="e">
        <f t="shared" si="62"/>
        <v>#REF!</v>
      </c>
      <c r="Q60" s="163" t="e">
        <f t="shared" si="62"/>
        <v>#REF!</v>
      </c>
      <c r="R60" s="163" t="e">
        <f t="shared" si="62"/>
        <v>#REF!</v>
      </c>
      <c r="S60" s="163" t="e">
        <f>R60+#REF!</f>
        <v>#REF!</v>
      </c>
      <c r="T60" s="163" t="e">
        <f>S60+T20</f>
        <v>#REF!</v>
      </c>
      <c r="U60" s="163" t="e">
        <f t="shared" ref="T60:V66" si="63">T60+U21</f>
        <v>#REF!</v>
      </c>
      <c r="V60" s="163" t="e">
        <f t="shared" si="63"/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L60" s="63">
        <v>147.5</v>
      </c>
      <c r="AM60" s="784">
        <v>100</v>
      </c>
    </row>
    <row r="61" spans="2:39" x14ac:dyDescent="0.3">
      <c r="B61" s="754"/>
      <c r="C61" s="18" t="s">
        <v>27</v>
      </c>
      <c r="D61" s="163">
        <f>D22+Agosto23!AF58</f>
        <v>61451.1</v>
      </c>
      <c r="E61" s="164">
        <f t="shared" si="60"/>
        <v>61921.599999999999</v>
      </c>
      <c r="F61" s="164">
        <f t="shared" si="60"/>
        <v>62049.299999999996</v>
      </c>
      <c r="G61" s="165">
        <v>63058</v>
      </c>
      <c r="H61" s="166">
        <v>63281</v>
      </c>
      <c r="I61" s="163">
        <f t="shared" si="61"/>
        <v>63587.4</v>
      </c>
      <c r="J61" s="163">
        <f t="shared" si="61"/>
        <v>64093</v>
      </c>
      <c r="K61" s="163">
        <f t="shared" si="61"/>
        <v>64612.3</v>
      </c>
      <c r="L61" s="163">
        <f t="shared" si="61"/>
        <v>65050</v>
      </c>
      <c r="M61" s="163" t="e">
        <f>L61+#REF!</f>
        <v>#REF!</v>
      </c>
      <c r="N61" s="163" t="e">
        <f t="shared" si="62"/>
        <v>#REF!</v>
      </c>
      <c r="O61" s="163" t="e">
        <f t="shared" si="62"/>
        <v>#REF!</v>
      </c>
      <c r="P61" s="163" t="e">
        <f t="shared" si="62"/>
        <v>#REF!</v>
      </c>
      <c r="Q61" s="163" t="e">
        <f t="shared" si="62"/>
        <v>#REF!</v>
      </c>
      <c r="R61" s="163" t="e">
        <f t="shared" si="62"/>
        <v>#REF!</v>
      </c>
      <c r="S61" s="163" t="e">
        <f t="shared" si="62"/>
        <v>#REF!</v>
      </c>
      <c r="T61" s="163" t="e">
        <f t="shared" si="63"/>
        <v>#REF!</v>
      </c>
      <c r="U61" s="163" t="e">
        <f t="shared" si="63"/>
        <v>#REF!</v>
      </c>
      <c r="V61" s="163" t="e">
        <f t="shared" si="63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L61" s="63">
        <v>189.83</v>
      </c>
      <c r="AM61" s="785"/>
    </row>
    <row r="62" spans="2:39" x14ac:dyDescent="0.3">
      <c r="B62" s="754"/>
      <c r="C62" s="18" t="s">
        <v>28</v>
      </c>
      <c r="D62" s="163">
        <f>D23+Agosto23!AF59</f>
        <v>87585.27</v>
      </c>
      <c r="E62" s="164">
        <f t="shared" si="60"/>
        <v>88000.27</v>
      </c>
      <c r="F62" s="164">
        <f t="shared" si="60"/>
        <v>88112.87000000001</v>
      </c>
      <c r="G62" s="165">
        <v>87693.64</v>
      </c>
      <c r="H62" s="166">
        <v>87903.16</v>
      </c>
      <c r="I62" s="163">
        <f t="shared" si="61"/>
        <v>88173.56</v>
      </c>
      <c r="J62" s="163">
        <f t="shared" si="61"/>
        <v>88622.36</v>
      </c>
      <c r="K62" s="163">
        <f>J62+K23</f>
        <v>89080.66</v>
      </c>
      <c r="L62" s="163">
        <f t="shared" si="61"/>
        <v>89471.06</v>
      </c>
      <c r="M62" s="163">
        <f>L62+M22</f>
        <v>89889.16</v>
      </c>
      <c r="N62" s="163">
        <f>M62+N24</f>
        <v>91489.66</v>
      </c>
      <c r="O62" s="163">
        <f>N62+O20</f>
        <v>91993.56</v>
      </c>
      <c r="P62" s="163">
        <f t="shared" si="62"/>
        <v>92329.959999999992</v>
      </c>
      <c r="Q62" s="163">
        <f t="shared" si="62"/>
        <v>92712.959999999992</v>
      </c>
      <c r="R62" s="163">
        <f t="shared" si="62"/>
        <v>93110.659999999989</v>
      </c>
      <c r="S62" s="163">
        <f t="shared" si="62"/>
        <v>93246.26</v>
      </c>
      <c r="T62" s="163" t="e">
        <f>S62+#REF!</f>
        <v>#REF!</v>
      </c>
      <c r="U62" s="163" t="e">
        <f t="shared" si="63"/>
        <v>#REF!</v>
      </c>
      <c r="V62" s="163" t="e">
        <f>U62+V23</f>
        <v>#REF!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L62" s="63">
        <v>223.4</v>
      </c>
      <c r="AM62" s="786"/>
    </row>
    <row r="63" spans="2:39" x14ac:dyDescent="0.3">
      <c r="B63" s="754"/>
      <c r="C63" s="18" t="s">
        <v>29</v>
      </c>
      <c r="D63" s="163">
        <f>D24+Agosto23!AF60</f>
        <v>129727.9</v>
      </c>
      <c r="E63" s="164">
        <f t="shared" si="60"/>
        <v>131349.1</v>
      </c>
      <c r="F63" s="164">
        <f t="shared" si="60"/>
        <v>131797.5</v>
      </c>
      <c r="G63" s="165">
        <v>130195</v>
      </c>
      <c r="H63" s="166">
        <v>130451</v>
      </c>
      <c r="I63" s="163">
        <f t="shared" si="61"/>
        <v>131528</v>
      </c>
      <c r="J63" s="163">
        <f>I63+J29</f>
        <v>131825.29999999999</v>
      </c>
      <c r="K63" s="163">
        <f>J63+K24</f>
        <v>133622.19999999998</v>
      </c>
      <c r="L63" s="163">
        <f t="shared" si="61"/>
        <v>135155.19999999998</v>
      </c>
      <c r="M63" s="163">
        <f t="shared" si="62"/>
        <v>136604.19999999998</v>
      </c>
      <c r="N63" s="163" t="e">
        <f>M63+#REF!</f>
        <v>#REF!</v>
      </c>
      <c r="O63" s="163" t="e">
        <f t="shared" si="62"/>
        <v>#REF!</v>
      </c>
      <c r="P63" s="163" t="e">
        <f t="shared" si="62"/>
        <v>#REF!</v>
      </c>
      <c r="Q63" s="163" t="e">
        <f t="shared" si="62"/>
        <v>#REF!</v>
      </c>
      <c r="R63" s="163" t="e">
        <f t="shared" si="62"/>
        <v>#REF!</v>
      </c>
      <c r="S63" s="163" t="e">
        <f t="shared" si="62"/>
        <v>#REF!</v>
      </c>
      <c r="T63" s="163" t="e">
        <f t="shared" si="63"/>
        <v>#REF!</v>
      </c>
      <c r="U63" s="163" t="e">
        <f t="shared" si="63"/>
        <v>#REF!</v>
      </c>
      <c r="V63" s="163" t="e">
        <f>U63+#REF!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L63" s="63">
        <v>619</v>
      </c>
      <c r="AM63" s="778">
        <v>29</v>
      </c>
    </row>
    <row r="64" spans="2:39" x14ac:dyDescent="0.3">
      <c r="B64" s="754"/>
      <c r="C64" s="18" t="s">
        <v>30</v>
      </c>
      <c r="D64" s="163">
        <f>D25+Agosto23!AF61</f>
        <v>14491.8</v>
      </c>
      <c r="E64" s="164">
        <f t="shared" si="60"/>
        <v>15011.9</v>
      </c>
      <c r="F64" s="164">
        <f t="shared" si="60"/>
        <v>15357.5</v>
      </c>
      <c r="G64" s="165">
        <v>18667</v>
      </c>
      <c r="H64" s="166">
        <v>19364</v>
      </c>
      <c r="I64" s="163">
        <f t="shared" si="61"/>
        <v>19622.099999999999</v>
      </c>
      <c r="J64" s="163">
        <f t="shared" si="61"/>
        <v>19953.199999999997</v>
      </c>
      <c r="K64" s="163">
        <f t="shared" si="61"/>
        <v>20491.999999999996</v>
      </c>
      <c r="L64" s="163">
        <f t="shared" si="61"/>
        <v>20997.699999999997</v>
      </c>
      <c r="M64" s="163">
        <f t="shared" si="62"/>
        <v>21256.799999999996</v>
      </c>
      <c r="N64" s="163" t="e">
        <f>M64+#REF!</f>
        <v>#REF!</v>
      </c>
      <c r="O64" s="163" t="e">
        <f t="shared" si="62"/>
        <v>#REF!</v>
      </c>
      <c r="P64" s="163" t="e">
        <f t="shared" si="62"/>
        <v>#REF!</v>
      </c>
      <c r="Q64" s="163" t="e">
        <f t="shared" si="62"/>
        <v>#REF!</v>
      </c>
      <c r="R64" s="163" t="e">
        <f t="shared" si="62"/>
        <v>#REF!</v>
      </c>
      <c r="S64" s="163" t="e">
        <f t="shared" si="62"/>
        <v>#REF!</v>
      </c>
      <c r="T64" s="163" t="e">
        <f>S64+T26</f>
        <v>#REF!</v>
      </c>
      <c r="U64" s="163" t="e">
        <f>T64+U26</f>
        <v>#REF!</v>
      </c>
      <c r="V64" s="163" t="e">
        <f>U64+V25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L64" s="63">
        <v>219.3</v>
      </c>
      <c r="AM64" s="779"/>
    </row>
    <row r="65" spans="2:39" x14ac:dyDescent="0.3">
      <c r="B65" s="754"/>
      <c r="C65" s="18" t="s">
        <v>111</v>
      </c>
      <c r="D65" s="163">
        <f>D26+Agosto23!AF62</f>
        <v>45267.9</v>
      </c>
      <c r="E65" s="164">
        <f t="shared" si="60"/>
        <v>45744</v>
      </c>
      <c r="F65" s="164">
        <f t="shared" si="60"/>
        <v>45901</v>
      </c>
      <c r="G65" s="165">
        <v>46772</v>
      </c>
      <c r="H65" s="166">
        <v>47086</v>
      </c>
      <c r="I65" s="163">
        <f t="shared" si="61"/>
        <v>47364.9</v>
      </c>
      <c r="J65" s="163">
        <f t="shared" si="61"/>
        <v>47745</v>
      </c>
      <c r="K65" s="163">
        <f t="shared" si="61"/>
        <v>48265.599999999999</v>
      </c>
      <c r="L65" s="163">
        <f t="shared" si="61"/>
        <v>48710.9</v>
      </c>
      <c r="M65" s="163">
        <f t="shared" si="62"/>
        <v>49072.200000000004</v>
      </c>
      <c r="N65" s="163">
        <f>M65+N25</f>
        <v>49465.500000000007</v>
      </c>
      <c r="O65" s="163">
        <f t="shared" si="62"/>
        <v>49928.30000000001</v>
      </c>
      <c r="P65" s="163">
        <f t="shared" si="62"/>
        <v>50286.200000000012</v>
      </c>
      <c r="Q65" s="163">
        <f t="shared" si="62"/>
        <v>50647.400000000009</v>
      </c>
      <c r="R65" s="163">
        <f t="shared" si="62"/>
        <v>51014.80000000001</v>
      </c>
      <c r="S65" s="163">
        <f t="shared" si="62"/>
        <v>51181.30000000001</v>
      </c>
      <c r="T65" s="163" t="e">
        <f>S65+#REF!</f>
        <v>#REF!</v>
      </c>
      <c r="U65" s="163" t="e">
        <f>T65+#REF!</f>
        <v>#REF!</v>
      </c>
      <c r="V65" s="163" t="e">
        <f t="shared" si="63"/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L65" s="63">
        <v>66.900000000000006</v>
      </c>
      <c r="AM65" s="780"/>
    </row>
    <row r="66" spans="2:39" ht="15" thickBot="1" x14ac:dyDescent="0.35">
      <c r="B66" s="754"/>
      <c r="C66" s="18" t="s">
        <v>32</v>
      </c>
      <c r="D66" s="163">
        <f>D27+Agosto23!AF63</f>
        <v>9491.8000000000011</v>
      </c>
      <c r="E66" s="164">
        <f t="shared" si="60"/>
        <v>9942.4000000000015</v>
      </c>
      <c r="F66" s="164">
        <f t="shared" si="60"/>
        <v>10257.000000000002</v>
      </c>
      <c r="G66" s="165">
        <v>10779</v>
      </c>
      <c r="H66" s="166">
        <v>10940</v>
      </c>
      <c r="I66" s="163">
        <f>H66+I27</f>
        <v>10941.6</v>
      </c>
      <c r="J66" s="163">
        <f t="shared" si="61"/>
        <v>11306.9</v>
      </c>
      <c r="K66" s="163">
        <f t="shared" si="61"/>
        <v>11781.9</v>
      </c>
      <c r="L66" s="163">
        <f t="shared" si="61"/>
        <v>12177</v>
      </c>
      <c r="M66" s="163">
        <f t="shared" si="62"/>
        <v>12427.9</v>
      </c>
      <c r="N66" s="163">
        <f t="shared" si="62"/>
        <v>12820.5</v>
      </c>
      <c r="O66" s="163">
        <f t="shared" si="62"/>
        <v>13194.6</v>
      </c>
      <c r="P66" s="163">
        <f t="shared" si="62"/>
        <v>13571.2</v>
      </c>
      <c r="Q66" s="163">
        <f t="shared" si="62"/>
        <v>13888.900000000001</v>
      </c>
      <c r="R66" s="163">
        <f t="shared" si="62"/>
        <v>14165.500000000002</v>
      </c>
      <c r="S66" s="163">
        <f t="shared" si="62"/>
        <v>14274.100000000002</v>
      </c>
      <c r="T66" s="163">
        <f t="shared" si="63"/>
        <v>14620.100000000002</v>
      </c>
      <c r="U66" s="163">
        <f t="shared" si="63"/>
        <v>14681.300000000003</v>
      </c>
      <c r="V66" s="163">
        <f t="shared" si="63"/>
        <v>15008.000000000004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L66" s="93">
        <v>150.6</v>
      </c>
      <c r="AM66" s="784">
        <v>100</v>
      </c>
    </row>
    <row r="67" spans="2:39" x14ac:dyDescent="0.3">
      <c r="B67" s="754"/>
      <c r="C67" s="18" t="s">
        <v>112</v>
      </c>
      <c r="D67" s="163">
        <f>D28+Agosto23!AF64</f>
        <v>18941.8</v>
      </c>
      <c r="E67" s="164">
        <f>D67+E29</f>
        <v>19285.3</v>
      </c>
      <c r="F67" s="164">
        <f>E67+F29</f>
        <v>19550.599999999999</v>
      </c>
      <c r="G67" s="165">
        <v>20520.400000000001</v>
      </c>
      <c r="H67" s="166">
        <v>20739</v>
      </c>
      <c r="I67" s="163">
        <f t="shared" ref="I67:V67" si="64">H67+I29</f>
        <v>20740.099999999999</v>
      </c>
      <c r="J67" s="163">
        <f>I67+J30</f>
        <v>21133.399999999998</v>
      </c>
      <c r="K67" s="163">
        <f t="shared" si="64"/>
        <v>21482.1</v>
      </c>
      <c r="L67" s="163">
        <f t="shared" si="64"/>
        <v>21787.3</v>
      </c>
      <c r="M67" s="163">
        <f t="shared" si="64"/>
        <v>22008.6</v>
      </c>
      <c r="N67" s="163">
        <f>M67+N30</f>
        <v>22328.899999999998</v>
      </c>
      <c r="O67" s="163">
        <f t="shared" si="64"/>
        <v>22580.199999999997</v>
      </c>
      <c r="P67" s="163">
        <f t="shared" si="64"/>
        <v>22858.799999999996</v>
      </c>
      <c r="Q67" s="163">
        <f t="shared" si="64"/>
        <v>23096.599999999995</v>
      </c>
      <c r="R67" s="163">
        <f t="shared" si="64"/>
        <v>23298.999999999996</v>
      </c>
      <c r="S67" s="163">
        <f t="shared" si="64"/>
        <v>23376.799999999996</v>
      </c>
      <c r="T67" s="163">
        <f t="shared" si="64"/>
        <v>23620.399999999994</v>
      </c>
      <c r="U67" s="163">
        <f t="shared" si="64"/>
        <v>23669.599999999995</v>
      </c>
      <c r="V67" s="163">
        <f t="shared" si="64"/>
        <v>23901.699999999993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M67" s="785"/>
    </row>
    <row r="68" spans="2:39" x14ac:dyDescent="0.3">
      <c r="B68" s="756" t="s">
        <v>196</v>
      </c>
      <c r="C68" s="756"/>
      <c r="D68" s="756"/>
      <c r="E68" s="756"/>
      <c r="AM68" s="786"/>
    </row>
    <row r="69" spans="2:39" x14ac:dyDescent="0.3">
      <c r="B69" s="757" t="s">
        <v>132</v>
      </c>
      <c r="C69" s="757"/>
      <c r="D69" s="757"/>
      <c r="E69" s="757"/>
      <c r="AM69" s="784">
        <v>110</v>
      </c>
    </row>
    <row r="70" spans="2:39" x14ac:dyDescent="0.3">
      <c r="AM70" s="785"/>
    </row>
    <row r="71" spans="2:39" x14ac:dyDescent="0.3">
      <c r="AM71" s="786"/>
    </row>
    <row r="72" spans="2:39" x14ac:dyDescent="0.3">
      <c r="AM72" s="784">
        <v>110</v>
      </c>
    </row>
    <row r="73" spans="2:39" x14ac:dyDescent="0.3">
      <c r="AM73" s="785"/>
    </row>
    <row r="74" spans="2:39" x14ac:dyDescent="0.3">
      <c r="AM74" s="786"/>
    </row>
    <row r="75" spans="2:39" x14ac:dyDescent="0.3">
      <c r="AM75" s="778">
        <v>80</v>
      </c>
    </row>
    <row r="76" spans="2:39" x14ac:dyDescent="0.3">
      <c r="AM76" s="779"/>
    </row>
    <row r="77" spans="2:39" x14ac:dyDescent="0.3">
      <c r="AM77" s="780"/>
    </row>
    <row r="78" spans="2:39" x14ac:dyDescent="0.3">
      <c r="AM78" s="784">
        <v>100</v>
      </c>
    </row>
    <row r="79" spans="2:39" x14ac:dyDescent="0.3">
      <c r="AM79" s="785"/>
    </row>
    <row r="80" spans="2:39" x14ac:dyDescent="0.3">
      <c r="AM80" s="786"/>
    </row>
    <row r="81" spans="39:39" x14ac:dyDescent="0.3">
      <c r="AM81" s="784">
        <v>100</v>
      </c>
    </row>
    <row r="82" spans="39:39" x14ac:dyDescent="0.3">
      <c r="AM82" s="785"/>
    </row>
    <row r="83" spans="39:39" x14ac:dyDescent="0.3">
      <c r="AM83" s="786"/>
    </row>
    <row r="84" spans="39:39" x14ac:dyDescent="0.3">
      <c r="AM84" s="787">
        <v>110</v>
      </c>
    </row>
    <row r="85" spans="39:39" x14ac:dyDescent="0.3">
      <c r="AM85" s="788"/>
    </row>
    <row r="86" spans="39:39" x14ac:dyDescent="0.3">
      <c r="AM86" s="789"/>
    </row>
    <row r="87" spans="39:39" x14ac:dyDescent="0.3">
      <c r="AM87" s="784">
        <v>100</v>
      </c>
    </row>
    <row r="88" spans="39:39" x14ac:dyDescent="0.3">
      <c r="AM88" s="785"/>
    </row>
    <row r="89" spans="39:39" x14ac:dyDescent="0.3">
      <c r="AM89" s="786"/>
    </row>
    <row r="90" spans="39:39" x14ac:dyDescent="0.3">
      <c r="AM90" s="781">
        <v>395</v>
      </c>
    </row>
    <row r="91" spans="39:39" x14ac:dyDescent="0.3">
      <c r="AM91" s="782"/>
    </row>
    <row r="92" spans="39:39" x14ac:dyDescent="0.3">
      <c r="AM92" s="783"/>
    </row>
    <row r="93" spans="39:39" x14ac:dyDescent="0.3">
      <c r="AM93" s="784">
        <v>100</v>
      </c>
    </row>
    <row r="94" spans="39:39" x14ac:dyDescent="0.3">
      <c r="AM94" s="785"/>
    </row>
    <row r="95" spans="39:39" x14ac:dyDescent="0.3">
      <c r="AM95" s="786"/>
    </row>
    <row r="96" spans="39:39" x14ac:dyDescent="0.3">
      <c r="AM96" s="784">
        <v>100</v>
      </c>
    </row>
    <row r="97" spans="39:39" x14ac:dyDescent="0.3">
      <c r="AM97" s="785"/>
    </row>
    <row r="98" spans="39:39" x14ac:dyDescent="0.3">
      <c r="AM98" s="786"/>
    </row>
    <row r="99" spans="39:39" x14ac:dyDescent="0.3">
      <c r="AM99" s="784">
        <v>100</v>
      </c>
    </row>
    <row r="100" spans="39:39" x14ac:dyDescent="0.3">
      <c r="AM100" s="785"/>
    </row>
    <row r="101" spans="39:39" x14ac:dyDescent="0.3">
      <c r="AM101" s="786"/>
    </row>
    <row r="102" spans="39:39" x14ac:dyDescent="0.3">
      <c r="AM102" s="781">
        <v>120</v>
      </c>
    </row>
    <row r="103" spans="39:39" x14ac:dyDescent="0.3">
      <c r="AM103" s="782"/>
    </row>
    <row r="104" spans="39:39" x14ac:dyDescent="0.3">
      <c r="AM104" s="783"/>
    </row>
    <row r="105" spans="39:39" x14ac:dyDescent="0.3">
      <c r="AM105" s="781">
        <v>110</v>
      </c>
    </row>
    <row r="106" spans="39:39" x14ac:dyDescent="0.3">
      <c r="AM106" s="782"/>
    </row>
    <row r="107" spans="39:39" x14ac:dyDescent="0.3">
      <c r="AM107" s="783"/>
    </row>
    <row r="108" spans="39:39" x14ac:dyDescent="0.3">
      <c r="AM108" s="784">
        <v>100</v>
      </c>
    </row>
    <row r="109" spans="39:39" x14ac:dyDescent="0.3">
      <c r="AM109" s="785"/>
    </row>
    <row r="110" spans="39:39" x14ac:dyDescent="0.3">
      <c r="AM110" s="786"/>
    </row>
    <row r="111" spans="39:39" x14ac:dyDescent="0.3">
      <c r="AM111" s="790">
        <v>100</v>
      </c>
    </row>
    <row r="112" spans="39:39" x14ac:dyDescent="0.3">
      <c r="AM112" s="790"/>
    </row>
    <row r="113" spans="39:39" x14ac:dyDescent="0.3">
      <c r="AM113" s="790"/>
    </row>
  </sheetData>
  <mergeCells count="41">
    <mergeCell ref="AM111:AM113"/>
    <mergeCell ref="AM93:AM95"/>
    <mergeCell ref="AM96:AM98"/>
    <mergeCell ref="AM99:AM101"/>
    <mergeCell ref="AM102:AM104"/>
    <mergeCell ref="AM105:AM107"/>
    <mergeCell ref="AM108:AM110"/>
    <mergeCell ref="AM90:AM92"/>
    <mergeCell ref="AM63:AM65"/>
    <mergeCell ref="AM66:AM68"/>
    <mergeCell ref="B68:E68"/>
    <mergeCell ref="B69:E69"/>
    <mergeCell ref="AM69:AM71"/>
    <mergeCell ref="AM72:AM74"/>
    <mergeCell ref="AM75:AM77"/>
    <mergeCell ref="AM78:AM80"/>
    <mergeCell ref="AM81:AM83"/>
    <mergeCell ref="AM84:AM86"/>
    <mergeCell ref="AM87:AM89"/>
    <mergeCell ref="AM42:AM44"/>
    <mergeCell ref="B44:B51"/>
    <mergeCell ref="AM45:AM47"/>
    <mergeCell ref="AM48:AM50"/>
    <mergeCell ref="AM51:AM53"/>
    <mergeCell ref="B52:B55"/>
    <mergeCell ref="AM54:AM56"/>
    <mergeCell ref="B56:B67"/>
    <mergeCell ref="AM57:AM59"/>
    <mergeCell ref="AM60:AM62"/>
    <mergeCell ref="AM39:AM41"/>
    <mergeCell ref="B4:C4"/>
    <mergeCell ref="B5:B12"/>
    <mergeCell ref="B13:B16"/>
    <mergeCell ref="B17:B29"/>
    <mergeCell ref="B30:B31"/>
    <mergeCell ref="B32:C32"/>
    <mergeCell ref="AM33:AM35"/>
    <mergeCell ref="AE34:AG34"/>
    <mergeCell ref="AE35:AG35"/>
    <mergeCell ref="AE36:AG36"/>
    <mergeCell ref="AM36:AM38"/>
  </mergeCells>
  <conditionalFormatting sqref="AK5:BN31">
    <cfRule type="cellIs" dxfId="38" priority="2" operator="equal">
      <formula>"VAZIO"</formula>
    </cfRule>
  </conditionalFormatting>
  <conditionalFormatting sqref="AK5:BO31">
    <cfRule type="expression" dxfId="37" priority="6">
      <formula>AK5&gt;$BP5</formula>
    </cfRule>
    <cfRule type="expression" dxfId="36" priority="7">
      <formula>AK5&lt;($BP5-0.01)</formula>
    </cfRule>
  </conditionalFormatting>
  <conditionalFormatting sqref="AL8:BN8 BI9 AL16:BN16 BF17 AL24:BN25">
    <cfRule type="cellIs" dxfId="35" priority="3" operator="equal">
      <formula>"""VAZIO"""</formula>
    </cfRule>
  </conditionalFormatting>
  <conditionalFormatting sqref="AO5:BN31">
    <cfRule type="expression" dxfId="34" priority="1">
      <formula>AO5=0</formula>
    </cfRule>
  </conditionalFormatting>
  <conditionalFormatting sqref="BS5:BS31">
    <cfRule type="cellIs" dxfId="33" priority="4" operator="greaterThan">
      <formula>0</formula>
    </cfRule>
    <cfRule type="cellIs" dxfId="32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FD5D3-D584-4069-9B5A-A67A1ACA0396}">
  <sheetPr>
    <tabColor theme="7" tint="-0.499984740745262"/>
  </sheetPr>
  <dimension ref="B1:BX114"/>
  <sheetViews>
    <sheetView zoomScaleNormal="100" workbookViewId="0">
      <pane xSplit="3" ySplit="4" topLeftCell="AA5" activePane="bottomRight" state="frozen"/>
      <selection pane="topRight" activeCell="D1" sqref="D1"/>
      <selection pane="bottomLeft" activeCell="A5" sqref="A5"/>
      <selection pane="bottomRight" activeCell="AI6" sqref="AI6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4" width="16.4414062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1" spans="2:76" x14ac:dyDescent="0.3">
      <c r="AI1">
        <f>16267+12136+16339</f>
        <v>44742</v>
      </c>
    </row>
    <row r="2" spans="2:76" x14ac:dyDescent="0.3">
      <c r="AI2" s="102">
        <f>12444-AI14</f>
        <v>1629</v>
      </c>
    </row>
    <row r="3" spans="2:76" ht="15" thickBot="1" x14ac:dyDescent="0.35">
      <c r="D3" s="102"/>
      <c r="E3" s="102"/>
      <c r="F3" s="102"/>
      <c r="G3" s="102"/>
      <c r="H3" s="102"/>
      <c r="I3" s="102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1048</v>
      </c>
      <c r="E4" s="344" t="s">
        <v>1049</v>
      </c>
      <c r="F4" s="344" t="s">
        <v>1050</v>
      </c>
      <c r="G4" s="344" t="s">
        <v>1077</v>
      </c>
      <c r="H4" s="344" t="s">
        <v>1051</v>
      </c>
      <c r="I4" s="344" t="s">
        <v>1052</v>
      </c>
      <c r="J4" s="344" t="s">
        <v>1053</v>
      </c>
      <c r="K4" s="344" t="s">
        <v>1054</v>
      </c>
      <c r="L4" s="344" t="s">
        <v>1055</v>
      </c>
      <c r="M4" s="344" t="s">
        <v>1056</v>
      </c>
      <c r="N4" s="344" t="s">
        <v>1057</v>
      </c>
      <c r="O4" s="344" t="s">
        <v>1058</v>
      </c>
      <c r="P4" s="344" t="s">
        <v>1059</v>
      </c>
      <c r="Q4" s="344" t="s">
        <v>1060</v>
      </c>
      <c r="R4" s="344" t="s">
        <v>1061</v>
      </c>
      <c r="S4" s="344" t="s">
        <v>1062</v>
      </c>
      <c r="T4" s="344" t="s">
        <v>1063</v>
      </c>
      <c r="U4" s="344" t="s">
        <v>1064</v>
      </c>
      <c r="V4" s="344" t="s">
        <v>1065</v>
      </c>
      <c r="W4" s="344" t="s">
        <v>1066</v>
      </c>
      <c r="X4" s="344" t="s">
        <v>1067</v>
      </c>
      <c r="Y4" s="344" t="s">
        <v>1068</v>
      </c>
      <c r="Z4" s="344" t="s">
        <v>1069</v>
      </c>
      <c r="AA4" s="344" t="s">
        <v>1070</v>
      </c>
      <c r="AB4" s="344" t="s">
        <v>1071</v>
      </c>
      <c r="AC4" s="344" t="s">
        <v>1072</v>
      </c>
      <c r="AD4" s="344" t="s">
        <v>1073</v>
      </c>
      <c r="AE4" s="344" t="s">
        <v>1074</v>
      </c>
      <c r="AF4" s="344" t="s">
        <v>1075</v>
      </c>
      <c r="AG4" s="345" t="s">
        <v>1076</v>
      </c>
      <c r="AH4" s="345" t="s">
        <v>1079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39.200000000000003</v>
      </c>
      <c r="E5" s="103">
        <v>45.5</v>
      </c>
      <c r="F5" s="103">
        <v>49.8</v>
      </c>
      <c r="G5" s="103">
        <v>36</v>
      </c>
      <c r="H5" s="103">
        <v>41.6</v>
      </c>
      <c r="I5" s="331">
        <v>20</v>
      </c>
      <c r="J5" s="103">
        <v>41.6</v>
      </c>
      <c r="K5" s="103">
        <v>35.1</v>
      </c>
      <c r="L5" s="103">
        <v>33.6</v>
      </c>
      <c r="M5" s="103">
        <v>36.700000000000003</v>
      </c>
      <c r="N5" s="283">
        <v>19.100000000000001</v>
      </c>
      <c r="O5" s="103">
        <v>15.6</v>
      </c>
      <c r="P5" s="103">
        <v>33.1</v>
      </c>
      <c r="Q5" s="331">
        <v>25.7</v>
      </c>
      <c r="R5" s="103">
        <v>38.299999999999997</v>
      </c>
      <c r="S5" s="103">
        <v>24.7</v>
      </c>
      <c r="T5" s="103">
        <v>38.1</v>
      </c>
      <c r="U5" s="103">
        <v>40</v>
      </c>
      <c r="V5" s="103">
        <v>47.5</v>
      </c>
      <c r="W5" s="331">
        <v>46</v>
      </c>
      <c r="X5" s="103">
        <v>45.6</v>
      </c>
      <c r="Y5" s="103">
        <v>45.3</v>
      </c>
      <c r="Z5" s="104">
        <v>37.200000000000003</v>
      </c>
      <c r="AA5" s="332">
        <v>18.100000000000001</v>
      </c>
      <c r="AB5" s="333">
        <v>46</v>
      </c>
      <c r="AC5" s="629">
        <v>28.8</v>
      </c>
      <c r="AD5" s="104">
        <v>18.600000000000001</v>
      </c>
      <c r="AE5" s="104">
        <v>33.6</v>
      </c>
      <c r="AF5" s="104">
        <v>23.9</v>
      </c>
      <c r="AG5" s="104">
        <v>22.7</v>
      </c>
      <c r="AH5" s="506">
        <v>16.7</v>
      </c>
      <c r="AI5" s="335">
        <f>SUM(D5:AH5)</f>
        <v>1043.7000000000003</v>
      </c>
      <c r="AJ5" s="160">
        <v>12</v>
      </c>
      <c r="AK5" s="336">
        <f t="shared" ref="AK5:AK11" si="0">F5/(AJ5*432)</f>
        <v>9.6064814814814815E-3</v>
      </c>
      <c r="AL5" s="337">
        <f t="shared" ref="AL5:AU6" si="1">IF(OR(D5="",D5="Sem monitoramento"),"VAZIO",IFERROR(D5/($AJ5*24),"-"))</f>
        <v>0.13611111111111113</v>
      </c>
      <c r="AM5" s="338">
        <f t="shared" si="1"/>
        <v>0.1579861111111111</v>
      </c>
      <c r="AN5" s="338">
        <f t="shared" si="1"/>
        <v>0.17291666666666666</v>
      </c>
      <c r="AO5" s="338">
        <f t="shared" si="1"/>
        <v>0.125</v>
      </c>
      <c r="AP5" s="338">
        <f t="shared" si="1"/>
        <v>0.14444444444444446</v>
      </c>
      <c r="AQ5" s="338">
        <f t="shared" si="1"/>
        <v>6.9444444444444448E-2</v>
      </c>
      <c r="AR5" s="338">
        <f t="shared" si="1"/>
        <v>0.14444444444444446</v>
      </c>
      <c r="AS5" s="338">
        <f t="shared" si="1"/>
        <v>0.12187500000000001</v>
      </c>
      <c r="AT5" s="338">
        <f t="shared" si="1"/>
        <v>0.11666666666666667</v>
      </c>
      <c r="AU5" s="338">
        <f t="shared" si="1"/>
        <v>0.12743055555555557</v>
      </c>
      <c r="AV5" s="338">
        <f t="shared" ref="AV5:BE6" si="2">IF(OR(N5="",N5="Sem monitoramento"),"VAZIO",IFERROR(N5/($AJ5*24),"-"))</f>
        <v>6.6319444444444445E-2</v>
      </c>
      <c r="AW5" s="338">
        <f t="shared" si="2"/>
        <v>5.4166666666666669E-2</v>
      </c>
      <c r="AX5" s="338">
        <f t="shared" si="2"/>
        <v>0.11493055555555556</v>
      </c>
      <c r="AY5" s="338">
        <f t="shared" si="2"/>
        <v>8.9236111111111113E-2</v>
      </c>
      <c r="AZ5" s="338">
        <f t="shared" si="2"/>
        <v>0.13298611111111111</v>
      </c>
      <c r="BA5" s="338">
        <f t="shared" si="2"/>
        <v>8.576388888888889E-2</v>
      </c>
      <c r="BB5" s="338">
        <f t="shared" si="2"/>
        <v>0.13229166666666667</v>
      </c>
      <c r="BC5" s="338">
        <f t="shared" si="2"/>
        <v>0.1388888888888889</v>
      </c>
      <c r="BD5" s="338">
        <f t="shared" si="2"/>
        <v>0.16493055555555555</v>
      </c>
      <c r="BE5" s="338">
        <f t="shared" si="2"/>
        <v>0.15972222222222221</v>
      </c>
      <c r="BF5" s="338">
        <f t="shared" ref="BF5:BJ6" si="3">IF(OR(X5="",X5="Sem monitoramento"),"VAZIO",IFERROR(X5/($AJ5*24),"-"))</f>
        <v>0.15833333333333333</v>
      </c>
      <c r="BG5" s="338">
        <f t="shared" si="3"/>
        <v>0.15729166666666666</v>
      </c>
      <c r="BH5" s="338">
        <f t="shared" si="3"/>
        <v>0.12916666666666668</v>
      </c>
      <c r="BI5" s="338">
        <f t="shared" si="3"/>
        <v>6.2847222222222221E-2</v>
      </c>
      <c r="BJ5" s="338">
        <f t="shared" si="3"/>
        <v>0.15972222222222221</v>
      </c>
      <c r="BK5" s="338" t="e">
        <f>IF(OR(#REF!="",#REF!="Sem monitoramento"),"VAZIO",IFERROR(#REF!/($AJ5*24),"-"))</f>
        <v>#REF!</v>
      </c>
      <c r="BL5" s="338">
        <f t="shared" ref="BL5:BO6" si="4">IF(OR(AD5="",AD5="Sem monitoramento"),"VAZIO",IFERROR(AD5/($AJ5*24),"-"))</f>
        <v>6.458333333333334E-2</v>
      </c>
      <c r="BM5" s="338">
        <f t="shared" si="4"/>
        <v>0.11666666666666667</v>
      </c>
      <c r="BN5" s="338">
        <f t="shared" si="4"/>
        <v>8.2986111111111108E-2</v>
      </c>
      <c r="BO5" s="338">
        <f t="shared" si="4"/>
        <v>7.8819444444444442E-2</v>
      </c>
      <c r="BP5" s="339">
        <f t="shared" ref="BP5:BP32" si="5">AI5/(AJ5*(COUNTA(D5:AG5)*24))</f>
        <v>0.12079861111111115</v>
      </c>
      <c r="BQ5" s="180">
        <f>'FCs estimados em PVsyst'!Y3</f>
        <v>0.1804398148148148</v>
      </c>
      <c r="BR5" s="340">
        <f t="shared" ref="BR5:BR11" si="6">AJ5*BQ5</f>
        <v>2.1652777777777779</v>
      </c>
      <c r="BS5" s="341">
        <f t="shared" ref="BS5:BS11" si="7">AN5-BQ5</f>
        <v>-7.5231481481481399E-3</v>
      </c>
      <c r="BT5" s="342">
        <f t="shared" ref="BT5:BT31" si="8">BP5-BQ5</f>
        <v>-5.9641203703703655E-2</v>
      </c>
      <c r="BU5" s="15" t="s">
        <v>7</v>
      </c>
      <c r="BV5" s="75" t="s">
        <v>107</v>
      </c>
      <c r="BW5" s="7">
        <f>COUNTIF(BT5:BT30,"&gt;0")</f>
        <v>1</v>
      </c>
      <c r="BX5" s="2"/>
    </row>
    <row r="6" spans="2:76" x14ac:dyDescent="0.3">
      <c r="B6" s="771"/>
      <c r="C6" s="325" t="s">
        <v>8</v>
      </c>
      <c r="D6" s="62">
        <v>249.9</v>
      </c>
      <c r="E6" s="63">
        <v>286</v>
      </c>
      <c r="F6" s="63">
        <v>312.3</v>
      </c>
      <c r="G6" s="63">
        <v>210.2</v>
      </c>
      <c r="H6" s="63">
        <v>264.5</v>
      </c>
      <c r="I6" s="355">
        <v>50.8</v>
      </c>
      <c r="J6" s="63">
        <v>237.8</v>
      </c>
      <c r="K6" s="355">
        <v>173.5</v>
      </c>
      <c r="L6" s="283">
        <v>210.4</v>
      </c>
      <c r="M6" s="63">
        <v>261.2</v>
      </c>
      <c r="N6" s="283">
        <v>109.9</v>
      </c>
      <c r="O6" s="283">
        <v>90.3</v>
      </c>
      <c r="P6" s="283">
        <v>201</v>
      </c>
      <c r="Q6" s="355">
        <v>185</v>
      </c>
      <c r="R6" s="63">
        <v>238</v>
      </c>
      <c r="S6" s="63">
        <v>203.5</v>
      </c>
      <c r="T6" s="63">
        <v>257</v>
      </c>
      <c r="U6" s="63">
        <v>258</v>
      </c>
      <c r="V6" s="63">
        <v>278.10000000000002</v>
      </c>
      <c r="W6" s="283">
        <v>323.8</v>
      </c>
      <c r="X6" s="63">
        <v>320.10000000000002</v>
      </c>
      <c r="Y6" s="63">
        <v>317.5</v>
      </c>
      <c r="Z6" s="221">
        <v>273.60000000000002</v>
      </c>
      <c r="AA6" s="320">
        <v>107.8</v>
      </c>
      <c r="AB6" s="20">
        <v>317.5</v>
      </c>
      <c r="AC6" s="31">
        <v>183.3</v>
      </c>
      <c r="AD6" s="15">
        <v>110.8</v>
      </c>
      <c r="AE6" s="15">
        <v>219.5</v>
      </c>
      <c r="AF6" s="15">
        <v>142</v>
      </c>
      <c r="AG6" s="15">
        <v>115</v>
      </c>
      <c r="AH6" s="506">
        <v>108</v>
      </c>
      <c r="AI6" s="335">
        <f t="shared" ref="AI6:AI15" si="9">SUM(D6:AH6)</f>
        <v>6616.3000000000011</v>
      </c>
      <c r="AJ6" s="118">
        <v>67</v>
      </c>
      <c r="AK6" s="121">
        <f t="shared" si="0"/>
        <v>1.0789800995024875E-2</v>
      </c>
      <c r="AL6" s="67">
        <f t="shared" si="1"/>
        <v>0.15541044776119403</v>
      </c>
      <c r="AM6" s="68">
        <f t="shared" si="1"/>
        <v>0.17786069651741293</v>
      </c>
      <c r="AN6" s="68">
        <f t="shared" si="1"/>
        <v>0.19421641791044778</v>
      </c>
      <c r="AO6" s="68">
        <f t="shared" si="1"/>
        <v>0.13072139303482586</v>
      </c>
      <c r="AP6" s="68">
        <f t="shared" si="1"/>
        <v>0.16449004975124379</v>
      </c>
      <c r="AQ6" s="68">
        <f t="shared" si="1"/>
        <v>3.1592039800995023E-2</v>
      </c>
      <c r="AR6" s="68">
        <f t="shared" si="1"/>
        <v>0.14788557213930348</v>
      </c>
      <c r="AS6" s="68">
        <f t="shared" si="1"/>
        <v>0.10789800995024876</v>
      </c>
      <c r="AT6" s="68">
        <f t="shared" si="1"/>
        <v>0.13084577114427862</v>
      </c>
      <c r="AU6" s="68">
        <f t="shared" si="1"/>
        <v>0.16243781094527363</v>
      </c>
      <c r="AV6" s="68">
        <f t="shared" si="2"/>
        <v>6.8345771144278616E-2</v>
      </c>
      <c r="AW6" s="68">
        <f t="shared" si="2"/>
        <v>5.6156716417910445E-2</v>
      </c>
      <c r="AX6" s="68">
        <f t="shared" si="2"/>
        <v>0.125</v>
      </c>
      <c r="AY6" s="68">
        <f t="shared" si="2"/>
        <v>0.1150497512437811</v>
      </c>
      <c r="AZ6" s="68">
        <f t="shared" si="2"/>
        <v>0.14800995024875621</v>
      </c>
      <c r="BA6" s="68">
        <f t="shared" si="2"/>
        <v>0.1265547263681592</v>
      </c>
      <c r="BB6" s="68">
        <f t="shared" si="2"/>
        <v>0.15982587064676618</v>
      </c>
      <c r="BC6" s="68">
        <f t="shared" si="2"/>
        <v>0.16044776119402984</v>
      </c>
      <c r="BD6" s="68">
        <f t="shared" si="2"/>
        <v>0.17294776119402985</v>
      </c>
      <c r="BE6" s="68">
        <f t="shared" si="2"/>
        <v>0.2013681592039801</v>
      </c>
      <c r="BF6" s="68">
        <f t="shared" si="3"/>
        <v>0.1990671641791045</v>
      </c>
      <c r="BG6" s="68">
        <f t="shared" si="3"/>
        <v>0.19745024875621892</v>
      </c>
      <c r="BH6" s="68">
        <f t="shared" si="3"/>
        <v>0.17014925373134329</v>
      </c>
      <c r="BI6" s="68">
        <f t="shared" si="3"/>
        <v>6.7039800995024879E-2</v>
      </c>
      <c r="BJ6" s="68">
        <f t="shared" si="3"/>
        <v>0.19745024875621892</v>
      </c>
      <c r="BK6" s="68">
        <f>IF(OR(AC5="",AC5="Sem monitoramento"),"VAZIO",IFERROR(AC5/($AJ6*24),"-"))</f>
        <v>1.7910447761194031E-2</v>
      </c>
      <c r="BL6" s="68">
        <f t="shared" si="4"/>
        <v>6.8905472636815915E-2</v>
      </c>
      <c r="BM6" s="68">
        <f t="shared" si="4"/>
        <v>0.13650497512437812</v>
      </c>
      <c r="BN6" s="68">
        <f t="shared" si="4"/>
        <v>8.8308457711442787E-2</v>
      </c>
      <c r="BO6" s="68">
        <f t="shared" si="4"/>
        <v>7.1517412935323377E-2</v>
      </c>
      <c r="BP6" s="70">
        <f t="shared" si="5"/>
        <v>0.13715381426202325</v>
      </c>
      <c r="BQ6" s="180">
        <f>'FCs estimados em PVsyst'!Y4</f>
        <v>0.1868988391376451</v>
      </c>
      <c r="BR6" s="72">
        <f t="shared" si="6"/>
        <v>12.522222222222222</v>
      </c>
      <c r="BS6" s="73">
        <f t="shared" si="7"/>
        <v>7.3175787728026742E-3</v>
      </c>
      <c r="BT6" s="74">
        <f t="shared" si="8"/>
        <v>-4.9745024875621852E-2</v>
      </c>
      <c r="BU6" s="15" t="s">
        <v>8</v>
      </c>
      <c r="BV6" s="77" t="s">
        <v>108</v>
      </c>
      <c r="BW6" s="78">
        <f>(COUNTA(BU5:BU30)-BW5-BW7)</f>
        <v>3</v>
      </c>
      <c r="BX6" s="2"/>
    </row>
    <row r="7" spans="2:76" x14ac:dyDescent="0.3">
      <c r="B7" s="771"/>
      <c r="C7" s="326" t="s">
        <v>9</v>
      </c>
      <c r="D7" s="223">
        <v>194.2</v>
      </c>
      <c r="E7" s="63">
        <v>222.7</v>
      </c>
      <c r="F7" s="63">
        <v>239.8</v>
      </c>
      <c r="G7" s="63">
        <v>184.3</v>
      </c>
      <c r="H7" s="63">
        <v>197.7</v>
      </c>
      <c r="I7" s="283">
        <v>90.4</v>
      </c>
      <c r="J7" s="63">
        <v>191.2</v>
      </c>
      <c r="K7" s="63">
        <v>155</v>
      </c>
      <c r="L7" s="283">
        <v>163.30000000000001</v>
      </c>
      <c r="M7" s="283">
        <v>193.7</v>
      </c>
      <c r="N7" s="283">
        <v>89.7</v>
      </c>
      <c r="O7" s="360">
        <v>72</v>
      </c>
      <c r="P7" s="283">
        <v>140.6</v>
      </c>
      <c r="Q7" s="283">
        <v>122.5</v>
      </c>
      <c r="R7" s="283">
        <v>206.5</v>
      </c>
      <c r="S7" s="283">
        <v>138.4</v>
      </c>
      <c r="T7" s="283">
        <v>209.3</v>
      </c>
      <c r="U7" s="63">
        <v>199.1</v>
      </c>
      <c r="V7" s="283">
        <v>228.1</v>
      </c>
      <c r="W7" s="283">
        <v>233.9</v>
      </c>
      <c r="X7" s="283">
        <v>236.8</v>
      </c>
      <c r="Y7" s="283">
        <v>237.6</v>
      </c>
      <c r="Z7" s="15">
        <v>181.8</v>
      </c>
      <c r="AA7" s="519">
        <v>86</v>
      </c>
      <c r="AB7" s="323">
        <v>237.6</v>
      </c>
      <c r="AC7" s="221">
        <v>143.5</v>
      </c>
      <c r="AD7" s="221">
        <v>88.1</v>
      </c>
      <c r="AE7" s="221">
        <v>177.4</v>
      </c>
      <c r="AF7" s="221">
        <v>114.7</v>
      </c>
      <c r="AG7" s="221">
        <v>106.6</v>
      </c>
      <c r="AH7" s="729">
        <v>82.5</v>
      </c>
      <c r="AI7" s="335">
        <f t="shared" si="9"/>
        <v>5165.0000000000009</v>
      </c>
      <c r="AJ7" s="118">
        <v>49</v>
      </c>
      <c r="AK7" s="121">
        <f t="shared" si="0"/>
        <v>1.1328420256991685E-2</v>
      </c>
      <c r="AL7" s="67">
        <f t="shared" ref="AL7:BH7" si="10">IF(OR(D7="",D7="Sem monitoramento"),"VAZIO",IFERROR(D7/($AJ7*24),"-"))</f>
        <v>0.16513605442176871</v>
      </c>
      <c r="AM7" s="68">
        <f t="shared" si="10"/>
        <v>0.18937074829931971</v>
      </c>
      <c r="AN7" s="68">
        <f t="shared" si="10"/>
        <v>0.20391156462585036</v>
      </c>
      <c r="AO7" s="68">
        <f t="shared" si="10"/>
        <v>0.15671768707482994</v>
      </c>
      <c r="AP7" s="68">
        <f t="shared" si="10"/>
        <v>0.16811224489795917</v>
      </c>
      <c r="AQ7" s="68">
        <f t="shared" si="10"/>
        <v>7.6870748299319738E-2</v>
      </c>
      <c r="AR7" s="68">
        <f t="shared" si="10"/>
        <v>0.16258503401360544</v>
      </c>
      <c r="AS7" s="68">
        <f t="shared" si="10"/>
        <v>0.13180272108843538</v>
      </c>
      <c r="AT7" s="68">
        <f t="shared" si="10"/>
        <v>0.13886054421768709</v>
      </c>
      <c r="AU7" s="68">
        <f t="shared" si="10"/>
        <v>0.16471088435374148</v>
      </c>
      <c r="AV7" s="68">
        <f t="shared" si="10"/>
        <v>7.6275510204081631E-2</v>
      </c>
      <c r="AW7" s="68">
        <f t="shared" si="10"/>
        <v>6.1224489795918366E-2</v>
      </c>
      <c r="AX7" s="68">
        <f t="shared" si="10"/>
        <v>0.1195578231292517</v>
      </c>
      <c r="AY7" s="68">
        <f t="shared" si="10"/>
        <v>0.10416666666666667</v>
      </c>
      <c r="AZ7" s="68">
        <f t="shared" si="10"/>
        <v>0.17559523809523808</v>
      </c>
      <c r="BA7" s="68">
        <f t="shared" si="10"/>
        <v>0.11768707482993197</v>
      </c>
      <c r="BB7" s="68">
        <f t="shared" si="10"/>
        <v>0.17797619047619048</v>
      </c>
      <c r="BC7" s="68">
        <f t="shared" si="10"/>
        <v>0.16930272108843536</v>
      </c>
      <c r="BD7" s="68">
        <f t="shared" si="10"/>
        <v>0.19396258503401359</v>
      </c>
      <c r="BE7" s="68">
        <f t="shared" si="10"/>
        <v>0.19889455782312926</v>
      </c>
      <c r="BF7" s="68">
        <f t="shared" si="10"/>
        <v>0.20136054421768709</v>
      </c>
      <c r="BG7" s="68">
        <f t="shared" si="10"/>
        <v>0.20204081632653062</v>
      </c>
      <c r="BH7" s="68">
        <f t="shared" si="10"/>
        <v>0.1545918367346939</v>
      </c>
      <c r="BI7" s="68">
        <f>IF(OR(AA11="",AA11="Sem monitoramento"),"VAZIO",IFERROR(AA11/($AJ7*24),"-"))</f>
        <v>0.12976190476190474</v>
      </c>
      <c r="BJ7" s="68">
        <f>IF(OR(AB7="",AB7="Sem monitoramento"),"VAZIO",IFERROR(AB7/($AJ7*24),"-"))</f>
        <v>0.20204081632653062</v>
      </c>
      <c r="BK7" s="68" t="e">
        <f>IF(OR(#REF!="",#REF!="Sem monitoramento"),"VAZIO",IFERROR(#REF!/($AJ7*24),"-"))</f>
        <v>#REF!</v>
      </c>
      <c r="BL7" s="68">
        <f t="shared" ref="BL7:BL15" si="11">IF(OR(AD7="",AD7="Sem monitoramento"),"VAZIO",IFERROR(AD7/($AJ7*24),"-"))</f>
        <v>7.4914965986394549E-2</v>
      </c>
      <c r="BM7" s="68">
        <f t="shared" ref="BM7:BM15" si="12">IF(OR(AE7="",AE7="Sem monitoramento"),"VAZIO",IFERROR(AE7/($AJ7*24),"-"))</f>
        <v>0.15085034013605442</v>
      </c>
      <c r="BN7" s="68">
        <f t="shared" ref="BN7:BN15" si="13">IF(OR(AF7="",AF7="Sem monitoramento"),"VAZIO",IFERROR(AF7/($AJ7*24),"-"))</f>
        <v>9.7534013605442185E-2</v>
      </c>
      <c r="BO7" s="68" t="e">
        <f>IF(OR(#REF!="",#REF!="Sem monitoramento"),"VAZIO",IFERROR(#REF!/($AJ7*24),"-"))</f>
        <v>#REF!</v>
      </c>
      <c r="BP7" s="70">
        <f t="shared" si="5"/>
        <v>0.14640022675736963</v>
      </c>
      <c r="BQ7" s="180">
        <f>'FCs estimados em PVsyst'!Y5</f>
        <v>0.17987528344671203</v>
      </c>
      <c r="BR7" s="72">
        <f t="shared" si="6"/>
        <v>8.81388888888889</v>
      </c>
      <c r="BS7" s="73">
        <f t="shared" si="7"/>
        <v>2.4036281179138336E-2</v>
      </c>
      <c r="BT7" s="74">
        <f t="shared" si="8"/>
        <v>-3.3475056689342392E-2</v>
      </c>
      <c r="BU7" s="15" t="s">
        <v>9</v>
      </c>
      <c r="BV7" s="79" t="s">
        <v>109</v>
      </c>
      <c r="BW7" s="80">
        <f>COUNTIF(BT5:BT30,"&lt;-0,01")</f>
        <v>21</v>
      </c>
      <c r="BX7" s="2"/>
    </row>
    <row r="8" spans="2:76" x14ac:dyDescent="0.3">
      <c r="B8" s="771"/>
      <c r="C8" s="326" t="s">
        <v>10</v>
      </c>
      <c r="D8" s="223">
        <v>107.5</v>
      </c>
      <c r="E8" s="63">
        <v>132.80000000000001</v>
      </c>
      <c r="F8" s="63">
        <v>132.80000000000001</v>
      </c>
      <c r="G8" s="63">
        <v>104.2</v>
      </c>
      <c r="H8" s="63">
        <v>109.7</v>
      </c>
      <c r="I8" s="63">
        <v>52</v>
      </c>
      <c r="J8" s="63">
        <v>108.1</v>
      </c>
      <c r="K8" s="63">
        <v>86.9</v>
      </c>
      <c r="L8" s="283">
        <v>89.5</v>
      </c>
      <c r="M8" s="283">
        <v>109</v>
      </c>
      <c r="N8" s="283">
        <v>51.3</v>
      </c>
      <c r="O8" s="63">
        <v>41.6</v>
      </c>
      <c r="P8" s="283">
        <v>77.8</v>
      </c>
      <c r="Q8" s="283">
        <v>67</v>
      </c>
      <c r="R8" s="63">
        <v>114.1</v>
      </c>
      <c r="S8" s="63">
        <v>73.5</v>
      </c>
      <c r="T8" s="63">
        <v>102.4</v>
      </c>
      <c r="U8" s="63">
        <v>110.6</v>
      </c>
      <c r="V8" s="63">
        <v>128.6</v>
      </c>
      <c r="W8" s="283">
        <v>130.9</v>
      </c>
      <c r="X8" s="283">
        <v>135</v>
      </c>
      <c r="Y8" s="283">
        <v>134.9</v>
      </c>
      <c r="Z8" s="15">
        <v>102</v>
      </c>
      <c r="AA8" s="519">
        <v>48.5</v>
      </c>
      <c r="AB8" s="323">
        <v>134.9</v>
      </c>
      <c r="AC8" s="221">
        <v>78.8</v>
      </c>
      <c r="AD8" s="221">
        <v>50.8</v>
      </c>
      <c r="AE8" s="221">
        <v>97.6</v>
      </c>
      <c r="AF8" s="221">
        <v>63.6</v>
      </c>
      <c r="AG8" s="221">
        <v>59.9</v>
      </c>
      <c r="AH8" s="729">
        <v>47.3</v>
      </c>
      <c r="AI8" s="335">
        <f t="shared" si="9"/>
        <v>2883.6000000000004</v>
      </c>
      <c r="AJ8" s="118">
        <v>33</v>
      </c>
      <c r="AK8" s="121">
        <f t="shared" si="0"/>
        <v>9.3153759820426493E-3</v>
      </c>
      <c r="AL8" s="67">
        <f>IF(OR(D8="",D8="Sem monitoramento"),"VAZIO",IFERROR(D8/($AJ8*24),"-"))</f>
        <v>0.13573232323232323</v>
      </c>
      <c r="AM8" s="68">
        <f>IF(OR(E8="",E8="Sem monitoramento"),"VAZIO",IFERROR(E8/($AJ8*24),"-"))</f>
        <v>0.1676767676767677</v>
      </c>
      <c r="AN8" s="68">
        <f>IF(OR(F8="",F8="Sem monitoramento"),"VAZIO",IFERROR(F8/($AJ8*24),"-"))</f>
        <v>0.1676767676767677</v>
      </c>
      <c r="AO8" s="68">
        <f>IF(OR(G8="",G8="Sem monitoramento"),"VAZIO",IFERROR(G8/($AJ8*24),"-"))</f>
        <v>0.13156565656565658</v>
      </c>
      <c r="AP8" s="68">
        <f>IF(OR(H8="",H8="Sem monitoramento"),"VAZIO",IFERROR(H8/($AJ8*24),"-"))</f>
        <v>0.138510101010101</v>
      </c>
      <c r="AQ8" s="68" t="e">
        <f>IF(OR(#REF!="",#REF!="Sem monitoramento"),"VAZIO",IFERROR(#REF!/($AJ8*24),"-"))</f>
        <v>#REF!</v>
      </c>
      <c r="AR8" s="68">
        <f t="shared" ref="AR8:BI8" si="14">IF(OR(J8="",J8="Sem monitoramento"),"VAZIO",IFERROR(J8/($AJ8*24),"-"))</f>
        <v>0.13648989898989899</v>
      </c>
      <c r="AS8" s="68">
        <f t="shared" si="14"/>
        <v>0.10972222222222223</v>
      </c>
      <c r="AT8" s="68">
        <f t="shared" si="14"/>
        <v>0.11300505050505051</v>
      </c>
      <c r="AU8" s="68">
        <f t="shared" si="14"/>
        <v>0.13762626262626262</v>
      </c>
      <c r="AV8" s="68">
        <f t="shared" si="14"/>
        <v>6.4772727272727273E-2</v>
      </c>
      <c r="AW8" s="68">
        <f t="shared" si="14"/>
        <v>5.252525252525253E-2</v>
      </c>
      <c r="AX8" s="68">
        <f t="shared" si="14"/>
        <v>9.8232323232323226E-2</v>
      </c>
      <c r="AY8" s="68">
        <f t="shared" si="14"/>
        <v>8.4595959595959599E-2</v>
      </c>
      <c r="AZ8" s="68">
        <f t="shared" si="14"/>
        <v>0.14406565656565656</v>
      </c>
      <c r="BA8" s="68">
        <f t="shared" si="14"/>
        <v>9.2803030303030304E-2</v>
      </c>
      <c r="BB8" s="68">
        <f t="shared" si="14"/>
        <v>0.12929292929292929</v>
      </c>
      <c r="BC8" s="68">
        <f t="shared" si="14"/>
        <v>0.13964646464646463</v>
      </c>
      <c r="BD8" s="68">
        <f t="shared" si="14"/>
        <v>0.16237373737373736</v>
      </c>
      <c r="BE8" s="68">
        <f t="shared" si="14"/>
        <v>0.16527777777777777</v>
      </c>
      <c r="BF8" s="68">
        <f t="shared" si="14"/>
        <v>0.17045454545454544</v>
      </c>
      <c r="BG8" s="68">
        <f t="shared" si="14"/>
        <v>0.17032828282828283</v>
      </c>
      <c r="BH8" s="68">
        <f t="shared" si="14"/>
        <v>0.12878787878787878</v>
      </c>
      <c r="BI8" s="68">
        <f t="shared" si="14"/>
        <v>6.1237373737373736E-2</v>
      </c>
      <c r="BJ8" s="68">
        <f>IF(OR(AB8="",AB8="Sem monitoramento"),"VAZIO",IFERROR(AB8/($AJ8*24),"-"))</f>
        <v>0.17032828282828283</v>
      </c>
      <c r="BK8" s="68" t="e">
        <f>IF(OR(#REF!="",#REF!="Sem monitoramento"),"VAZIO",IFERROR(#REF!/($AJ8*24),"-"))</f>
        <v>#REF!</v>
      </c>
      <c r="BL8" s="68">
        <f t="shared" si="11"/>
        <v>6.4141414141414138E-2</v>
      </c>
      <c r="BM8" s="68">
        <f t="shared" si="12"/>
        <v>0.12323232323232322</v>
      </c>
      <c r="BN8" s="68">
        <f t="shared" si="13"/>
        <v>8.0303030303030307E-2</v>
      </c>
      <c r="BO8" s="68" t="e">
        <f>IF(OR(#REF!="",#REF!="Sem monitoramento"),"VAZIO",IFERROR(#REF!/($AJ8*24),"-"))</f>
        <v>#REF!</v>
      </c>
      <c r="BP8" s="70">
        <f t="shared" si="5"/>
        <v>0.12136363636363638</v>
      </c>
      <c r="BQ8" s="180">
        <f>'FCs estimados em PVsyst'!Y6</f>
        <v>0.18501683501683502</v>
      </c>
      <c r="BR8" s="72">
        <f t="shared" si="6"/>
        <v>6.1055555555555561</v>
      </c>
      <c r="BS8" s="73">
        <f t="shared" si="7"/>
        <v>-1.7340067340067322E-2</v>
      </c>
      <c r="BT8" s="74">
        <f t="shared" si="8"/>
        <v>-6.3653198653198642E-2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572">
        <v>48.7</v>
      </c>
      <c r="E9" s="63">
        <v>46.9</v>
      </c>
      <c r="F9" s="63">
        <v>58.3</v>
      </c>
      <c r="G9" s="82">
        <v>48.2</v>
      </c>
      <c r="H9" s="82">
        <v>28.3</v>
      </c>
      <c r="I9" s="308">
        <v>0</v>
      </c>
      <c r="J9" s="316">
        <v>0</v>
      </c>
      <c r="K9" s="316">
        <v>0</v>
      </c>
      <c r="L9" s="63">
        <v>0</v>
      </c>
      <c r="M9" s="63">
        <v>56</v>
      </c>
      <c r="N9" s="63">
        <v>21.2</v>
      </c>
      <c r="O9" s="63">
        <v>16.3</v>
      </c>
      <c r="P9" s="316">
        <v>33</v>
      </c>
      <c r="Q9" s="283">
        <v>30.5</v>
      </c>
      <c r="R9" s="308">
        <v>53.3</v>
      </c>
      <c r="S9" s="63">
        <v>43.4</v>
      </c>
      <c r="T9" s="63">
        <v>45.9</v>
      </c>
      <c r="U9" s="316">
        <v>51.3</v>
      </c>
      <c r="V9" s="63">
        <v>54.6</v>
      </c>
      <c r="W9" s="283">
        <v>62</v>
      </c>
      <c r="X9" s="63">
        <v>60.9</v>
      </c>
      <c r="Y9" s="63">
        <v>60.7</v>
      </c>
      <c r="Z9" s="148">
        <v>56.3</v>
      </c>
      <c r="AA9" s="18">
        <v>18.600000000000001</v>
      </c>
      <c r="AB9" s="323">
        <v>50.6</v>
      </c>
      <c r="AC9" s="489">
        <v>33.6</v>
      </c>
      <c r="AD9" s="15">
        <v>17.899999999999999</v>
      </c>
      <c r="AE9" s="15">
        <v>42.6</v>
      </c>
      <c r="AF9" s="15">
        <v>26.2</v>
      </c>
      <c r="AG9" s="15">
        <v>18.8</v>
      </c>
      <c r="AH9" s="506">
        <v>17.3</v>
      </c>
      <c r="AI9" s="335">
        <f t="shared" si="9"/>
        <v>1101.3999999999999</v>
      </c>
      <c r="AJ9" s="118">
        <v>12</v>
      </c>
      <c r="AK9" s="121">
        <f t="shared" si="0"/>
        <v>1.1246141975308641E-2</v>
      </c>
      <c r="AL9" s="67">
        <f>IF(OR(D10="",D10="Sem monitoramento"),"VAZIO",IFERROR(D10/($AJ9*24),"-"))</f>
        <v>0.17673611111111109</v>
      </c>
      <c r="AM9" s="68">
        <f>IF(OR(E9="",E9="Sem monitoramento"),"VAZIO",IFERROR(E9/($AJ9*24),"-"))</f>
        <v>0.16284722222222223</v>
      </c>
      <c r="AN9" s="68">
        <f>IF(OR(F9="",F9="Sem monitoramento"),"VAZIO",IFERROR(F9/($AJ9*24),"-"))</f>
        <v>0.20243055555555556</v>
      </c>
      <c r="AO9" s="68">
        <f>IF(OR(G9="",G9="Sem monitoramento"),"VAZIO",IFERROR(G9/($AJ9*24),"-"))</f>
        <v>0.16736111111111113</v>
      </c>
      <c r="AP9" s="68">
        <f>IF(OR(H9="",H9="Sem monitoramento"),"VAZIO",IFERROR(H9/($AJ9*24),"-"))</f>
        <v>9.8263888888888887E-2</v>
      </c>
      <c r="AQ9" s="68">
        <f>IF(OR(I9="",I9="Sem monitoramento"),"VAZIO",IFERROR(I9/($AJ9*24),"-"))</f>
        <v>0</v>
      </c>
      <c r="AR9" s="68">
        <f>IF(OR(J10="",J10="Sem monitoramento"),"VAZIO",IFERROR(J10/($AJ9*24),"-"))</f>
        <v>0</v>
      </c>
      <c r="AS9" s="68">
        <f>IF(OR(K10="",K10="Sem monitoramento"),"VAZIO",IFERROR(K10/($AJ9*24),"-"))</f>
        <v>0</v>
      </c>
      <c r="AT9" s="68">
        <f t="shared" ref="AT9:AW10" si="15">IF(OR(L9="",L9="Sem monitoramento"),"VAZIO",IFERROR(L9/($AJ9*24),"-"))</f>
        <v>0</v>
      </c>
      <c r="AU9" s="68">
        <f t="shared" si="15"/>
        <v>0.19444444444444445</v>
      </c>
      <c r="AV9" s="68">
        <f t="shared" si="15"/>
        <v>7.3611111111111113E-2</v>
      </c>
      <c r="AW9" s="68">
        <f t="shared" si="15"/>
        <v>5.6597222222222222E-2</v>
      </c>
      <c r="AX9" s="68">
        <f>IF(OR(P10="",P10="Sem monitoramento"),"VAZIO",IFERROR(P10/($AJ9*24),"-"))</f>
        <v>0.13055555555555556</v>
      </c>
      <c r="AY9" s="68">
        <f t="shared" ref="AY9:BB15" si="16">IF(OR(Q9="",Q9="Sem monitoramento"),"VAZIO",IFERROR(Q9/($AJ9*24),"-"))</f>
        <v>0.10590277777777778</v>
      </c>
      <c r="AZ9" s="68">
        <f t="shared" si="16"/>
        <v>0.18506944444444443</v>
      </c>
      <c r="BA9" s="68">
        <f t="shared" si="16"/>
        <v>0.15069444444444444</v>
      </c>
      <c r="BB9" s="68">
        <f t="shared" si="16"/>
        <v>0.15937499999999999</v>
      </c>
      <c r="BC9" s="68">
        <f>IF(OR(U7="",U7="Sem monitoramento"),"VAZIO",IFERROR(U7/($AJ9*24),"-"))</f>
        <v>0.69131944444444438</v>
      </c>
      <c r="BD9" s="68">
        <f t="shared" ref="BD9:BG10" si="17">IF(OR(V9="",V9="Sem monitoramento"),"VAZIO",IFERROR(V9/($AJ9*24),"-"))</f>
        <v>0.18958333333333333</v>
      </c>
      <c r="BE9" s="68">
        <f t="shared" si="17"/>
        <v>0.21527777777777779</v>
      </c>
      <c r="BF9" s="68">
        <f t="shared" si="17"/>
        <v>0.21145833333333333</v>
      </c>
      <c r="BG9" s="68">
        <f t="shared" si="17"/>
        <v>0.21076388888888889</v>
      </c>
      <c r="BH9" s="68">
        <f>IF(OR(Z10="",Z10="Sem monitoramento"),"VAZIO",IFERROR(Z10/($AJ9*24),"-"))</f>
        <v>0.20347222222222222</v>
      </c>
      <c r="BI9" s="68">
        <f>IF(OR(AA9="",AA9="Sem monitoramento"),"VAZIO",IFERROR(AA9/($AJ9*24),"-"))</f>
        <v>6.458333333333334E-2</v>
      </c>
      <c r="BJ9" s="68">
        <f>IF(OR(AB9="",AB9="Sem monitoramento"),"VAZIO",IFERROR(AB9/($AJ9*24),"-"))</f>
        <v>0.17569444444444446</v>
      </c>
      <c r="BK9" s="68">
        <f>IF(OR(AC7="",AC7="Sem monitoramento"),"VAZIO",IFERROR(AC7/($AJ9*24),"-"))</f>
        <v>0.4982638888888889</v>
      </c>
      <c r="BL9" s="68">
        <f t="shared" si="11"/>
        <v>6.2152777777777772E-2</v>
      </c>
      <c r="BM9" s="68">
        <f t="shared" si="12"/>
        <v>0.14791666666666667</v>
      </c>
      <c r="BN9" s="68">
        <f t="shared" si="13"/>
        <v>9.0972222222222218E-2</v>
      </c>
      <c r="BO9" s="68">
        <f>IF(OR(AG7="",AG7="Sem monitoramento"),"VAZIO",IFERROR(AG7/($AJ9*24),"-"))</f>
        <v>0.37013888888888885</v>
      </c>
      <c r="BP9" s="70">
        <f t="shared" si="5"/>
        <v>0.12747685185185184</v>
      </c>
      <c r="BQ9" s="180">
        <f>'FCs estimados em PVsyst'!Y7</f>
        <v>0.18333333333333332</v>
      </c>
      <c r="BR9" s="72">
        <f t="shared" si="6"/>
        <v>2.1999999999999997</v>
      </c>
      <c r="BS9" s="73">
        <f t="shared" si="7"/>
        <v>1.9097222222222238E-2</v>
      </c>
      <c r="BT9" s="74">
        <f t="shared" si="8"/>
        <v>-5.5856481481481479E-2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50.9</v>
      </c>
      <c r="E10" s="63">
        <v>52.5</v>
      </c>
      <c r="F10" s="63">
        <v>64.900000000000006</v>
      </c>
      <c r="G10" s="82">
        <v>54.2</v>
      </c>
      <c r="H10" s="308">
        <v>32.4</v>
      </c>
      <c r="I10" s="519">
        <v>0</v>
      </c>
      <c r="J10" s="63">
        <v>0</v>
      </c>
      <c r="K10" s="283">
        <v>0</v>
      </c>
      <c r="L10" s="63">
        <v>0</v>
      </c>
      <c r="M10" s="63">
        <v>62.4</v>
      </c>
      <c r="N10" s="63">
        <v>24.6</v>
      </c>
      <c r="O10" s="63">
        <v>19.3</v>
      </c>
      <c r="P10" s="63">
        <v>37.6</v>
      </c>
      <c r="Q10" s="283">
        <v>34.700000000000003</v>
      </c>
      <c r="R10" s="308">
        <v>56.8</v>
      </c>
      <c r="S10" s="63">
        <v>47.7</v>
      </c>
      <c r="T10" s="63">
        <v>48.6</v>
      </c>
      <c r="U10" s="63">
        <v>55.2</v>
      </c>
      <c r="V10" s="63">
        <v>58.1</v>
      </c>
      <c r="W10" s="283">
        <v>65.099999999999994</v>
      </c>
      <c r="X10" s="63">
        <v>63.8</v>
      </c>
      <c r="Y10" s="63">
        <v>63</v>
      </c>
      <c r="Z10" s="15">
        <v>58.6</v>
      </c>
      <c r="AA10" s="18">
        <v>20.6</v>
      </c>
      <c r="AB10" s="323">
        <v>52.3</v>
      </c>
      <c r="AC10" s="489">
        <v>22.1</v>
      </c>
      <c r="AD10" s="15">
        <v>15</v>
      </c>
      <c r="AE10" s="15">
        <v>43.5</v>
      </c>
      <c r="AF10" s="15">
        <v>27.9</v>
      </c>
      <c r="AG10" s="15">
        <v>16</v>
      </c>
      <c r="AH10" s="506">
        <v>22.4</v>
      </c>
      <c r="AI10" s="335">
        <f t="shared" si="9"/>
        <v>1170.2000000000003</v>
      </c>
      <c r="AJ10" s="118">
        <v>25</v>
      </c>
      <c r="AK10" s="121">
        <f t="shared" si="0"/>
        <v>6.0092592592592602E-3</v>
      </c>
      <c r="AL10" s="67" t="e">
        <f>IF(OR(#REF!="",#REF!="Sem monitoramento"),"VAZIO",IFERROR(#REF!/($AJ10*24),"-"))</f>
        <v>#REF!</v>
      </c>
      <c r="AM10" s="68">
        <f t="shared" ref="AM10:AP15" si="18">IF(OR(E10="",E10="Sem monitoramento"),"VAZIO",IFERROR(E10/($AJ10*24),"-"))</f>
        <v>8.7499999999999994E-2</v>
      </c>
      <c r="AN10" s="68">
        <f t="shared" si="18"/>
        <v>0.10816666666666667</v>
      </c>
      <c r="AO10" s="68">
        <f t="shared" si="18"/>
        <v>9.0333333333333335E-2</v>
      </c>
      <c r="AP10" s="68">
        <f t="shared" si="18"/>
        <v>5.3999999999999999E-2</v>
      </c>
      <c r="AQ10" s="68">
        <f>IF(OR(I8="",I8="Sem monitoramento"),"VAZIO",IFERROR(I8/($AJ10*24),"-"))</f>
        <v>8.666666666666667E-2</v>
      </c>
      <c r="AR10" s="68" t="e">
        <f>IF(OR(#REF!="",#REF!="Sem monitoramento"),"VAZIO",IFERROR(#REF!/($AJ10*24),"-"))</f>
        <v>#REF!</v>
      </c>
      <c r="AS10" s="68" t="e">
        <f>IF(OR(#REF!="",#REF!="Sem monitoramento"),"VAZIO",IFERROR(#REF!/($AJ10*24),"-"))</f>
        <v>#REF!</v>
      </c>
      <c r="AT10" s="68">
        <f t="shared" si="15"/>
        <v>0</v>
      </c>
      <c r="AU10" s="68">
        <f t="shared" si="15"/>
        <v>0.104</v>
      </c>
      <c r="AV10" s="68">
        <f t="shared" si="15"/>
        <v>4.1000000000000002E-2</v>
      </c>
      <c r="AW10" s="68">
        <f t="shared" si="15"/>
        <v>3.216666666666667E-2</v>
      </c>
      <c r="AX10" s="68" t="e">
        <f>IF(OR(#REF!="",#REF!="Sem monitoramento"),"VAZIO",IFERROR(#REF!/($AJ10*24),"-"))</f>
        <v>#REF!</v>
      </c>
      <c r="AY10" s="68">
        <f t="shared" si="16"/>
        <v>5.7833333333333341E-2</v>
      </c>
      <c r="AZ10" s="68">
        <f t="shared" si="16"/>
        <v>9.4666666666666663E-2</v>
      </c>
      <c r="BA10" s="68">
        <f t="shared" si="16"/>
        <v>7.9500000000000001E-2</v>
      </c>
      <c r="BB10" s="68">
        <f t="shared" si="16"/>
        <v>8.1000000000000003E-2</v>
      </c>
      <c r="BC10" s="68">
        <f>IF(OR(U8="",U8="Sem monitoramento"),"VAZIO",IFERROR(U8/($AJ10*24),"-"))</f>
        <v>0.18433333333333332</v>
      </c>
      <c r="BD10" s="68">
        <f t="shared" si="17"/>
        <v>9.6833333333333341E-2</v>
      </c>
      <c r="BE10" s="68">
        <f t="shared" si="17"/>
        <v>0.10849999999999999</v>
      </c>
      <c r="BF10" s="68">
        <f t="shared" si="17"/>
        <v>0.10633333333333334</v>
      </c>
      <c r="BG10" s="68">
        <f t="shared" si="17"/>
        <v>0.105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3.4333333333333334E-2</v>
      </c>
      <c r="BJ10" s="68">
        <f>IF(OR(AB10="",AB10="Sem monitoramento"),"VAZIO",IFERROR(AB10/($AJ10*24),"-"))</f>
        <v>8.7166666666666656E-2</v>
      </c>
      <c r="BK10" s="68">
        <f>IF(OR(AC8="",AC8="Sem monitoramento"),"VAZIO",IFERROR(AC8/($AJ10*24),"-"))</f>
        <v>0.13133333333333333</v>
      </c>
      <c r="BL10" s="68">
        <f t="shared" si="11"/>
        <v>2.5000000000000001E-2</v>
      </c>
      <c r="BM10" s="68">
        <f t="shared" si="12"/>
        <v>7.2499999999999995E-2</v>
      </c>
      <c r="BN10" s="68">
        <f t="shared" si="13"/>
        <v>4.65E-2</v>
      </c>
      <c r="BO10" s="68">
        <f>IF(OR(AG8="",AG8="Sem monitoramento"),"VAZIO",IFERROR(AG8/($AJ10*24),"-"))</f>
        <v>9.9833333333333329E-2</v>
      </c>
      <c r="BP10" s="70">
        <f t="shared" si="5"/>
        <v>6.5011111111111131E-2</v>
      </c>
      <c r="BQ10" s="180">
        <f>'FCs estimados em PVsyst'!Y8</f>
        <v>0.185</v>
      </c>
      <c r="BR10" s="72">
        <f t="shared" si="6"/>
        <v>4.625</v>
      </c>
      <c r="BS10" s="73">
        <f t="shared" si="7"/>
        <v>-7.6833333333333323E-2</v>
      </c>
      <c r="BT10" s="74">
        <f t="shared" si="8"/>
        <v>-0.11998888888888887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323.3</v>
      </c>
      <c r="E11" s="63">
        <v>348.5</v>
      </c>
      <c r="F11" s="63">
        <v>340.5</v>
      </c>
      <c r="G11" s="63">
        <v>345.9</v>
      </c>
      <c r="H11" s="63">
        <v>294.2</v>
      </c>
      <c r="I11" s="283">
        <v>151.9</v>
      </c>
      <c r="J11" s="283">
        <v>241.7</v>
      </c>
      <c r="K11" s="283">
        <v>199.5</v>
      </c>
      <c r="L11" s="63">
        <v>233.8</v>
      </c>
      <c r="M11" s="519">
        <v>340.9</v>
      </c>
      <c r="N11" s="63">
        <v>120.1</v>
      </c>
      <c r="O11" s="63">
        <v>154.19999999999999</v>
      </c>
      <c r="P11" s="63">
        <v>12.2</v>
      </c>
      <c r="Q11" s="283">
        <v>115.8</v>
      </c>
      <c r="R11" s="63">
        <v>132.6</v>
      </c>
      <c r="S11" s="63">
        <v>104</v>
      </c>
      <c r="T11" s="63">
        <v>118.7</v>
      </c>
      <c r="U11" s="63">
        <v>124</v>
      </c>
      <c r="V11" s="283">
        <v>70.8</v>
      </c>
      <c r="W11" s="592">
        <v>3.7</v>
      </c>
      <c r="X11" s="282">
        <v>242.8</v>
      </c>
      <c r="Y11" s="282">
        <v>274.39999999999998</v>
      </c>
      <c r="Z11" s="15">
        <v>299.60000000000002</v>
      </c>
      <c r="AA11" s="18">
        <v>152.6</v>
      </c>
      <c r="AB11" s="323">
        <v>287.39999999999998</v>
      </c>
      <c r="AC11" s="221">
        <v>229.7</v>
      </c>
      <c r="AD11" s="15">
        <v>144.19999999999999</v>
      </c>
      <c r="AE11" s="15">
        <v>240.8</v>
      </c>
      <c r="AF11" s="15">
        <v>162.4</v>
      </c>
      <c r="AG11" s="15">
        <v>132.5</v>
      </c>
      <c r="AH11" s="506">
        <v>148.30000000000001</v>
      </c>
      <c r="AI11" s="335">
        <f t="shared" si="9"/>
        <v>6091</v>
      </c>
      <c r="AJ11" s="118">
        <v>78</v>
      </c>
      <c r="AK11" s="121">
        <f t="shared" si="0"/>
        <v>1.0105056980056979E-2</v>
      </c>
      <c r="AL11" s="67">
        <f>IF(OR(D11="",D11="Sem monitoramento"),"VAZIO",IFERROR(D11/($AJ11*24),"-"))</f>
        <v>0.17270299145299145</v>
      </c>
      <c r="AM11" s="68">
        <f t="shared" si="18"/>
        <v>0.18616452991452992</v>
      </c>
      <c r="AN11" s="68">
        <f t="shared" si="18"/>
        <v>0.18189102564102563</v>
      </c>
      <c r="AO11" s="68">
        <f t="shared" si="18"/>
        <v>0.18477564102564101</v>
      </c>
      <c r="AP11" s="68">
        <f t="shared" si="18"/>
        <v>0.15715811965811965</v>
      </c>
      <c r="AQ11" s="68">
        <f t="shared" ref="AQ11:AT15" si="19">IF(OR(I11="",I11="Sem monitoramento"),"VAZIO",IFERROR(I11/($AJ11*24),"-"))</f>
        <v>8.1143162393162396E-2</v>
      </c>
      <c r="AR11" s="68">
        <f t="shared" si="19"/>
        <v>0.12911324786324785</v>
      </c>
      <c r="AS11" s="68">
        <f t="shared" si="19"/>
        <v>0.10657051282051282</v>
      </c>
      <c r="AT11" s="68">
        <f t="shared" si="19"/>
        <v>0.12489316239316239</v>
      </c>
      <c r="AU11" s="68">
        <f>IF(OR(M12="",M12="Sem monitoramento"),"VAZIO",IFERROR(M12/($AJ11*24),"-"))</f>
        <v>0.16666666666666666</v>
      </c>
      <c r="AV11" s="68">
        <f t="shared" ref="AV11:AX15" si="20">IF(OR(N11="",N11="Sem monitoramento"),"VAZIO",IFERROR(N11/($AJ11*24),"-"))</f>
        <v>6.41559829059829E-2</v>
      </c>
      <c r="AW11" s="68">
        <f t="shared" si="20"/>
        <v>8.2371794871794871E-2</v>
      </c>
      <c r="AX11" s="68">
        <f t="shared" si="20"/>
        <v>6.5170940170940165E-3</v>
      </c>
      <c r="AY11" s="68">
        <f t="shared" si="16"/>
        <v>6.1858974358974354E-2</v>
      </c>
      <c r="AZ11" s="68">
        <f t="shared" si="16"/>
        <v>7.0833333333333331E-2</v>
      </c>
      <c r="BA11" s="68">
        <f t="shared" si="16"/>
        <v>5.5555555555555552E-2</v>
      </c>
      <c r="BB11" s="68">
        <f t="shared" si="16"/>
        <v>6.3408119658119655E-2</v>
      </c>
      <c r="BC11" s="68">
        <f t="shared" ref="BC11:BD15" si="21">IF(OR(U11="",U11="Sem monitoramento"),"VAZIO",IFERROR(U11/($AJ11*24),"-"))</f>
        <v>6.623931623931624E-2</v>
      </c>
      <c r="BD11" s="68">
        <f t="shared" si="21"/>
        <v>3.7820512820512818E-2</v>
      </c>
      <c r="BE11" s="68">
        <f>IF(OR(W12="",W12="Sem monitoramento"),"VAZIO",IFERROR(W12/($AJ11*24),"-"))</f>
        <v>0.17094017094017094</v>
      </c>
      <c r="BF11" s="68">
        <f>IF(OR(X11="",X11="Sem monitoramento"),"VAZIO",IFERROR(X11/($AJ11*24),"-"))</f>
        <v>0.12970085470085471</v>
      </c>
      <c r="BG11" s="68">
        <f>IF(OR(Y11="",Y11="Sem monitoramento"),"VAZIO",IFERROR(Y11/($AJ11*24),"-"))</f>
        <v>0.14658119658119656</v>
      </c>
      <c r="BH11" s="68">
        <f>IF(OR(Z11="",Z11="Sem monitoramento"),"VAZIO",IFERROR(Z11/($AJ11*24),"-"))</f>
        <v>0.16004273504273506</v>
      </c>
      <c r="BI11" s="68" t="e">
        <f>IF(OR(#REF!="",#REF!="Sem monitoramento"),"VAZIO",IFERROR(#REF!/($AJ11*24),"-"))</f>
        <v>#REF!</v>
      </c>
      <c r="BJ11" s="68">
        <f>IF(OR(AB9="",AB9="Sem monitoramento"),"VAZIO",IFERROR(AB9/($AJ11*24),"-"))</f>
        <v>2.7029914529914531E-2</v>
      </c>
      <c r="BK11" s="68">
        <f>IF(OR(AC11="",AC11="Sem monitoramento"),"VAZIO",IFERROR(AC11/($AJ11*24),"-"))</f>
        <v>0.12270299145299145</v>
      </c>
      <c r="BL11" s="68">
        <f t="shared" si="11"/>
        <v>7.702991452991452E-2</v>
      </c>
      <c r="BM11" s="68">
        <f t="shared" si="12"/>
        <v>0.12863247863247865</v>
      </c>
      <c r="BN11" s="68">
        <f t="shared" si="13"/>
        <v>8.6752136752136749E-2</v>
      </c>
      <c r="BO11" s="68">
        <f>IF(OR(AG11="",AG11="Sem monitoramento"),"VAZIO",IFERROR(AG11/($AJ11*24),"-"))</f>
        <v>7.0779914529914528E-2</v>
      </c>
      <c r="BP11" s="70">
        <f t="shared" si="5"/>
        <v>0.1084579772079772</v>
      </c>
      <c r="BQ11" s="198">
        <f>BQ20</f>
        <v>0.168125</v>
      </c>
      <c r="BR11" s="72">
        <f t="shared" si="6"/>
        <v>13.11375</v>
      </c>
      <c r="BS11" s="73">
        <f t="shared" si="7"/>
        <v>1.3766025641025637E-2</v>
      </c>
      <c r="BT11" s="74">
        <f t="shared" si="8"/>
        <v>-5.9667022792022795E-2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220</v>
      </c>
      <c r="E12" s="308">
        <v>250</v>
      </c>
      <c r="F12" s="82">
        <v>310</v>
      </c>
      <c r="G12" s="82">
        <v>305</v>
      </c>
      <c r="H12" s="82">
        <v>280</v>
      </c>
      <c r="I12" s="308">
        <v>102</v>
      </c>
      <c r="J12" s="82">
        <v>200</v>
      </c>
      <c r="K12" s="308">
        <v>195</v>
      </c>
      <c r="L12" s="82">
        <v>190</v>
      </c>
      <c r="M12" s="283">
        <v>312</v>
      </c>
      <c r="N12" s="82">
        <v>98</v>
      </c>
      <c r="O12" s="82">
        <v>85</v>
      </c>
      <c r="P12" s="82">
        <v>200</v>
      </c>
      <c r="Q12" s="308">
        <v>185</v>
      </c>
      <c r="R12" s="308">
        <v>265</v>
      </c>
      <c r="S12" s="82">
        <v>189</v>
      </c>
      <c r="T12" s="82">
        <v>180</v>
      </c>
      <c r="U12" s="82">
        <v>240</v>
      </c>
      <c r="V12" s="82">
        <v>238</v>
      </c>
      <c r="W12" s="283">
        <v>320</v>
      </c>
      <c r="X12" s="82">
        <v>318</v>
      </c>
      <c r="Y12" s="63">
        <v>315</v>
      </c>
      <c r="Z12" s="16">
        <v>300</v>
      </c>
      <c r="AA12" s="17">
        <v>100</v>
      </c>
      <c r="AB12" s="324">
        <v>295</v>
      </c>
      <c r="AC12" s="489">
        <v>144</v>
      </c>
      <c r="AD12" s="16">
        <v>99</v>
      </c>
      <c r="AE12" s="16">
        <v>189</v>
      </c>
      <c r="AF12" s="16">
        <v>120</v>
      </c>
      <c r="AG12" s="16">
        <v>95</v>
      </c>
      <c r="AH12" s="730">
        <v>85</v>
      </c>
      <c r="AI12" s="335">
        <f t="shared" si="9"/>
        <v>6424</v>
      </c>
      <c r="AJ12" s="123">
        <v>61</v>
      </c>
      <c r="AK12" s="121" t="s">
        <v>31</v>
      </c>
      <c r="AL12" s="67">
        <f>IF(OR(D12="",D12="Sem monitoramento"),"VAZIO",IFERROR(D12/($AJ12*24),"-"))</f>
        <v>0.15027322404371585</v>
      </c>
      <c r="AM12" s="68">
        <f t="shared" si="18"/>
        <v>0.17076502732240437</v>
      </c>
      <c r="AN12" s="68">
        <f t="shared" si="18"/>
        <v>0.21174863387978143</v>
      </c>
      <c r="AO12" s="68">
        <f t="shared" si="18"/>
        <v>0.20833333333333334</v>
      </c>
      <c r="AP12" s="68">
        <f t="shared" si="18"/>
        <v>0.19125683060109289</v>
      </c>
      <c r="AQ12" s="68">
        <f t="shared" si="19"/>
        <v>6.9672131147540978E-2</v>
      </c>
      <c r="AR12" s="68">
        <f t="shared" si="19"/>
        <v>0.13661202185792351</v>
      </c>
      <c r="AS12" s="68">
        <f t="shared" si="19"/>
        <v>0.13319672131147542</v>
      </c>
      <c r="AT12" s="68">
        <f t="shared" si="19"/>
        <v>0.12978142076502733</v>
      </c>
      <c r="AU12" s="68">
        <f>IF(OR(M13="",M13="Sem monitoramento"),"VAZIO",IFERROR(M13/($AJ12*24),"-"))</f>
        <v>0.30874316939890711</v>
      </c>
      <c r="AV12" s="68">
        <f t="shared" si="20"/>
        <v>6.6939890710382519E-2</v>
      </c>
      <c r="AW12" s="68">
        <f t="shared" si="20"/>
        <v>5.8060109289617488E-2</v>
      </c>
      <c r="AX12" s="68">
        <f t="shared" si="20"/>
        <v>0.13661202185792351</v>
      </c>
      <c r="AY12" s="68">
        <f t="shared" si="16"/>
        <v>0.12636612021857924</v>
      </c>
      <c r="AZ12" s="68">
        <f t="shared" si="16"/>
        <v>0.18101092896174864</v>
      </c>
      <c r="BA12" s="68">
        <f t="shared" si="16"/>
        <v>0.12909836065573771</v>
      </c>
      <c r="BB12" s="68">
        <f t="shared" si="16"/>
        <v>0.12295081967213115</v>
      </c>
      <c r="BC12" s="68">
        <f t="shared" si="21"/>
        <v>0.16393442622950818</v>
      </c>
      <c r="BD12" s="68">
        <f t="shared" si="21"/>
        <v>0.16256830601092895</v>
      </c>
      <c r="BE12" s="68" t="e">
        <f>IF(OR(#REF!="",#REF!="Sem monitoramento"),"VAZIO",IFERROR(#REF!/($AJ12*24),"-"))</f>
        <v>#REF!</v>
      </c>
      <c r="BF12" s="68">
        <f t="shared" ref="BF12:BF19" si="22">IF(OR(X12="",X12="Sem monitoramento"),"VAZIO",IFERROR(X12/($AJ12*24),"-"))</f>
        <v>0.21721311475409835</v>
      </c>
      <c r="BG12" s="68" t="e">
        <f>IF(OR(#REF!="",#REF!="Sem monitoramento"),"VAZIO",IFERROR(#REF!/($AJ12*24),"-"))</f>
        <v>#REF!</v>
      </c>
      <c r="BH12" s="68">
        <f t="shared" ref="BH12:BJ14" si="23">IF(OR(Z12="",Z12="Sem monitoramento"),"VAZIO",IFERROR(Z12/($AJ12*24),"-"))</f>
        <v>0.20491803278688525</v>
      </c>
      <c r="BI12" s="68">
        <f t="shared" si="23"/>
        <v>6.8306010928961755E-2</v>
      </c>
      <c r="BJ12" s="68">
        <f t="shared" si="23"/>
        <v>0.20150273224043716</v>
      </c>
      <c r="BK12" s="68">
        <f>IF(OR(AC12="",AC12="Sem monitoramento"),"VAZIO",IFERROR(AC12/($AJ12*24),"-"))</f>
        <v>9.8360655737704916E-2</v>
      </c>
      <c r="BL12" s="68">
        <f t="shared" si="11"/>
        <v>6.7622950819672137E-2</v>
      </c>
      <c r="BM12" s="68">
        <f t="shared" si="12"/>
        <v>0.12909836065573771</v>
      </c>
      <c r="BN12" s="68">
        <f t="shared" si="13"/>
        <v>8.1967213114754092E-2</v>
      </c>
      <c r="BO12" s="68">
        <f>IF(OR(AG12="",AG12="Sem monitoramento"),"VAZIO",IFERROR(AG12/($AJ12*24),"-"))</f>
        <v>6.4890710382513664E-2</v>
      </c>
      <c r="BP12" s="70">
        <f t="shared" si="5"/>
        <v>0.14626593806921676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8"/>
        <v>-3.8387978142076506E-2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223">
        <v>360.2</v>
      </c>
      <c r="E13" s="283">
        <v>392.7</v>
      </c>
      <c r="F13" s="283">
        <v>467.3</v>
      </c>
      <c r="G13" s="283">
        <v>446.8</v>
      </c>
      <c r="H13" s="283">
        <v>406.4</v>
      </c>
      <c r="I13" s="283">
        <v>195.2</v>
      </c>
      <c r="J13" s="63">
        <v>319.5</v>
      </c>
      <c r="K13" s="283">
        <v>280.2</v>
      </c>
      <c r="L13" s="63">
        <v>279.39999999999998</v>
      </c>
      <c r="M13" s="82">
        <v>452</v>
      </c>
      <c r="N13" s="283">
        <v>185.2</v>
      </c>
      <c r="O13" s="63">
        <v>148.4</v>
      </c>
      <c r="P13" s="63">
        <v>304.2</v>
      </c>
      <c r="Q13" s="283">
        <v>264.39999999999998</v>
      </c>
      <c r="R13" s="308">
        <v>401.5</v>
      </c>
      <c r="S13" s="63">
        <v>322.8</v>
      </c>
      <c r="T13" s="63">
        <v>300.2</v>
      </c>
      <c r="U13" s="63">
        <v>372.4</v>
      </c>
      <c r="V13" s="63">
        <v>369.5</v>
      </c>
      <c r="W13" s="283">
        <v>488.1</v>
      </c>
      <c r="X13" s="63">
        <v>480.1</v>
      </c>
      <c r="Y13" s="519">
        <v>478.5</v>
      </c>
      <c r="Z13" s="15">
        <v>434.9</v>
      </c>
      <c r="AA13" s="18">
        <v>170.1</v>
      </c>
      <c r="AB13" s="323">
        <v>418.7</v>
      </c>
      <c r="AC13" s="489">
        <v>268.89999999999998</v>
      </c>
      <c r="AD13" s="15">
        <v>148.6</v>
      </c>
      <c r="AE13" s="15">
        <v>310.7</v>
      </c>
      <c r="AF13" s="15">
        <v>216.6</v>
      </c>
      <c r="AG13" s="15">
        <v>171.4</v>
      </c>
      <c r="AH13" s="506">
        <v>154.5</v>
      </c>
      <c r="AI13" s="335">
        <f t="shared" si="9"/>
        <v>10009.400000000001</v>
      </c>
      <c r="AJ13" s="118">
        <v>100</v>
      </c>
      <c r="AK13" s="121">
        <f t="shared" ref="AK13:AK31" si="24">F13/(AJ13*432)</f>
        <v>1.081712962962963E-2</v>
      </c>
      <c r="AL13" s="67">
        <f>IF(OR(D13="",D13="Sem monitoramento"),"VAZIO",IFERROR(D13/($AJ13*24),"-"))</f>
        <v>0.15008333333333332</v>
      </c>
      <c r="AM13" s="68">
        <f t="shared" si="18"/>
        <v>0.16362499999999999</v>
      </c>
      <c r="AN13" s="68">
        <f t="shared" si="18"/>
        <v>0.19470833333333334</v>
      </c>
      <c r="AO13" s="68">
        <f t="shared" si="18"/>
        <v>0.18616666666666667</v>
      </c>
      <c r="AP13" s="68">
        <f t="shared" si="18"/>
        <v>0.16933333333333334</v>
      </c>
      <c r="AQ13" s="68">
        <f t="shared" si="19"/>
        <v>8.1333333333333327E-2</v>
      </c>
      <c r="AR13" s="68">
        <f t="shared" si="19"/>
        <v>0.13312499999999999</v>
      </c>
      <c r="AS13" s="68">
        <f t="shared" si="19"/>
        <v>0.11674999999999999</v>
      </c>
      <c r="AT13" s="68">
        <f t="shared" si="19"/>
        <v>0.11641666666666665</v>
      </c>
      <c r="AU13" s="68" t="e">
        <f>IF(OR(#REF!="",#REF!="Sem monitoramento"),"VAZIO",IFERROR(#REF!/($AJ13*24),"-"))</f>
        <v>#REF!</v>
      </c>
      <c r="AV13" s="68">
        <f t="shared" si="20"/>
        <v>7.7166666666666661E-2</v>
      </c>
      <c r="AW13" s="68">
        <f t="shared" si="20"/>
        <v>6.1833333333333337E-2</v>
      </c>
      <c r="AX13" s="68">
        <f t="shared" si="20"/>
        <v>0.12675</v>
      </c>
      <c r="AY13" s="68">
        <f t="shared" si="16"/>
        <v>0.11016666666666666</v>
      </c>
      <c r="AZ13" s="68">
        <f t="shared" si="16"/>
        <v>0.16729166666666667</v>
      </c>
      <c r="BA13" s="68">
        <f t="shared" si="16"/>
        <v>0.13450000000000001</v>
      </c>
      <c r="BB13" s="68">
        <f t="shared" si="16"/>
        <v>0.12508333333333332</v>
      </c>
      <c r="BC13" s="68">
        <f t="shared" si="21"/>
        <v>0.15516666666666665</v>
      </c>
      <c r="BD13" s="68">
        <f t="shared" si="21"/>
        <v>0.15395833333333334</v>
      </c>
      <c r="BE13" s="68">
        <f>IF(OR(W13="",W13="Sem monitoramento"),"VAZIO",IFERROR(W13/($AJ13*24),"-"))</f>
        <v>0.203375</v>
      </c>
      <c r="BF13" s="68">
        <f t="shared" si="22"/>
        <v>0.20004166666666667</v>
      </c>
      <c r="BG13" s="68">
        <f>IF(OR(Y12="",Y12="Sem monitoramento"),"VAZIO",IFERROR(Y12/($AJ13*24),"-"))</f>
        <v>0.13125000000000001</v>
      </c>
      <c r="BH13" s="68">
        <f t="shared" si="23"/>
        <v>0.18120833333333333</v>
      </c>
      <c r="BI13" s="68">
        <f t="shared" si="23"/>
        <v>7.0874999999999994E-2</v>
      </c>
      <c r="BJ13" s="68">
        <f t="shared" si="23"/>
        <v>0.17445833333333333</v>
      </c>
      <c r="BK13" s="68">
        <f>IF(OR(AC13="",AC13="Sem monitoramento"),"VAZIO",IFERROR(AC13/($AJ13*24),"-"))</f>
        <v>0.11204166666666665</v>
      </c>
      <c r="BL13" s="68">
        <f t="shared" si="11"/>
        <v>6.1916666666666662E-2</v>
      </c>
      <c r="BM13" s="68">
        <f t="shared" si="12"/>
        <v>0.12945833333333334</v>
      </c>
      <c r="BN13" s="68">
        <f t="shared" si="13"/>
        <v>9.0249999999999997E-2</v>
      </c>
      <c r="BO13" s="68">
        <f>IF(OR(AG13="",AG13="Sem monitoramento"),"VAZIO",IFERROR(AG13/($AJ13*24),"-"))</f>
        <v>7.141666666666667E-2</v>
      </c>
      <c r="BP13" s="70">
        <f t="shared" si="5"/>
        <v>0.13901944444444447</v>
      </c>
      <c r="BQ13" s="198">
        <f>BQ20</f>
        <v>0.168125</v>
      </c>
      <c r="BR13" s="72">
        <f t="shared" ref="BR13:BR31" si="25">AJ13*BQ13</f>
        <v>16.8125</v>
      </c>
      <c r="BS13" s="73">
        <f t="shared" ref="BS13:BS31" si="26">AN13-BQ13</f>
        <v>2.6583333333333348E-2</v>
      </c>
      <c r="BT13" s="74">
        <f t="shared" si="8"/>
        <v>-2.9105555555555523E-2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223">
        <v>431.9</v>
      </c>
      <c r="E14" s="283">
        <v>461.8</v>
      </c>
      <c r="F14" s="283">
        <v>467.3</v>
      </c>
      <c r="G14" s="283">
        <v>475.8</v>
      </c>
      <c r="H14" s="283">
        <v>404.9</v>
      </c>
      <c r="I14" s="283">
        <v>207</v>
      </c>
      <c r="J14" s="283">
        <v>336.9</v>
      </c>
      <c r="K14" s="283">
        <v>287.3</v>
      </c>
      <c r="L14" s="283">
        <v>341.9</v>
      </c>
      <c r="M14" s="283">
        <v>476.7</v>
      </c>
      <c r="N14" s="63">
        <v>162.30000000000001</v>
      </c>
      <c r="O14" s="63">
        <v>204</v>
      </c>
      <c r="P14" s="63">
        <v>359.7</v>
      </c>
      <c r="Q14" s="283">
        <v>340.7</v>
      </c>
      <c r="R14" s="63">
        <v>491.2</v>
      </c>
      <c r="S14" s="63">
        <v>325.89999999999998</v>
      </c>
      <c r="T14" s="63">
        <v>359.3</v>
      </c>
      <c r="U14" s="63">
        <v>410.5</v>
      </c>
      <c r="V14" s="283">
        <v>356.9</v>
      </c>
      <c r="W14" s="283">
        <v>483.9</v>
      </c>
      <c r="X14" s="63">
        <v>479.3</v>
      </c>
      <c r="Y14" s="63">
        <v>473.3</v>
      </c>
      <c r="Z14" s="15">
        <v>406.6</v>
      </c>
      <c r="AA14" s="18">
        <v>197.5</v>
      </c>
      <c r="AB14" s="323">
        <v>387.9</v>
      </c>
      <c r="AC14" s="221">
        <v>388.5</v>
      </c>
      <c r="AD14" s="15">
        <v>190.6</v>
      </c>
      <c r="AE14" s="15">
        <v>323.2</v>
      </c>
      <c r="AF14" s="15">
        <v>215.6</v>
      </c>
      <c r="AG14" s="15">
        <v>172.5</v>
      </c>
      <c r="AH14" s="506">
        <v>194.1</v>
      </c>
      <c r="AI14" s="335">
        <f t="shared" si="9"/>
        <v>10815</v>
      </c>
      <c r="AJ14" s="118">
        <v>100</v>
      </c>
      <c r="AK14" s="121">
        <f t="shared" si="24"/>
        <v>1.081712962962963E-2</v>
      </c>
      <c r="AL14" s="67">
        <f>IF(OR(D14="",D14="Sem monitoramento"),"VAZIO",IFERROR(D14/($AJ14*24),"-"))</f>
        <v>0.17995833333333333</v>
      </c>
      <c r="AM14" s="68">
        <f t="shared" si="18"/>
        <v>0.19241666666666668</v>
      </c>
      <c r="AN14" s="68">
        <f t="shared" si="18"/>
        <v>0.19470833333333334</v>
      </c>
      <c r="AO14" s="68">
        <f t="shared" si="18"/>
        <v>0.19825000000000001</v>
      </c>
      <c r="AP14" s="68">
        <f t="shared" si="18"/>
        <v>0.16870833333333332</v>
      </c>
      <c r="AQ14" s="68">
        <f t="shared" si="19"/>
        <v>8.6249999999999993E-2</v>
      </c>
      <c r="AR14" s="68">
        <f t="shared" si="19"/>
        <v>0.140375</v>
      </c>
      <c r="AS14" s="68">
        <f t="shared" si="19"/>
        <v>0.11970833333333333</v>
      </c>
      <c r="AT14" s="68">
        <f t="shared" si="19"/>
        <v>0.14245833333333333</v>
      </c>
      <c r="AU14" s="68">
        <f>IF(OR(M14="",M14="Sem monitoramento"),"VAZIO",IFERROR(M14/($AJ14*24),"-"))</f>
        <v>0.198625</v>
      </c>
      <c r="AV14" s="68">
        <f t="shared" si="20"/>
        <v>6.7625000000000005E-2</v>
      </c>
      <c r="AW14" s="68">
        <f t="shared" si="20"/>
        <v>8.5000000000000006E-2</v>
      </c>
      <c r="AX14" s="68">
        <f t="shared" si="20"/>
        <v>0.14987500000000001</v>
      </c>
      <c r="AY14" s="68">
        <f t="shared" si="16"/>
        <v>0.14195833333333333</v>
      </c>
      <c r="AZ14" s="68">
        <f t="shared" si="16"/>
        <v>0.20466666666666666</v>
      </c>
      <c r="BA14" s="68">
        <f t="shared" si="16"/>
        <v>0.13579166666666664</v>
      </c>
      <c r="BB14" s="68">
        <f t="shared" si="16"/>
        <v>0.14970833333333333</v>
      </c>
      <c r="BC14" s="68">
        <f t="shared" si="21"/>
        <v>0.17104166666666668</v>
      </c>
      <c r="BD14" s="68">
        <f t="shared" si="21"/>
        <v>0.14870833333333333</v>
      </c>
      <c r="BE14" s="68">
        <f>IF(OR(W14="",W14="Sem monitoramento"),"VAZIO",IFERROR(W14/($AJ14*24),"-"))</f>
        <v>0.201625</v>
      </c>
      <c r="BF14" s="68">
        <f t="shared" si="22"/>
        <v>0.19970833333333335</v>
      </c>
      <c r="BG14" s="68">
        <f>IF(OR(Y14="",Y14="Sem monitoramento"),"VAZIO",IFERROR(Y14/($AJ14*24),"-"))</f>
        <v>0.19720833333333335</v>
      </c>
      <c r="BH14" s="68">
        <f t="shared" si="23"/>
        <v>0.16941666666666669</v>
      </c>
      <c r="BI14" s="68">
        <f t="shared" si="23"/>
        <v>8.2291666666666666E-2</v>
      </c>
      <c r="BJ14" s="68">
        <f t="shared" si="23"/>
        <v>0.16162499999999999</v>
      </c>
      <c r="BK14" s="68">
        <f>IF(OR(AC14="",AC14="Sem monitoramento"),"VAZIO",IFERROR(AC14/($AJ14*24),"-"))</f>
        <v>0.16187499999999999</v>
      </c>
      <c r="BL14" s="68">
        <f t="shared" si="11"/>
        <v>7.9416666666666663E-2</v>
      </c>
      <c r="BM14" s="68">
        <f t="shared" si="12"/>
        <v>0.13466666666666666</v>
      </c>
      <c r="BN14" s="68">
        <f t="shared" si="13"/>
        <v>8.9833333333333334E-2</v>
      </c>
      <c r="BO14" s="68">
        <f>IF(OR(AG14="",AG14="Sem monitoramento"),"VAZIO",IFERROR(AG14/($AJ14*24),"-"))</f>
        <v>7.1874999999999994E-2</v>
      </c>
      <c r="BP14" s="70">
        <f t="shared" si="5"/>
        <v>0.15020833333333333</v>
      </c>
      <c r="BQ14" s="198">
        <f>$BQ$20</f>
        <v>0.168125</v>
      </c>
      <c r="BR14" s="72">
        <f t="shared" si="25"/>
        <v>16.8125</v>
      </c>
      <c r="BS14" s="73">
        <f t="shared" si="26"/>
        <v>2.6583333333333348E-2</v>
      </c>
      <c r="BT14" s="74">
        <f t="shared" si="8"/>
        <v>-1.7916666666666664E-2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125</v>
      </c>
      <c r="E15" s="63">
        <v>131.80000000000001</v>
      </c>
      <c r="F15" s="63">
        <v>131.6</v>
      </c>
      <c r="G15" s="63">
        <v>130.9</v>
      </c>
      <c r="H15" s="63">
        <v>114.2</v>
      </c>
      <c r="I15" s="283">
        <v>55</v>
      </c>
      <c r="J15" s="283">
        <v>96.9</v>
      </c>
      <c r="K15" s="283">
        <v>81.2</v>
      </c>
      <c r="L15" s="283">
        <v>96.8</v>
      </c>
      <c r="M15" s="283">
        <v>128.6</v>
      </c>
      <c r="N15" s="283">
        <v>42.9</v>
      </c>
      <c r="O15" s="283">
        <v>56.5</v>
      </c>
      <c r="P15" s="283">
        <v>41.4</v>
      </c>
      <c r="Q15" s="283">
        <v>76.599999999999994</v>
      </c>
      <c r="R15" s="283">
        <v>136.30000000000001</v>
      </c>
      <c r="S15" s="283">
        <v>95.6</v>
      </c>
      <c r="T15" s="283">
        <v>105.2</v>
      </c>
      <c r="U15" s="283">
        <v>117.3</v>
      </c>
      <c r="V15" s="283">
        <v>135</v>
      </c>
      <c r="W15" s="283">
        <v>131</v>
      </c>
      <c r="X15" s="63">
        <v>138</v>
      </c>
      <c r="Y15" s="63">
        <v>125.3</v>
      </c>
      <c r="Z15" s="15">
        <v>111.9</v>
      </c>
      <c r="AA15" s="18">
        <v>53.7</v>
      </c>
      <c r="AB15" s="323">
        <v>109.5</v>
      </c>
      <c r="AC15" s="221">
        <v>64.400000000000006</v>
      </c>
      <c r="AD15" s="221">
        <v>19.5</v>
      </c>
      <c r="AE15" s="15">
        <v>34.9</v>
      </c>
      <c r="AF15" s="15">
        <v>22.2</v>
      </c>
      <c r="AG15" s="15">
        <v>17.3</v>
      </c>
      <c r="AH15" s="506">
        <v>20.2</v>
      </c>
      <c r="AI15" s="335">
        <f t="shared" si="9"/>
        <v>2746.7000000000003</v>
      </c>
      <c r="AJ15" s="118">
        <v>29</v>
      </c>
      <c r="AK15" s="121">
        <f t="shared" si="24"/>
        <v>1.0504469987228607E-2</v>
      </c>
      <c r="AL15" s="67">
        <f>IF(OR(D15="",D15="Sem monitoramento"),"VAZIO",IFERROR(D15/($AJ15*24),"-"))</f>
        <v>0.17959770114942528</v>
      </c>
      <c r="AM15" s="68">
        <f t="shared" si="18"/>
        <v>0.18936781609195405</v>
      </c>
      <c r="AN15" s="68">
        <f t="shared" si="18"/>
        <v>0.18908045977011492</v>
      </c>
      <c r="AO15" s="68">
        <f t="shared" si="18"/>
        <v>0.18807471264367817</v>
      </c>
      <c r="AP15" s="68">
        <f t="shared" si="18"/>
        <v>0.16408045977011496</v>
      </c>
      <c r="AQ15" s="68">
        <f t="shared" si="19"/>
        <v>7.9022988505747127E-2</v>
      </c>
      <c r="AR15" s="68">
        <f t="shared" si="19"/>
        <v>0.1392241379310345</v>
      </c>
      <c r="AS15" s="68">
        <f t="shared" si="19"/>
        <v>0.11666666666666667</v>
      </c>
      <c r="AT15" s="68">
        <f t="shared" si="19"/>
        <v>0.13908045977011493</v>
      </c>
      <c r="AU15" s="68">
        <f>IF(OR(M15="",M15="Sem monitoramento"),"VAZIO",IFERROR(M15/($AJ15*24),"-"))</f>
        <v>0.18477011494252873</v>
      </c>
      <c r="AV15" s="68">
        <f t="shared" si="20"/>
        <v>6.1637931034482757E-2</v>
      </c>
      <c r="AW15" s="68">
        <f t="shared" si="20"/>
        <v>8.1178160919540235E-2</v>
      </c>
      <c r="AX15" s="68">
        <f t="shared" si="20"/>
        <v>5.9482758620689656E-2</v>
      </c>
      <c r="AY15" s="68">
        <f t="shared" si="16"/>
        <v>0.11005747126436781</v>
      </c>
      <c r="AZ15" s="68">
        <f t="shared" si="16"/>
        <v>0.19583333333333336</v>
      </c>
      <c r="BA15" s="68">
        <f t="shared" si="16"/>
        <v>0.13735632183908045</v>
      </c>
      <c r="BB15" s="68">
        <f t="shared" si="16"/>
        <v>0.15114942528735634</v>
      </c>
      <c r="BC15" s="68">
        <f t="shared" si="21"/>
        <v>0.16853448275862068</v>
      </c>
      <c r="BD15" s="68">
        <f t="shared" si="21"/>
        <v>0.19396551724137931</v>
      </c>
      <c r="BE15" s="68">
        <f>IF(OR(W15="",W15="Sem monitoramento"),"VAZIO",IFERROR(W15/($AJ15*24),"-"))</f>
        <v>0.18821839080459771</v>
      </c>
      <c r="BF15" s="68">
        <f t="shared" si="22"/>
        <v>0.19827586206896552</v>
      </c>
      <c r="BG15" s="68">
        <f>IF(OR(Y17="",Y17="Sem monitoramento"),"VAZIO",IFERROR(Y17/($AJ15*24),"-"))</f>
        <v>0.72974137931034477</v>
      </c>
      <c r="BH15" s="68">
        <f>IF(OR(Z17="",Z17="Sem monitoramento"),"VAZIO",IFERROR(Z17/($AJ15*24),"-"))</f>
        <v>0.6701149425287356</v>
      </c>
      <c r="BI15" s="68">
        <f>IF(OR(AA15="",AA15="Sem monitoramento"),"VAZIO",IFERROR(AA15/($AJ15*24),"-"))</f>
        <v>7.7155172413793105E-2</v>
      </c>
      <c r="BJ15" s="68">
        <f>IF(OR(AB15="",AB15="Sem monitoramento"),"VAZIO",IFERROR(AB15/($AJ15*24),"-"))</f>
        <v>0.15732758620689655</v>
      </c>
      <c r="BK15" s="68">
        <f>IF(OR(AC15="",AC15="Sem monitoramento"),"VAZIO",IFERROR(AC15/($AJ15*24),"-"))</f>
        <v>9.2528735632183917E-2</v>
      </c>
      <c r="BL15" s="68">
        <f t="shared" si="11"/>
        <v>2.8017241379310345E-2</v>
      </c>
      <c r="BM15" s="68">
        <f t="shared" si="12"/>
        <v>5.0143678160919539E-2</v>
      </c>
      <c r="BN15" s="68">
        <f t="shared" si="13"/>
        <v>3.1896551724137932E-2</v>
      </c>
      <c r="BO15" s="68">
        <f>IF(OR(AG15="",AG15="Sem monitoramento"),"VAZIO",IFERROR(AG15/($AJ15*24),"-"))</f>
        <v>2.4856321839080462E-2</v>
      </c>
      <c r="BP15" s="70">
        <f t="shared" si="5"/>
        <v>0.13154693486590038</v>
      </c>
      <c r="BQ15" s="180">
        <f>'FCs estimados em PVsyst'!Y13</f>
        <v>0.1850095785440613</v>
      </c>
      <c r="BR15" s="72">
        <f t="shared" si="25"/>
        <v>5.365277777777778</v>
      </c>
      <c r="BS15" s="73">
        <f t="shared" si="26"/>
        <v>4.0708812260536187E-3</v>
      </c>
      <c r="BT15" s="74">
        <f t="shared" si="8"/>
        <v>-5.346264367816092E-2</v>
      </c>
      <c r="BU15" s="15" t="s">
        <v>110</v>
      </c>
      <c r="BV15" s="3"/>
      <c r="BW15" s="2"/>
      <c r="BX15" s="2"/>
    </row>
    <row r="16" spans="2:76" x14ac:dyDescent="0.3">
      <c r="B16" s="771"/>
      <c r="C16" s="326" t="s">
        <v>20</v>
      </c>
      <c r="D16" s="62">
        <v>425.3</v>
      </c>
      <c r="E16" s="63">
        <v>386.2</v>
      </c>
      <c r="F16" s="63">
        <v>518.70000000000005</v>
      </c>
      <c r="G16" s="63">
        <v>440.9</v>
      </c>
      <c r="H16" s="63">
        <v>438.9</v>
      </c>
      <c r="I16" s="283">
        <v>209.1</v>
      </c>
      <c r="J16" s="283">
        <v>386.4</v>
      </c>
      <c r="K16" s="283">
        <v>285.39999999999998</v>
      </c>
      <c r="L16" s="283">
        <v>453.5</v>
      </c>
      <c r="M16" s="283">
        <v>510.4</v>
      </c>
      <c r="N16" s="283">
        <v>132.30000000000001</v>
      </c>
      <c r="O16" s="283">
        <v>161.19999999999999</v>
      </c>
      <c r="P16" s="283">
        <v>308.39999999999998</v>
      </c>
      <c r="Q16" s="283">
        <v>274.8</v>
      </c>
      <c r="R16" s="283">
        <v>382.2</v>
      </c>
      <c r="S16" s="283">
        <v>371</v>
      </c>
      <c r="T16" s="283">
        <v>423</v>
      </c>
      <c r="U16" s="283">
        <v>435.4</v>
      </c>
      <c r="V16" s="283">
        <v>494.9</v>
      </c>
      <c r="W16" s="283">
        <v>530.1</v>
      </c>
      <c r="X16" s="63">
        <v>522.29999999999995</v>
      </c>
      <c r="Y16" s="63">
        <v>511.4</v>
      </c>
      <c r="Z16" s="31">
        <v>454.5</v>
      </c>
      <c r="AA16" s="18">
        <v>156.30000000000001</v>
      </c>
      <c r="AB16" s="323">
        <v>463.5</v>
      </c>
      <c r="AC16" s="221">
        <v>243.6</v>
      </c>
      <c r="AD16" s="221">
        <v>151.30000000000001</v>
      </c>
      <c r="AE16" s="15">
        <v>354.9</v>
      </c>
      <c r="AF16" s="15">
        <v>203.2</v>
      </c>
      <c r="AG16" s="15">
        <v>178.3</v>
      </c>
      <c r="AH16" s="506">
        <v>210.1</v>
      </c>
      <c r="AI16" s="335">
        <f>SUM(D16:AH16)</f>
        <v>11017.499999999998</v>
      </c>
      <c r="AJ16" s="118"/>
      <c r="AK16" s="121"/>
      <c r="AL16" s="67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70"/>
      <c r="BQ16" s="180"/>
      <c r="BR16" s="72"/>
      <c r="BS16" s="73"/>
      <c r="BT16" s="74"/>
      <c r="BU16" s="15"/>
      <c r="BV16" s="3"/>
      <c r="BW16" s="2"/>
      <c r="BX16" s="2"/>
    </row>
    <row r="17" spans="2:76" x14ac:dyDescent="0.3">
      <c r="B17" s="774"/>
      <c r="C17" s="722" t="s">
        <v>1078</v>
      </c>
      <c r="D17" s="62">
        <v>435.9</v>
      </c>
      <c r="E17" s="283">
        <v>425.3</v>
      </c>
      <c r="F17" s="283">
        <v>520.79999999999995</v>
      </c>
      <c r="G17" s="283">
        <v>411.4</v>
      </c>
      <c r="H17" s="63">
        <v>440.5</v>
      </c>
      <c r="I17" s="63">
        <v>228.4</v>
      </c>
      <c r="J17" s="283">
        <v>404.7</v>
      </c>
      <c r="K17" s="283">
        <v>324.8</v>
      </c>
      <c r="L17" s="63">
        <v>374.6</v>
      </c>
      <c r="M17" s="63">
        <v>470.4</v>
      </c>
      <c r="N17" s="63">
        <v>219.5</v>
      </c>
      <c r="O17" s="63">
        <v>167.5</v>
      </c>
      <c r="P17" s="283">
        <v>310.3</v>
      </c>
      <c r="Q17" s="283">
        <v>273.3</v>
      </c>
      <c r="R17" s="283">
        <v>434.7</v>
      </c>
      <c r="S17" s="283">
        <v>376.7</v>
      </c>
      <c r="T17" s="141">
        <v>385.7</v>
      </c>
      <c r="U17" s="355">
        <v>195.1</v>
      </c>
      <c r="V17" s="283">
        <f>153.7+152.7+152.9</f>
        <v>459.29999999999995</v>
      </c>
      <c r="W17" s="283">
        <v>519.29999999999995</v>
      </c>
      <c r="X17" s="63">
        <v>512.9</v>
      </c>
      <c r="Y17" s="63">
        <v>507.9</v>
      </c>
      <c r="Z17" s="15">
        <v>466.4</v>
      </c>
      <c r="AA17" s="61">
        <v>188.5</v>
      </c>
      <c r="AB17" s="323">
        <v>439.4</v>
      </c>
      <c r="AC17" s="15">
        <v>321</v>
      </c>
      <c r="AD17" s="15">
        <v>173.4</v>
      </c>
      <c r="AE17" s="15">
        <v>366.8</v>
      </c>
      <c r="AF17" s="15">
        <v>245.5</v>
      </c>
      <c r="AG17" s="221">
        <v>192.9</v>
      </c>
      <c r="AH17" s="729">
        <v>185.4</v>
      </c>
      <c r="AI17" s="335">
        <f t="shared" ref="AI17:AI31" si="27">SUM(D17:AH17)</f>
        <v>10978.299999999997</v>
      </c>
      <c r="AJ17" s="118">
        <v>100</v>
      </c>
      <c r="AK17" s="121">
        <f t="shared" si="24"/>
        <v>1.2055555555555554E-2</v>
      </c>
      <c r="AL17" s="67">
        <f t="shared" ref="AL17:BA17" si="28">IF(OR(D17="",D17="Sem monitoramento"),"VAZIO",IFERROR(D17/($AJ17*24),"-"))</f>
        <v>0.18162499999999998</v>
      </c>
      <c r="AM17" s="68">
        <f t="shared" si="28"/>
        <v>0.17720833333333333</v>
      </c>
      <c r="AN17" s="68">
        <f t="shared" si="28"/>
        <v>0.21699999999999997</v>
      </c>
      <c r="AO17" s="68">
        <f t="shared" si="28"/>
        <v>0.17141666666666666</v>
      </c>
      <c r="AP17" s="68">
        <f t="shared" si="28"/>
        <v>0.18354166666666666</v>
      </c>
      <c r="AQ17" s="68">
        <f t="shared" si="28"/>
        <v>9.5166666666666663E-2</v>
      </c>
      <c r="AR17" s="68">
        <f t="shared" si="28"/>
        <v>0.168625</v>
      </c>
      <c r="AS17" s="68">
        <f t="shared" si="28"/>
        <v>0.13533333333333333</v>
      </c>
      <c r="AT17" s="68">
        <f t="shared" si="28"/>
        <v>0.15608333333333335</v>
      </c>
      <c r="AU17" s="68">
        <f t="shared" si="28"/>
        <v>0.19599999999999998</v>
      </c>
      <c r="AV17" s="68">
        <f t="shared" si="28"/>
        <v>9.1458333333333336E-2</v>
      </c>
      <c r="AW17" s="68">
        <f t="shared" si="28"/>
        <v>6.9791666666666669E-2</v>
      </c>
      <c r="AX17" s="68">
        <f t="shared" si="28"/>
        <v>0.12929166666666667</v>
      </c>
      <c r="AY17" s="68">
        <f t="shared" si="28"/>
        <v>0.113875</v>
      </c>
      <c r="AZ17" s="68">
        <f t="shared" si="28"/>
        <v>0.18112500000000001</v>
      </c>
      <c r="BA17" s="68">
        <f t="shared" si="28"/>
        <v>0.15695833333333334</v>
      </c>
      <c r="BB17" s="68">
        <f>IF(OR(T14="",T14="Sem monitoramento"),"VAZIO",IFERROR(T14/($AJ17*24),"-"))</f>
        <v>0.14970833333333333</v>
      </c>
      <c r="BC17" s="68">
        <f t="shared" ref="BC17:BE19" si="29">IF(OR(U17="",U17="Sem monitoramento"),"VAZIO",IFERROR(U17/($AJ17*24),"-"))</f>
        <v>8.1291666666666665E-2</v>
      </c>
      <c r="BD17" s="68">
        <f t="shared" si="29"/>
        <v>0.19137499999999999</v>
      </c>
      <c r="BE17" s="68">
        <f t="shared" si="29"/>
        <v>0.21637499999999998</v>
      </c>
      <c r="BF17" s="68">
        <f t="shared" si="22"/>
        <v>0.21370833333333333</v>
      </c>
      <c r="BG17" s="68" t="e">
        <f>IF(OR(#REF!="",#REF!="Sem monitoramento"),"VAZIO",IFERROR(#REF!/($AJ17*24),"-"))</f>
        <v>#REF!</v>
      </c>
      <c r="BH17" s="68" t="e">
        <f>IF(OR(#REF!="",#REF!="Sem monitoramento"),"VAZIO",IFERROR(#REF!/($AJ17*24),"-"))</f>
        <v>#REF!</v>
      </c>
      <c r="BI17" s="68">
        <f t="shared" ref="BI17:BO17" si="30">IF(OR(AA17="",AA17="Sem monitoramento"),"VAZIO",IFERROR(AA17/($AJ17*24),"-"))</f>
        <v>7.8541666666666662E-2</v>
      </c>
      <c r="BJ17" s="68">
        <f t="shared" si="30"/>
        <v>0.18308333333333332</v>
      </c>
      <c r="BK17" s="68">
        <f t="shared" si="30"/>
        <v>0.13375000000000001</v>
      </c>
      <c r="BL17" s="68">
        <f t="shared" si="30"/>
        <v>7.2250000000000009E-2</v>
      </c>
      <c r="BM17" s="68">
        <f t="shared" si="30"/>
        <v>0.15283333333333335</v>
      </c>
      <c r="BN17" s="68">
        <f t="shared" si="30"/>
        <v>0.10229166666666667</v>
      </c>
      <c r="BO17" s="68">
        <f t="shared" si="30"/>
        <v>8.0375000000000002E-2</v>
      </c>
      <c r="BP17" s="70">
        <f t="shared" si="5"/>
        <v>0.15247638888888884</v>
      </c>
      <c r="BQ17" s="180">
        <f>'FCs estimados em PVsyst'!Y14</f>
        <v>0.16425000000000001</v>
      </c>
      <c r="BR17" s="72">
        <f t="shared" si="25"/>
        <v>16.425000000000001</v>
      </c>
      <c r="BS17" s="73">
        <f t="shared" si="26"/>
        <v>5.2749999999999964E-2</v>
      </c>
      <c r="BT17" s="74">
        <f t="shared" si="8"/>
        <v>-1.1773611111111165E-2</v>
      </c>
      <c r="BU17" s="15" t="s">
        <v>20</v>
      </c>
      <c r="BV17" s="3"/>
      <c r="BW17" s="2"/>
      <c r="BX17" s="2"/>
    </row>
    <row r="18" spans="2:76" x14ac:dyDescent="0.3">
      <c r="B18" s="775" t="s">
        <v>21</v>
      </c>
      <c r="C18" s="326" t="s">
        <v>22</v>
      </c>
      <c r="D18" s="223">
        <v>454.2</v>
      </c>
      <c r="E18" s="63">
        <v>512.20000000000005</v>
      </c>
      <c r="F18" s="308">
        <v>520.6</v>
      </c>
      <c r="G18" s="283">
        <v>459</v>
      </c>
      <c r="H18" s="283">
        <v>499.2</v>
      </c>
      <c r="I18" s="82">
        <v>321.8</v>
      </c>
      <c r="J18" s="82">
        <v>375</v>
      </c>
      <c r="K18" s="63">
        <v>345.7</v>
      </c>
      <c r="L18" s="63">
        <v>178.9</v>
      </c>
      <c r="M18" s="63">
        <v>435.1</v>
      </c>
      <c r="N18" s="480">
        <v>341.3</v>
      </c>
      <c r="O18" s="283">
        <v>158.30000000000001</v>
      </c>
      <c r="P18" s="283">
        <v>252.7</v>
      </c>
      <c r="Q18" s="283">
        <v>339.5</v>
      </c>
      <c r="R18" s="63">
        <v>491.4</v>
      </c>
      <c r="S18" s="283">
        <v>277.2</v>
      </c>
      <c r="T18" s="63">
        <v>439</v>
      </c>
      <c r="U18" s="63">
        <v>419.6</v>
      </c>
      <c r="V18" s="63">
        <v>410</v>
      </c>
      <c r="W18" s="283">
        <v>462.5</v>
      </c>
      <c r="X18" s="283">
        <v>502.4</v>
      </c>
      <c r="Y18" s="519">
        <v>501.8</v>
      </c>
      <c r="Z18" s="15">
        <v>466.9</v>
      </c>
      <c r="AA18" s="18">
        <v>222</v>
      </c>
      <c r="AB18" s="20">
        <v>483.1</v>
      </c>
      <c r="AC18" s="221">
        <v>360</v>
      </c>
      <c r="AD18" s="221">
        <v>239.6</v>
      </c>
      <c r="AE18" s="15">
        <v>335.2</v>
      </c>
      <c r="AF18" s="15">
        <v>268.39999999999998</v>
      </c>
      <c r="AG18" s="15">
        <v>97</v>
      </c>
      <c r="AH18" s="506">
        <v>179</v>
      </c>
      <c r="AI18" s="335">
        <f t="shared" si="27"/>
        <v>11348.6</v>
      </c>
      <c r="AJ18" s="118">
        <v>100</v>
      </c>
      <c r="AK18" s="122">
        <f t="shared" si="24"/>
        <v>1.2050925925925927E-2</v>
      </c>
      <c r="AL18" s="67">
        <f t="shared" ref="AL18:AR24" si="31">IF(OR(D18="",D18="Sem monitoramento"),"VAZIO",IFERROR(D18/($AJ18*24),"-"))</f>
        <v>0.18925</v>
      </c>
      <c r="AM18" s="68">
        <f t="shared" si="31"/>
        <v>0.2134166666666667</v>
      </c>
      <c r="AN18" s="68">
        <f t="shared" si="31"/>
        <v>0.21691666666666667</v>
      </c>
      <c r="AO18" s="68">
        <f t="shared" si="31"/>
        <v>0.19125</v>
      </c>
      <c r="AP18" s="68">
        <f t="shared" si="31"/>
        <v>0.20799999999999999</v>
      </c>
      <c r="AQ18" s="68">
        <f t="shared" si="31"/>
        <v>0.13408333333333333</v>
      </c>
      <c r="AR18" s="68">
        <f t="shared" si="31"/>
        <v>0.15625</v>
      </c>
      <c r="AS18" s="68" t="e">
        <f>IF(OR(#REF!="",#REF!="Sem monitoramento"),"VAZIO",IFERROR(#REF!/($AJ18*24),"-"))</f>
        <v>#REF!</v>
      </c>
      <c r="AT18" s="68" t="e">
        <f>IF(OR(#REF!="",#REF!="Sem monitoramento"),"VAZIO",IFERROR(#REF!/($AJ18*24),"-"))</f>
        <v>#REF!</v>
      </c>
      <c r="AU18" s="68">
        <f>IF(OR(M18="",M18="Sem monitoramento"),"VAZIO",IFERROR(M18/($AJ18*24),"-"))</f>
        <v>0.18129166666666668</v>
      </c>
      <c r="AV18" s="68">
        <f>IF(OR(N19="",N19="Sem monitoramento"),"VAZIO",IFERROR(N19/($AJ18*24),"-"))</f>
        <v>0.14049999999999999</v>
      </c>
      <c r="AW18" s="68">
        <f t="shared" ref="AW18:BB18" si="32">IF(OR(O18="",O18="Sem monitoramento"),"VAZIO",IFERROR(O18/($AJ18*24),"-"))</f>
        <v>6.5958333333333341E-2</v>
      </c>
      <c r="AX18" s="68">
        <f t="shared" si="32"/>
        <v>0.10529166666666666</v>
      </c>
      <c r="AY18" s="68">
        <f t="shared" si="32"/>
        <v>0.14145833333333332</v>
      </c>
      <c r="AZ18" s="68">
        <f t="shared" si="32"/>
        <v>0.20474999999999999</v>
      </c>
      <c r="BA18" s="68">
        <f t="shared" si="32"/>
        <v>0.11549999999999999</v>
      </c>
      <c r="BB18" s="68">
        <f t="shared" si="32"/>
        <v>0.18291666666666667</v>
      </c>
      <c r="BC18" s="68">
        <f t="shared" si="29"/>
        <v>0.17483333333333334</v>
      </c>
      <c r="BD18" s="68">
        <f t="shared" si="29"/>
        <v>0.17083333333333334</v>
      </c>
      <c r="BE18" s="68">
        <f t="shared" si="29"/>
        <v>0.19270833333333334</v>
      </c>
      <c r="BF18" s="68">
        <f t="shared" si="22"/>
        <v>0.20933333333333332</v>
      </c>
      <c r="BG18" s="68" t="e">
        <f>IF(OR(#REF!="",#REF!="Sem monitoramento"),"VAZIO",IFERROR(#REF!/($AJ18*24),"-"))</f>
        <v>#REF!</v>
      </c>
      <c r="BH18" s="68">
        <f t="shared" ref="BH18:BI25" si="33">IF(OR(Z18="",Z18="Sem monitoramento"),"VAZIO",IFERROR(Z18/($AJ18*24),"-"))</f>
        <v>0.19454166666666667</v>
      </c>
      <c r="BI18" s="68">
        <f t="shared" si="33"/>
        <v>9.2499999999999999E-2</v>
      </c>
      <c r="BJ18" s="68" t="e">
        <f>IF(OR(#REF!="",#REF!="Sem monitoramento"),"VAZIO",IFERROR(#REF!/($AJ18*24),"-"))</f>
        <v>#REF!</v>
      </c>
      <c r="BK18" s="68">
        <f t="shared" ref="BK18:BO20" si="34">IF(OR(AC18="",AC18="Sem monitoramento"),"VAZIO",IFERROR(AC18/($AJ18*24),"-"))</f>
        <v>0.15</v>
      </c>
      <c r="BL18" s="68">
        <f t="shared" si="34"/>
        <v>9.9833333333333329E-2</v>
      </c>
      <c r="BM18" s="68">
        <f t="shared" si="34"/>
        <v>0.13966666666666666</v>
      </c>
      <c r="BN18" s="68">
        <f t="shared" si="34"/>
        <v>0.11183333333333333</v>
      </c>
      <c r="BO18" s="68">
        <f t="shared" si="34"/>
        <v>4.0416666666666663E-2</v>
      </c>
      <c r="BP18" s="70">
        <f t="shared" si="5"/>
        <v>0.15761944444444445</v>
      </c>
      <c r="BQ18" s="198">
        <f>$BQ$20</f>
        <v>0.168125</v>
      </c>
      <c r="BR18" s="90">
        <f t="shared" si="25"/>
        <v>16.8125</v>
      </c>
      <c r="BS18" s="73">
        <f t="shared" si="26"/>
        <v>4.8791666666666678E-2</v>
      </c>
      <c r="BT18" s="74">
        <f t="shared" si="8"/>
        <v>-1.0505555555555546E-2</v>
      </c>
      <c r="BU18" s="15" t="s">
        <v>22</v>
      </c>
      <c r="BV18" s="3"/>
      <c r="BW18" s="2"/>
      <c r="BX18" s="2"/>
    </row>
    <row r="19" spans="2:76" x14ac:dyDescent="0.3">
      <c r="B19" s="775"/>
      <c r="C19" s="326" t="s">
        <v>23</v>
      </c>
      <c r="D19" s="223">
        <v>449.4</v>
      </c>
      <c r="E19" s="63">
        <v>508.8</v>
      </c>
      <c r="F19" s="308">
        <v>497.4</v>
      </c>
      <c r="G19" s="283">
        <v>444.6</v>
      </c>
      <c r="H19" s="63">
        <v>481.9</v>
      </c>
      <c r="I19" s="63">
        <v>312.39999999999998</v>
      </c>
      <c r="J19" s="63">
        <v>375.3</v>
      </c>
      <c r="K19" s="63">
        <v>332.6</v>
      </c>
      <c r="L19" s="316">
        <v>173.1</v>
      </c>
      <c r="M19" s="316">
        <v>416</v>
      </c>
      <c r="N19" s="283">
        <v>337.2</v>
      </c>
      <c r="O19" s="283">
        <v>156.1</v>
      </c>
      <c r="P19" s="63">
        <v>241.5</v>
      </c>
      <c r="Q19" s="519">
        <v>326.8</v>
      </c>
      <c r="R19" s="63">
        <v>469.7</v>
      </c>
      <c r="S19" s="283">
        <v>266.8</v>
      </c>
      <c r="T19" s="63">
        <v>449.8</v>
      </c>
      <c r="U19" s="283">
        <v>413.2</v>
      </c>
      <c r="V19" s="283">
        <v>405.9</v>
      </c>
      <c r="W19" s="283">
        <v>447.8</v>
      </c>
      <c r="X19" s="283">
        <v>479.6</v>
      </c>
      <c r="Y19" s="283">
        <v>478.5</v>
      </c>
      <c r="Z19" s="221">
        <v>442.7</v>
      </c>
      <c r="AA19" s="18">
        <v>215.8</v>
      </c>
      <c r="AB19" s="628">
        <v>468.5</v>
      </c>
      <c r="AC19" s="221">
        <v>329.2</v>
      </c>
      <c r="AD19" s="221">
        <v>236.7</v>
      </c>
      <c r="AE19" s="15">
        <v>330.2</v>
      </c>
      <c r="AF19" s="15">
        <v>259.60000000000002</v>
      </c>
      <c r="AG19" s="15">
        <v>94</v>
      </c>
      <c r="AH19" s="506">
        <v>175.2</v>
      </c>
      <c r="AI19" s="335">
        <f t="shared" si="27"/>
        <v>11016.300000000005</v>
      </c>
      <c r="AJ19" s="118">
        <v>100</v>
      </c>
      <c r="AK19" s="122">
        <f t="shared" si="24"/>
        <v>1.1513888888888888E-2</v>
      </c>
      <c r="AL19" s="67">
        <f t="shared" si="31"/>
        <v>0.18725</v>
      </c>
      <c r="AM19" s="68">
        <f t="shared" si="31"/>
        <v>0.21199999999999999</v>
      </c>
      <c r="AN19" s="68">
        <f t="shared" si="31"/>
        <v>0.20724999999999999</v>
      </c>
      <c r="AO19" s="68">
        <f t="shared" si="31"/>
        <v>0.18525</v>
      </c>
      <c r="AP19" s="68">
        <f t="shared" si="31"/>
        <v>0.20079166666666665</v>
      </c>
      <c r="AQ19" s="68">
        <f t="shared" si="31"/>
        <v>0.13016666666666665</v>
      </c>
      <c r="AR19" s="68">
        <f t="shared" si="31"/>
        <v>0.15637500000000001</v>
      </c>
      <c r="AS19" s="68">
        <f>IF(OR(K19="",K19="Sem monitoramento"),"VAZIO",IFERROR(K19/($AJ19*24),"-"))</f>
        <v>0.13858333333333334</v>
      </c>
      <c r="AT19" s="68">
        <f>IF(OR(L18="",L18="Sem monitoramento"),"VAZIO",IFERROR(L18/($AJ19*24),"-"))</f>
        <v>7.4541666666666673E-2</v>
      </c>
      <c r="AU19" s="68">
        <f>IF(OR(M20="",M20="Sem monitoramento"),"VAZIO",IFERROR(M20/($AJ19*24),"-"))</f>
        <v>0.16387499999999999</v>
      </c>
      <c r="AV19" s="68" t="e">
        <f>IF(OR(#REF!="",#REF!="Sem monitoramento"),"VAZIO",IFERROR(#REF!/($AJ19*24),"-"))</f>
        <v>#REF!</v>
      </c>
      <c r="AW19" s="68">
        <f t="shared" ref="AW19:AX23" si="35">IF(OR(O19="",O19="Sem monitoramento"),"VAZIO",IFERROR(O19/($AJ19*24),"-"))</f>
        <v>6.5041666666666664E-2</v>
      </c>
      <c r="AX19" s="68">
        <f t="shared" si="35"/>
        <v>0.10062500000000001</v>
      </c>
      <c r="AY19" s="68">
        <f>IF(OR(Q20="",Q20="Sem monitoramento"),"VAZIO",IFERROR(Q20/($AJ19*24),"-"))</f>
        <v>0.10616666666666667</v>
      </c>
      <c r="AZ19" s="68" t="e">
        <f>IF(OR(#REF!="",#REF!="Sem monitoramento"),"VAZIO",IFERROR(#REF!/($AJ19*24),"-"))</f>
        <v>#REF!</v>
      </c>
      <c r="BA19" s="68">
        <f>IF(OR(S19="",S19="Sem monitoramento"),"VAZIO",IFERROR(S19/($AJ19*24),"-"))</f>
        <v>0.11116666666666668</v>
      </c>
      <c r="BB19" s="68">
        <f>IF(OR(T19="",T19="Sem monitoramento"),"VAZIO",IFERROR(T19/($AJ19*24),"-"))</f>
        <v>0.18741666666666668</v>
      </c>
      <c r="BC19" s="68">
        <f t="shared" si="29"/>
        <v>0.17216666666666666</v>
      </c>
      <c r="BD19" s="68">
        <f t="shared" si="29"/>
        <v>0.169125</v>
      </c>
      <c r="BE19" s="68">
        <f t="shared" si="29"/>
        <v>0.18658333333333335</v>
      </c>
      <c r="BF19" s="68">
        <f t="shared" si="22"/>
        <v>0.19983333333333334</v>
      </c>
      <c r="BG19" s="68">
        <f>IF(OR(Y19="",Y19="Sem monitoramento"),"VAZIO",IFERROR(Y19/($AJ19*24),"-"))</f>
        <v>0.199375</v>
      </c>
      <c r="BH19" s="68">
        <f t="shared" si="33"/>
        <v>0.18445833333333334</v>
      </c>
      <c r="BI19" s="68">
        <f t="shared" si="33"/>
        <v>8.9916666666666673E-2</v>
      </c>
      <c r="BJ19" s="68">
        <f>IF(OR(AB18="",AB18="Sem monitoramento"),"VAZIO",IFERROR(AB18/($AJ19*24),"-"))</f>
        <v>0.20129166666666667</v>
      </c>
      <c r="BK19" s="68">
        <f t="shared" si="34"/>
        <v>0.13716666666666666</v>
      </c>
      <c r="BL19" s="68">
        <f t="shared" si="34"/>
        <v>9.862499999999999E-2</v>
      </c>
      <c r="BM19" s="68">
        <f t="shared" si="34"/>
        <v>0.13758333333333334</v>
      </c>
      <c r="BN19" s="68">
        <f t="shared" si="34"/>
        <v>0.10816666666666667</v>
      </c>
      <c r="BO19" s="68">
        <f t="shared" si="34"/>
        <v>3.9166666666666669E-2</v>
      </c>
      <c r="BP19" s="70">
        <f t="shared" si="5"/>
        <v>0.15300416666666672</v>
      </c>
      <c r="BQ19" s="198">
        <f>$BQ$20</f>
        <v>0.168125</v>
      </c>
      <c r="BR19" s="90">
        <f t="shared" si="25"/>
        <v>16.8125</v>
      </c>
      <c r="BS19" s="73">
        <f t="shared" si="26"/>
        <v>3.9124999999999993E-2</v>
      </c>
      <c r="BT19" s="74">
        <f t="shared" si="8"/>
        <v>-1.5120833333333278E-2</v>
      </c>
      <c r="BU19" s="15" t="s">
        <v>23</v>
      </c>
      <c r="BV19" s="3"/>
      <c r="BW19" s="2"/>
      <c r="BX19" s="2"/>
    </row>
    <row r="20" spans="2:76" x14ac:dyDescent="0.3">
      <c r="B20" s="775"/>
      <c r="C20" s="326" t="s">
        <v>24</v>
      </c>
      <c r="D20" s="223">
        <v>393.2</v>
      </c>
      <c r="E20" s="63">
        <v>432.1</v>
      </c>
      <c r="F20" s="283">
        <v>374.5</v>
      </c>
      <c r="G20" s="283">
        <v>373.7</v>
      </c>
      <c r="H20" s="283">
        <v>417.3</v>
      </c>
      <c r="I20" s="63">
        <v>270.8</v>
      </c>
      <c r="J20" s="283">
        <v>316.89999999999998</v>
      </c>
      <c r="K20" s="63">
        <v>290.3</v>
      </c>
      <c r="L20" s="63">
        <v>256.39999999999998</v>
      </c>
      <c r="M20" s="283">
        <v>393.3</v>
      </c>
      <c r="N20" s="283">
        <v>271</v>
      </c>
      <c r="O20" s="283">
        <v>125</v>
      </c>
      <c r="P20" s="283">
        <v>201.6</v>
      </c>
      <c r="Q20" s="283">
        <v>254.8</v>
      </c>
      <c r="R20" s="63">
        <v>398.8</v>
      </c>
      <c r="S20" s="63">
        <v>241.5</v>
      </c>
      <c r="T20" s="63">
        <v>388.1</v>
      </c>
      <c r="U20" s="63">
        <v>341.1</v>
      </c>
      <c r="V20" s="355">
        <v>129.30000000000001</v>
      </c>
      <c r="W20" s="283">
        <v>361.6</v>
      </c>
      <c r="X20" s="316">
        <v>392.2</v>
      </c>
      <c r="Y20" s="283">
        <v>392.8</v>
      </c>
      <c r="Z20" s="63">
        <v>360.4</v>
      </c>
      <c r="AA20" s="18">
        <v>220.3</v>
      </c>
      <c r="AB20" s="323">
        <v>390.9</v>
      </c>
      <c r="AC20" s="15">
        <v>300.89999999999998</v>
      </c>
      <c r="AD20" s="283">
        <v>214.7</v>
      </c>
      <c r="AE20" s="221">
        <v>275.60000000000002</v>
      </c>
      <c r="AF20" s="15">
        <v>204.2</v>
      </c>
      <c r="AG20" s="15">
        <v>70.099999999999994</v>
      </c>
      <c r="AH20" s="506">
        <v>145.6</v>
      </c>
      <c r="AI20" s="335">
        <f t="shared" si="27"/>
        <v>9199.0000000000036</v>
      </c>
      <c r="AJ20" s="118">
        <v>80</v>
      </c>
      <c r="AK20" s="121">
        <f t="shared" si="24"/>
        <v>1.0836226851851852E-2</v>
      </c>
      <c r="AL20" s="67">
        <f t="shared" si="31"/>
        <v>0.20479166666666665</v>
      </c>
      <c r="AM20" s="68">
        <f t="shared" si="31"/>
        <v>0.22505208333333335</v>
      </c>
      <c r="AN20" s="68">
        <f t="shared" si="31"/>
        <v>0.19505208333333332</v>
      </c>
      <c r="AO20" s="68">
        <f t="shared" si="31"/>
        <v>0.19463541666666667</v>
      </c>
      <c r="AP20" s="68">
        <f t="shared" si="31"/>
        <v>0.21734375</v>
      </c>
      <c r="AQ20" s="68">
        <f t="shared" si="31"/>
        <v>0.14104166666666668</v>
      </c>
      <c r="AR20" s="68">
        <f t="shared" si="31"/>
        <v>0.16505208333333332</v>
      </c>
      <c r="AS20" s="68">
        <f>IF(OR(K20="",K20="Sem monitoramento"),"VAZIO",IFERROR(K20/($AJ20*24),"-"))</f>
        <v>0.15119791666666668</v>
      </c>
      <c r="AT20" s="68">
        <f>IF(OR(L22="",L22="Sem monitoramento"),"VAZIO",IFERROR(L22/($AJ20*24),"-"))</f>
        <v>0.13250000000000001</v>
      </c>
      <c r="AU20" s="68" t="e">
        <f>IF(OR(#REF!="",#REF!="Sem monitoramento"),"VAZIO",IFERROR(#REF!/($AJ20*24),"-"))</f>
        <v>#REF!</v>
      </c>
      <c r="AV20" s="68">
        <f>IF(OR(N20="",N20="Sem monitoramento"),"VAZIO",IFERROR(N20/($AJ20*24),"-"))</f>
        <v>0.14114583333333333</v>
      </c>
      <c r="AW20" s="68">
        <f t="shared" si="35"/>
        <v>6.5104166666666671E-2</v>
      </c>
      <c r="AX20" s="68">
        <f t="shared" si="35"/>
        <v>0.105</v>
      </c>
      <c r="AY20" s="68" t="e">
        <f>IF(OR(#REF!="",#REF!="Sem monitoramento"),"VAZIO",IFERROR(#REF!/($AJ20*24),"-"))</f>
        <v>#REF!</v>
      </c>
      <c r="AZ20" s="68">
        <f>IF(OR(R20="",R20="Sem monitoramento"),"VAZIO",IFERROR(R20/($AJ20*24),"-"))</f>
        <v>0.20770833333333333</v>
      </c>
      <c r="BA20" s="68">
        <f>IF(OR(S20="",S20="Sem monitoramento"),"VAZIO",IFERROR(S20/($AJ20*24),"-"))</f>
        <v>0.12578125000000001</v>
      </c>
      <c r="BB20" s="68">
        <f>IF(OR(T20="",T20="Sem monitoramento"),"VAZIO",IFERROR(T20/($AJ20*24),"-"))</f>
        <v>0.20213541666666668</v>
      </c>
      <c r="BC20" s="68">
        <f t="shared" ref="BC20:BC25" si="36">IF(OR(U20="",U20="Sem monitoramento"),"VAZIO",IFERROR(U20/($AJ20*24),"-"))</f>
        <v>0.17765625000000002</v>
      </c>
      <c r="BD20" s="68" t="e">
        <f>IF(OR(#REF!="",#REF!="Sem monitoramento"),"VAZIO",IFERROR(#REF!/($AJ20*24),"-"))</f>
        <v>#REF!</v>
      </c>
      <c r="BE20" s="68">
        <f>IF(OR(W20="",W20="Sem monitoramento"),"VAZIO",IFERROR(W20/($AJ20*24),"-"))</f>
        <v>0.18833333333333335</v>
      </c>
      <c r="BF20" s="68">
        <f>IF(OR(X22="",X22="Sem monitoramento"),"VAZIO",IFERROR(X22/($AJ20*24),"-"))</f>
        <v>0.20223958333333333</v>
      </c>
      <c r="BG20" s="68" t="e">
        <f>IF(OR(#REF!="",#REF!="Sem monitoramento"),"VAZIO",IFERROR(#REF!/($AJ20*24),"-"))</f>
        <v>#REF!</v>
      </c>
      <c r="BH20" s="68">
        <f t="shared" si="33"/>
        <v>0.18770833333333331</v>
      </c>
      <c r="BI20" s="68">
        <f t="shared" si="33"/>
        <v>0.11473958333333334</v>
      </c>
      <c r="BJ20" s="68">
        <f>IF(OR(AB20="",AB20="Sem monitoramento"),"VAZIO",IFERROR(AB20/($AJ20*24),"-"))</f>
        <v>0.20359374999999999</v>
      </c>
      <c r="BK20" s="68">
        <f t="shared" si="34"/>
        <v>0.15671874999999999</v>
      </c>
      <c r="BL20" s="68">
        <f t="shared" si="34"/>
        <v>0.11182291666666666</v>
      </c>
      <c r="BM20" s="68">
        <f t="shared" si="34"/>
        <v>0.14354166666666668</v>
      </c>
      <c r="BN20" s="68">
        <f t="shared" si="34"/>
        <v>0.10635416666666667</v>
      </c>
      <c r="BO20" s="68">
        <f t="shared" si="34"/>
        <v>3.6510416666666663E-2</v>
      </c>
      <c r="BP20" s="70">
        <f t="shared" si="5"/>
        <v>0.15970486111111118</v>
      </c>
      <c r="BQ20" s="180">
        <f>'FCs estimados em PVsyst'!Y17</f>
        <v>0.168125</v>
      </c>
      <c r="BR20" s="72">
        <f t="shared" si="25"/>
        <v>13.45</v>
      </c>
      <c r="BS20" s="73">
        <f t="shared" si="26"/>
        <v>2.6927083333333324E-2</v>
      </c>
      <c r="BT20" s="74">
        <f t="shared" si="8"/>
        <v>-8.4201388888888173E-3</v>
      </c>
      <c r="BU20" s="15" t="s">
        <v>24</v>
      </c>
      <c r="BV20" s="3"/>
      <c r="BW20" s="2"/>
      <c r="BX20" s="2"/>
    </row>
    <row r="21" spans="2:76" x14ac:dyDescent="0.3">
      <c r="B21" s="775"/>
      <c r="C21" s="326" t="s">
        <v>25</v>
      </c>
      <c r="D21" s="223">
        <v>485.6</v>
      </c>
      <c r="E21" s="63">
        <v>555</v>
      </c>
      <c r="F21" s="283">
        <v>485.2</v>
      </c>
      <c r="G21" s="63">
        <v>487.2</v>
      </c>
      <c r="H21" s="283">
        <v>525.79999999999995</v>
      </c>
      <c r="I21" s="63">
        <v>334.5</v>
      </c>
      <c r="J21" s="283">
        <v>385.6</v>
      </c>
      <c r="K21" s="316">
        <v>377.8</v>
      </c>
      <c r="L21" s="63">
        <v>314.60000000000002</v>
      </c>
      <c r="M21" s="63">
        <v>525.4</v>
      </c>
      <c r="N21" s="519">
        <v>353.9</v>
      </c>
      <c r="O21" s="283">
        <v>166.6</v>
      </c>
      <c r="P21" s="283">
        <v>257.2</v>
      </c>
      <c r="Q21" s="283">
        <v>351.7</v>
      </c>
      <c r="R21" s="316">
        <v>516</v>
      </c>
      <c r="S21" s="63">
        <v>317.10000000000002</v>
      </c>
      <c r="T21" s="283">
        <v>469.4</v>
      </c>
      <c r="U21" s="63">
        <v>429</v>
      </c>
      <c r="V21" s="561">
        <v>167.1</v>
      </c>
      <c r="W21" s="519">
        <v>469.2</v>
      </c>
      <c r="X21" s="283">
        <v>522.1</v>
      </c>
      <c r="Y21" s="283">
        <v>521.20000000000005</v>
      </c>
      <c r="Z21" s="316">
        <v>485.3</v>
      </c>
      <c r="AA21" s="18">
        <v>296.2</v>
      </c>
      <c r="AB21" s="323">
        <v>509.6</v>
      </c>
      <c r="AC21" s="283">
        <v>399.9</v>
      </c>
      <c r="AD21" s="283">
        <v>266.7</v>
      </c>
      <c r="AE21" s="283">
        <v>349.4</v>
      </c>
      <c r="AF21" s="283">
        <v>268.2</v>
      </c>
      <c r="AG21" s="283">
        <v>93.6</v>
      </c>
      <c r="AH21" s="731">
        <v>191.1</v>
      </c>
      <c r="AI21" s="335">
        <f t="shared" si="27"/>
        <v>11877.200000000003</v>
      </c>
      <c r="AJ21" s="118">
        <v>100</v>
      </c>
      <c r="AK21" s="121">
        <f t="shared" si="24"/>
        <v>1.1231481481481481E-2</v>
      </c>
      <c r="AL21" s="67">
        <f t="shared" si="31"/>
        <v>0.20233333333333334</v>
      </c>
      <c r="AM21" s="68">
        <f t="shared" si="31"/>
        <v>0.23125000000000001</v>
      </c>
      <c r="AN21" s="68">
        <f t="shared" si="31"/>
        <v>0.20216666666666666</v>
      </c>
      <c r="AO21" s="68">
        <f t="shared" si="31"/>
        <v>0.20299999999999999</v>
      </c>
      <c r="AP21" s="68">
        <f t="shared" si="31"/>
        <v>0.21908333333333332</v>
      </c>
      <c r="AQ21" s="68">
        <f t="shared" si="31"/>
        <v>0.139375</v>
      </c>
      <c r="AR21" s="68">
        <f t="shared" si="31"/>
        <v>0.16066666666666668</v>
      </c>
      <c r="AS21" s="68">
        <f>IF(OR(K18="",K18="Sem monitoramento"),"VAZIO",IFERROR(K18/($AJ21*24),"-"))</f>
        <v>0.14404166666666665</v>
      </c>
      <c r="AT21" s="68">
        <f>IF(OR(L21="",L21="Sem monitoramento"),"VAZIO",IFERROR(L21/($AJ21*24),"-"))</f>
        <v>0.13108333333333333</v>
      </c>
      <c r="AU21" s="68">
        <f>IF(OR(M21="",M21="Sem monitoramento"),"VAZIO",IFERROR(M21/($AJ21*24),"-"))</f>
        <v>0.21891666666666665</v>
      </c>
      <c r="AV21" s="68">
        <f>IF(OR(N22="",N22="Sem monitoramento"),"VAZIO",IFERROR(N22/($AJ21*24),"-"))</f>
        <v>0.11714583333333332</v>
      </c>
      <c r="AW21" s="68">
        <f t="shared" si="35"/>
        <v>6.9416666666666668E-2</v>
      </c>
      <c r="AX21" s="68">
        <f t="shared" si="35"/>
        <v>0.10716666666666666</v>
      </c>
      <c r="AY21" s="68">
        <f t="shared" ref="AY21:AY32" si="37">IF(OR(Q21="",Q21="Sem monitoramento"),"VAZIO",IFERROR(Q21/($AJ21*24),"-"))</f>
        <v>0.14654166666666665</v>
      </c>
      <c r="AZ21" s="68">
        <f>IF(OR(R19="",R19="Sem monitoramento"),"VAZIO",IFERROR(R19/($AJ21*24),"-"))</f>
        <v>0.19570833333333332</v>
      </c>
      <c r="BA21" s="68">
        <f>IF(OR(S22="",S22="Sem monitoramento"),"VAZIO",IFERROR(S22/($AJ21*24),"-"))</f>
        <v>0.10454166666666667</v>
      </c>
      <c r="BB21" s="68" t="e">
        <f>IF(OR(#REF!="",#REF!="Sem monitoramento"),"VAZIO",IFERROR(#REF!/($AJ21*24),"-"))</f>
        <v>#REF!</v>
      </c>
      <c r="BC21" s="68">
        <f t="shared" si="36"/>
        <v>0.17874999999999999</v>
      </c>
      <c r="BD21" s="68">
        <f>IF(OR(V20="",V20="Sem monitoramento"),"VAZIO",IFERROR(V20/($AJ21*24),"-"))</f>
        <v>5.3875000000000006E-2</v>
      </c>
      <c r="BE21" s="68">
        <f>IF(OR(W22="",W22="Sem monitoramento"),"VAZIO",IFERROR(W22/($AJ21*24),"-"))</f>
        <v>0.14879166666666668</v>
      </c>
      <c r="BF21" s="68">
        <f>IF(OR(X23="",X23="Sem monitoramento"),"VAZIO",IFERROR(X23/($AJ21*24),"-"))</f>
        <v>0.19920833333333335</v>
      </c>
      <c r="BG21" s="68">
        <f>IF(OR(Y19="",Y19="Sem monitoramento"),"VAZIO",IFERROR(Y19/($AJ21*24),"-"))</f>
        <v>0.199375</v>
      </c>
      <c r="BH21" s="68">
        <f t="shared" si="33"/>
        <v>0.20220833333333335</v>
      </c>
      <c r="BI21" s="68">
        <f t="shared" si="33"/>
        <v>0.12341666666666666</v>
      </c>
      <c r="BJ21" s="68">
        <f>IF(OR(AB21="",AB21="Sem monitoramento"),"VAZIO",IFERROR(AB21/($AJ21*24),"-"))</f>
        <v>0.21233333333333335</v>
      </c>
      <c r="BK21" s="68">
        <f t="shared" ref="BK21:BK32" si="38">IF(OR(AC21="",AC21="Sem monitoramento"),"VAZIO",IFERROR(AC21/($AJ21*24),"-"))</f>
        <v>0.166625</v>
      </c>
      <c r="BL21" s="68">
        <f>IF(OR(AD22="",AD22="Sem monitoramento"),"VAZIO",IFERROR(AD22/($AJ21*24),"-"))</f>
        <v>8.4249999999999992E-2</v>
      </c>
      <c r="BM21" s="68">
        <f t="shared" ref="BM21:BO22" si="39">IF(OR(AE21="",AE21="Sem monitoramento"),"VAZIO",IFERROR(AE21/($AJ21*24),"-"))</f>
        <v>0.14558333333333331</v>
      </c>
      <c r="BN21" s="68">
        <f t="shared" si="39"/>
        <v>0.11175</v>
      </c>
      <c r="BO21" s="68">
        <f t="shared" si="39"/>
        <v>3.9E-2</v>
      </c>
      <c r="BP21" s="70">
        <f t="shared" si="5"/>
        <v>0.16496111111111114</v>
      </c>
      <c r="BQ21" s="198">
        <f t="shared" ref="BQ21:BQ31" si="40">$BQ$20</f>
        <v>0.168125</v>
      </c>
      <c r="BR21" s="72">
        <f t="shared" si="25"/>
        <v>16.8125</v>
      </c>
      <c r="BS21" s="73">
        <f t="shared" si="26"/>
        <v>3.4041666666666665E-2</v>
      </c>
      <c r="BT21" s="74">
        <f t="shared" si="8"/>
        <v>-3.163888888888855E-3</v>
      </c>
      <c r="BU21" s="15" t="s">
        <v>25</v>
      </c>
      <c r="BV21" s="3"/>
      <c r="BW21" s="2"/>
      <c r="BX21" s="2"/>
    </row>
    <row r="22" spans="2:76" x14ac:dyDescent="0.3">
      <c r="B22" s="775"/>
      <c r="C22" s="326" t="s">
        <v>26</v>
      </c>
      <c r="D22" s="223">
        <v>403.5</v>
      </c>
      <c r="E22" s="283">
        <v>454.7</v>
      </c>
      <c r="F22" s="283">
        <v>392.8</v>
      </c>
      <c r="G22" s="283">
        <v>400.6</v>
      </c>
      <c r="H22" s="283">
        <v>439.9</v>
      </c>
      <c r="I22" s="63">
        <v>277.2</v>
      </c>
      <c r="J22" s="283">
        <v>319.89999999999998</v>
      </c>
      <c r="K22" s="63">
        <v>303.7</v>
      </c>
      <c r="L22" s="283">
        <v>254.4</v>
      </c>
      <c r="M22" s="316">
        <v>414</v>
      </c>
      <c r="N22" s="283">
        <v>281.14999999999998</v>
      </c>
      <c r="O22" s="283">
        <v>134.6</v>
      </c>
      <c r="P22" s="63">
        <v>214.2</v>
      </c>
      <c r="Q22" s="283">
        <v>278</v>
      </c>
      <c r="R22" s="63">
        <v>401.3</v>
      </c>
      <c r="S22" s="63">
        <v>250.9</v>
      </c>
      <c r="T22" s="316">
        <v>371.3</v>
      </c>
      <c r="U22" s="283">
        <v>336.3</v>
      </c>
      <c r="V22" s="355">
        <v>138.19999999999999</v>
      </c>
      <c r="W22" s="283">
        <v>357.1</v>
      </c>
      <c r="X22" s="283">
        <v>388.3</v>
      </c>
      <c r="Y22" s="283">
        <v>386.2</v>
      </c>
      <c r="Z22" s="63">
        <v>359</v>
      </c>
      <c r="AA22" s="320">
        <v>233.9</v>
      </c>
      <c r="AB22" s="323">
        <v>382.3</v>
      </c>
      <c r="AC22" s="221">
        <v>311.39999999999998</v>
      </c>
      <c r="AD22" s="283">
        <v>202.2</v>
      </c>
      <c r="AE22" s="221">
        <v>261.60000000000002</v>
      </c>
      <c r="AF22" s="221">
        <v>208.6</v>
      </c>
      <c r="AG22" s="221">
        <v>73.599999999999994</v>
      </c>
      <c r="AH22" s="729">
        <v>149.19999999999999</v>
      </c>
      <c r="AI22" s="335">
        <f t="shared" si="27"/>
        <v>9380.0500000000029</v>
      </c>
      <c r="AJ22" s="118">
        <v>100</v>
      </c>
      <c r="AK22" s="121">
        <f t="shared" si="24"/>
        <v>9.0925925925925931E-3</v>
      </c>
      <c r="AL22" s="67">
        <f t="shared" si="31"/>
        <v>0.168125</v>
      </c>
      <c r="AM22" s="68">
        <f t="shared" si="31"/>
        <v>0.18945833333333334</v>
      </c>
      <c r="AN22" s="68">
        <f t="shared" si="31"/>
        <v>0.16366666666666668</v>
      </c>
      <c r="AO22" s="68">
        <f t="shared" si="31"/>
        <v>0.16691666666666669</v>
      </c>
      <c r="AP22" s="68">
        <f t="shared" si="31"/>
        <v>0.18329166666666666</v>
      </c>
      <c r="AQ22" s="68">
        <f t="shared" si="31"/>
        <v>0.11549999999999999</v>
      </c>
      <c r="AR22" s="68">
        <f t="shared" si="31"/>
        <v>0.13329166666666667</v>
      </c>
      <c r="AS22" s="68">
        <f t="shared" ref="AS22:AS32" si="41">IF(OR(K22="",K22="Sem monitoramento"),"VAZIO",IFERROR(K22/($AJ22*24),"-"))</f>
        <v>0.12654166666666666</v>
      </c>
      <c r="AT22" s="68">
        <f t="shared" ref="AT22:AT32" si="42">IF(OR(L22="",L22="Sem monitoramento"),"VAZIO",IFERROR(L22/($AJ22*24),"-"))</f>
        <v>0.106</v>
      </c>
      <c r="AU22" s="68">
        <f>IF(OR(M20="",M20="Sem monitoramento"),"VAZIO",IFERROR(M20/($AJ22*24),"-"))</f>
        <v>0.16387499999999999</v>
      </c>
      <c r="AV22" s="68">
        <f>IF(OR(N23="",N23="Sem monitoramento"),"VAZIO",IFERROR(N23/($AJ22*24),"-"))</f>
        <v>7.5874999999999998E-2</v>
      </c>
      <c r="AW22" s="68">
        <f t="shared" si="35"/>
        <v>5.6083333333333332E-2</v>
      </c>
      <c r="AX22" s="68">
        <f t="shared" si="35"/>
        <v>8.9249999999999996E-2</v>
      </c>
      <c r="AY22" s="68">
        <f t="shared" si="37"/>
        <v>0.11583333333333333</v>
      </c>
      <c r="AZ22" s="68">
        <f t="shared" ref="AZ22:AZ32" si="43">IF(OR(R22="",R22="Sem monitoramento"),"VAZIO",IFERROR(R22/($AJ22*24),"-"))</f>
        <v>0.16720833333333335</v>
      </c>
      <c r="BA22" s="68">
        <f>IF(OR(S23="",S23="Sem monitoramento"),"VAZIO",IFERROR(S23/($AJ22*24),"-"))</f>
        <v>0.15608333333333335</v>
      </c>
      <c r="BB22" s="68">
        <f>IF(OR(T21="",T21="Sem monitoramento"),"VAZIO",IFERROR(T21/($AJ22*24),"-"))</f>
        <v>0.19558333333333333</v>
      </c>
      <c r="BC22" s="68">
        <f t="shared" si="36"/>
        <v>0.140125</v>
      </c>
      <c r="BD22" s="68">
        <f>IF(OR(V22="",V22="Sem monitoramento"),"VAZIO",IFERROR(V22/($AJ22*24),"-"))</f>
        <v>5.7583333333333327E-2</v>
      </c>
      <c r="BE22" s="68" t="e">
        <f>IF(OR(#REF!="",#REF!="Sem monitoramento"),"VAZIO",IFERROR(#REF!/($AJ22*24),"-"))</f>
        <v>#REF!</v>
      </c>
      <c r="BF22" s="68">
        <f>IF(OR(X24="",X24="Sem monitoramento"),"VAZIO",IFERROR(X24/($AJ22*24),"-"))</f>
        <v>0.16362499999999999</v>
      </c>
      <c r="BG22" s="68">
        <f>IF(OR(Y22="",Y22="Sem monitoramento"),"VAZIO",IFERROR(Y22/($AJ22*24),"-"))</f>
        <v>0.16091666666666665</v>
      </c>
      <c r="BH22" s="68">
        <f t="shared" si="33"/>
        <v>0.14958333333333335</v>
      </c>
      <c r="BI22" s="68">
        <f t="shared" si="33"/>
        <v>9.7458333333333341E-2</v>
      </c>
      <c r="BJ22" s="68">
        <f>IF(OR(AB21="",AB21="Sem monitoramento"),"VAZIO",IFERROR(AB21/($AJ22*24),"-"))</f>
        <v>0.21233333333333335</v>
      </c>
      <c r="BK22" s="68">
        <f t="shared" si="38"/>
        <v>0.12975</v>
      </c>
      <c r="BL22" s="68" t="e">
        <f>IF(OR(#REF!="",#REF!="Sem monitoramento"),"VAZIO",IFERROR(#REF!/($AJ22*24),"-"))</f>
        <v>#REF!</v>
      </c>
      <c r="BM22" s="68">
        <f t="shared" si="39"/>
        <v>0.10900000000000001</v>
      </c>
      <c r="BN22" s="68">
        <f t="shared" si="39"/>
        <v>8.691666666666667E-2</v>
      </c>
      <c r="BO22" s="68">
        <f t="shared" si="39"/>
        <v>3.0666666666666665E-2</v>
      </c>
      <c r="BP22" s="70">
        <f t="shared" si="5"/>
        <v>0.13027847222222227</v>
      </c>
      <c r="BQ22" s="198">
        <f t="shared" si="40"/>
        <v>0.168125</v>
      </c>
      <c r="BR22" s="72">
        <f t="shared" si="25"/>
        <v>16.8125</v>
      </c>
      <c r="BS22" s="73">
        <f t="shared" si="26"/>
        <v>-4.4583333333333142E-3</v>
      </c>
      <c r="BT22" s="74">
        <f t="shared" si="8"/>
        <v>-3.7846527777777722E-2</v>
      </c>
      <c r="BU22" s="15" t="s">
        <v>26</v>
      </c>
      <c r="BV22" s="3"/>
      <c r="BW22" s="2"/>
      <c r="BX22" s="2"/>
    </row>
    <row r="23" spans="2:76" x14ac:dyDescent="0.3">
      <c r="B23" s="775"/>
      <c r="C23" s="326" t="s">
        <v>28</v>
      </c>
      <c r="D23" s="223">
        <v>469.8</v>
      </c>
      <c r="E23" s="283">
        <v>486.8</v>
      </c>
      <c r="F23" s="283">
        <v>489.2</v>
      </c>
      <c r="G23" s="283">
        <v>473.8</v>
      </c>
      <c r="H23" s="283">
        <v>501.3</v>
      </c>
      <c r="I23" s="283">
        <v>219.9</v>
      </c>
      <c r="J23" s="283">
        <v>389.4</v>
      </c>
      <c r="K23" s="63">
        <v>329.2</v>
      </c>
      <c r="L23" s="63">
        <v>419.4</v>
      </c>
      <c r="M23" s="63">
        <v>459.9</v>
      </c>
      <c r="N23" s="63">
        <v>182.1</v>
      </c>
      <c r="O23" s="283">
        <v>184.3</v>
      </c>
      <c r="P23" s="283">
        <v>283.8</v>
      </c>
      <c r="Q23" s="283">
        <v>356.3</v>
      </c>
      <c r="R23" s="283">
        <v>489.6</v>
      </c>
      <c r="S23" s="283">
        <v>374.6</v>
      </c>
      <c r="T23" s="63">
        <v>449.7</v>
      </c>
      <c r="U23" s="63">
        <v>443.3</v>
      </c>
      <c r="V23" s="283">
        <v>416</v>
      </c>
      <c r="W23" s="283">
        <v>474.9</v>
      </c>
      <c r="X23" s="63">
        <v>478.1</v>
      </c>
      <c r="Y23" s="519">
        <v>483.2</v>
      </c>
      <c r="Z23" s="15">
        <v>334.5</v>
      </c>
      <c r="AA23" s="18">
        <v>175.6</v>
      </c>
      <c r="AB23" s="20">
        <v>409.3</v>
      </c>
      <c r="AC23" s="15">
        <v>394.2</v>
      </c>
      <c r="AD23" s="221">
        <v>201.5</v>
      </c>
      <c r="AE23" s="15">
        <v>336.2</v>
      </c>
      <c r="AF23" s="15">
        <v>241.6</v>
      </c>
      <c r="AG23" s="15">
        <v>161.80000000000001</v>
      </c>
      <c r="AH23" s="506">
        <v>293.8</v>
      </c>
      <c r="AI23" s="335">
        <f t="shared" si="27"/>
        <v>11403.100000000002</v>
      </c>
      <c r="AJ23" s="118">
        <v>100</v>
      </c>
      <c r="AK23" s="121">
        <f t="shared" si="24"/>
        <v>1.1324074074074073E-2</v>
      </c>
      <c r="AL23" s="67">
        <f t="shared" si="31"/>
        <v>0.19575000000000001</v>
      </c>
      <c r="AM23" s="68">
        <f t="shared" si="31"/>
        <v>0.20283333333333334</v>
      </c>
      <c r="AN23" s="68">
        <f t="shared" si="31"/>
        <v>0.20383333333333334</v>
      </c>
      <c r="AO23" s="68">
        <f t="shared" si="31"/>
        <v>0.19741666666666668</v>
      </c>
      <c r="AP23" s="68">
        <f t="shared" si="31"/>
        <v>0.20887500000000001</v>
      </c>
      <c r="AQ23" s="68">
        <f t="shared" si="31"/>
        <v>9.1624999999999998E-2</v>
      </c>
      <c r="AR23" s="68">
        <f t="shared" si="31"/>
        <v>0.16224999999999998</v>
      </c>
      <c r="AS23" s="68">
        <f t="shared" si="41"/>
        <v>0.13716666666666666</v>
      </c>
      <c r="AT23" s="68">
        <f t="shared" si="42"/>
        <v>0.17474999999999999</v>
      </c>
      <c r="AU23" s="68" t="e">
        <f>IF(OR(#REF!="",#REF!="Sem monitoramento"),"VAZIO",IFERROR(#REF!/($AJ23*24),"-"))</f>
        <v>#REF!</v>
      </c>
      <c r="AV23" s="68">
        <f>IF(OR(N23="",N23="Sem monitoramento"),"VAZIO",IFERROR(N23/($AJ23*24),"-"))</f>
        <v>7.5874999999999998E-2</v>
      </c>
      <c r="AW23" s="68">
        <f t="shared" si="35"/>
        <v>7.6791666666666675E-2</v>
      </c>
      <c r="AX23" s="68">
        <f t="shared" si="35"/>
        <v>0.11825000000000001</v>
      </c>
      <c r="AY23" s="68">
        <f t="shared" si="37"/>
        <v>0.14845833333333333</v>
      </c>
      <c r="AZ23" s="68">
        <f t="shared" si="43"/>
        <v>0.20400000000000001</v>
      </c>
      <c r="BA23" s="68">
        <f>IF(OR(S23="",S23="Sem monitoramento"),"VAZIO",IFERROR(S23/($AJ23*24),"-"))</f>
        <v>0.15608333333333335</v>
      </c>
      <c r="BB23" s="68">
        <f>IF(OR(T23="",T23="Sem monitoramento"),"VAZIO",IFERROR(T23/($AJ23*24),"-"))</f>
        <v>0.18737499999999999</v>
      </c>
      <c r="BC23" s="68">
        <f t="shared" si="36"/>
        <v>0.18470833333333334</v>
      </c>
      <c r="BD23" s="68">
        <f>IF(OR(V23="",V23="Sem monitoramento"),"VAZIO",IFERROR(V23/($AJ23*24),"-"))</f>
        <v>0.17333333333333334</v>
      </c>
      <c r="BE23" s="68">
        <f>IF(OR(W23="",W23="Sem monitoramento"),"VAZIO",IFERROR(W23/($AJ23*24),"-"))</f>
        <v>0.197875</v>
      </c>
      <c r="BF23" s="68">
        <f>IF(OR(X23="",X23="Sem monitoramento"),"VAZIO",IFERROR(X23/($AJ23*24),"-"))</f>
        <v>0.19920833333333335</v>
      </c>
      <c r="BG23" s="68">
        <f>IF(OR(Y20="",Y20="Sem monitoramento"),"VAZIO",IFERROR(Y20/($AJ23*24),"-"))</f>
        <v>0.16366666666666668</v>
      </c>
      <c r="BH23" s="68">
        <f t="shared" si="33"/>
        <v>0.139375</v>
      </c>
      <c r="BI23" s="68">
        <f t="shared" si="33"/>
        <v>7.3166666666666658E-2</v>
      </c>
      <c r="BJ23" s="68">
        <f>IF(OR(AB22="",AB22="Sem monitoramento"),"VAZIO",IFERROR(AB22/($AJ23*24),"-"))</f>
        <v>0.15929166666666666</v>
      </c>
      <c r="BK23" s="68">
        <f t="shared" si="38"/>
        <v>0.16425000000000001</v>
      </c>
      <c r="BL23" s="68">
        <f>IF(OR(AD23="",AD23="Sem monitoramento"),"VAZIO",IFERROR(AD23/($AJ23*24),"-"))</f>
        <v>8.3958333333333329E-2</v>
      </c>
      <c r="BM23" s="68">
        <f>IF(OR(AE23="",AE23="Sem monitoramento"),"VAZIO",IFERROR(AE23/($AJ23*24),"-"))</f>
        <v>0.14008333333333334</v>
      </c>
      <c r="BN23" s="68">
        <f>IF(OR(AF23="",AF23="Sem monitoramento"),"VAZIO",IFERROR(AF23/($AJ23*24),"-"))</f>
        <v>0.10066666666666667</v>
      </c>
      <c r="BO23" s="68">
        <f>IF(OR(AG24="",AG24="Sem monitoramento"),"VAZIO",IFERROR(AG24/($AJ23*24),"-"))</f>
        <v>6.0624999999999998E-2</v>
      </c>
      <c r="BP23" s="70">
        <f t="shared" si="5"/>
        <v>0.15837638888888891</v>
      </c>
      <c r="BQ23" s="198">
        <f t="shared" si="40"/>
        <v>0.168125</v>
      </c>
      <c r="BR23" s="72">
        <f t="shared" si="25"/>
        <v>16.8125</v>
      </c>
      <c r="BS23" s="73">
        <f t="shared" si="26"/>
        <v>3.5708333333333342E-2</v>
      </c>
      <c r="BT23" s="74">
        <f t="shared" si="8"/>
        <v>-9.7486111111110829E-3</v>
      </c>
      <c r="BU23" s="15" t="s">
        <v>27</v>
      </c>
      <c r="BV23" s="3"/>
      <c r="BW23" s="2"/>
      <c r="BX23" s="2"/>
    </row>
    <row r="24" spans="2:76" x14ac:dyDescent="0.3">
      <c r="B24" s="775"/>
      <c r="C24" s="326" t="s">
        <v>29</v>
      </c>
      <c r="D24" s="223">
        <v>411.9</v>
      </c>
      <c r="E24" s="63">
        <v>426.5</v>
      </c>
      <c r="F24" s="283">
        <v>417.5</v>
      </c>
      <c r="G24" s="63">
        <v>413.6</v>
      </c>
      <c r="H24" s="283">
        <v>434</v>
      </c>
      <c r="I24" s="63">
        <v>191.6</v>
      </c>
      <c r="J24" s="63">
        <v>343.5</v>
      </c>
      <c r="K24" s="63">
        <v>288.39999999999998</v>
      </c>
      <c r="L24" s="63">
        <v>360.2</v>
      </c>
      <c r="M24" s="316">
        <v>395.8</v>
      </c>
      <c r="N24" s="519">
        <v>157.5</v>
      </c>
      <c r="O24" s="519">
        <v>161.1</v>
      </c>
      <c r="P24" s="283">
        <v>243.5</v>
      </c>
      <c r="Q24" s="283">
        <v>308.89999999999998</v>
      </c>
      <c r="R24" s="63">
        <v>418.4</v>
      </c>
      <c r="S24" s="63">
        <v>324.89999999999998</v>
      </c>
      <c r="T24" s="316">
        <v>385.4</v>
      </c>
      <c r="U24" s="63">
        <v>379.2</v>
      </c>
      <c r="V24" s="283">
        <v>353.6</v>
      </c>
      <c r="W24" s="283">
        <v>401</v>
      </c>
      <c r="X24" s="63">
        <v>392.7</v>
      </c>
      <c r="Y24" s="63">
        <v>416.9</v>
      </c>
      <c r="Z24" s="15">
        <v>303</v>
      </c>
      <c r="AA24" s="18">
        <v>159</v>
      </c>
      <c r="AB24" s="20">
        <v>375.1</v>
      </c>
      <c r="AC24" s="15">
        <v>365.7</v>
      </c>
      <c r="AD24" s="519">
        <v>179.9</v>
      </c>
      <c r="AE24" s="15">
        <v>304.3</v>
      </c>
      <c r="AF24" s="15">
        <v>222.1</v>
      </c>
      <c r="AG24" s="15">
        <v>145.5</v>
      </c>
      <c r="AH24" s="506">
        <v>271.3</v>
      </c>
      <c r="AI24" s="335">
        <f t="shared" si="27"/>
        <v>9951.9999999999982</v>
      </c>
      <c r="AJ24" s="118">
        <v>100</v>
      </c>
      <c r="AK24" s="121">
        <f t="shared" si="24"/>
        <v>9.6643518518518511E-3</v>
      </c>
      <c r="AL24" s="67">
        <f t="shared" si="31"/>
        <v>0.171625</v>
      </c>
      <c r="AM24" s="68">
        <f t="shared" si="31"/>
        <v>0.17770833333333333</v>
      </c>
      <c r="AN24" s="68">
        <f t="shared" si="31"/>
        <v>0.17395833333333333</v>
      </c>
      <c r="AO24" s="68">
        <f t="shared" si="31"/>
        <v>0.17233333333333334</v>
      </c>
      <c r="AP24" s="68">
        <f t="shared" si="31"/>
        <v>0.18083333333333335</v>
      </c>
      <c r="AQ24" s="68">
        <f t="shared" si="31"/>
        <v>7.9833333333333326E-2</v>
      </c>
      <c r="AR24" s="68">
        <f t="shared" si="31"/>
        <v>0.143125</v>
      </c>
      <c r="AS24" s="68">
        <f t="shared" si="41"/>
        <v>0.12016666666666666</v>
      </c>
      <c r="AT24" s="68">
        <f t="shared" si="42"/>
        <v>0.15008333333333332</v>
      </c>
      <c r="AU24" s="68">
        <f>IF(OR(M23="",M23="Sem monitoramento"),"VAZIO",IFERROR(M23/($AJ24*24),"-"))</f>
        <v>0.19162499999999999</v>
      </c>
      <c r="AV24" s="68">
        <f>IF(OR(N25="",N25="Sem monitoramento"),"VAZIO",IFERROR(N25/($AJ24*24),"-"))</f>
        <v>0.26500000000000001</v>
      </c>
      <c r="AW24" s="68">
        <f>IF(OR(O21="",O21="Sem monitoramento"),"VAZIO",IFERROR(O21/($AJ24*24),"-"))</f>
        <v>6.9416666666666668E-2</v>
      </c>
      <c r="AX24" s="68">
        <f t="shared" ref="AX24:AX32" si="44">IF(OR(P24="",P24="Sem monitoramento"),"VAZIO",IFERROR(P24/($AJ24*24),"-"))</f>
        <v>0.10145833333333333</v>
      </c>
      <c r="AY24" s="68">
        <f t="shared" si="37"/>
        <v>0.12870833333333331</v>
      </c>
      <c r="AZ24" s="68">
        <f t="shared" si="43"/>
        <v>0.17433333333333331</v>
      </c>
      <c r="BA24" s="68">
        <f t="shared" ref="BA24:BA32" si="45">IF(OR(S24="",S24="Sem monitoramento"),"VAZIO",IFERROR(S24/($AJ24*24),"-"))</f>
        <v>0.135375</v>
      </c>
      <c r="BB24" s="68" t="e">
        <f>IF(OR(#REF!="",#REF!="Sem monitoramento"),"VAZIO",IFERROR(#REF!/($AJ24*24),"-"))</f>
        <v>#REF!</v>
      </c>
      <c r="BC24" s="68">
        <f t="shared" si="36"/>
        <v>0.158</v>
      </c>
      <c r="BD24" s="68">
        <f>IF(OR(V24="",V24="Sem monitoramento"),"VAZIO",IFERROR(V24/($AJ24*24),"-"))</f>
        <v>0.14733333333333334</v>
      </c>
      <c r="BE24" s="68" t="e">
        <f>IF(OR(#REF!="",#REF!="Sem monitoramento"),"VAZIO",IFERROR(#REF!/($AJ24*24),"-"))</f>
        <v>#REF!</v>
      </c>
      <c r="BF24" s="68">
        <f>IF(OR(X24="",X24="Sem monitoramento"),"VAZIO",IFERROR(X24/($AJ24*24),"-"))</f>
        <v>0.16362499999999999</v>
      </c>
      <c r="BG24" s="68">
        <f t="shared" ref="BG24:BG32" si="46">IF(OR(Y24="",Y24="Sem monitoramento"),"VAZIO",IFERROR(Y24/($AJ24*24),"-"))</f>
        <v>0.17370833333333333</v>
      </c>
      <c r="BH24" s="68">
        <f t="shared" si="33"/>
        <v>0.12625</v>
      </c>
      <c r="BI24" s="68">
        <f t="shared" si="33"/>
        <v>6.6250000000000003E-2</v>
      </c>
      <c r="BJ24" s="68">
        <f t="shared" ref="BJ24:BJ32" si="47">IF(OR(AB24="",AB24="Sem monitoramento"),"VAZIO",IFERROR(AB24/($AJ24*24),"-"))</f>
        <v>0.15629166666666669</v>
      </c>
      <c r="BK24" s="68">
        <f t="shared" si="38"/>
        <v>0.15237499999999998</v>
      </c>
      <c r="BL24" s="68">
        <f>IF(OR(AD25="",AD25="Sem monitoramento"),"VAZIO",IFERROR(AD25/($AJ24*24),"-"))</f>
        <v>0.28966666666666668</v>
      </c>
      <c r="BM24" s="68">
        <f t="shared" ref="BM24:BN28" si="48">IF(OR(AE24="",AE24="Sem monitoramento"),"VAZIO",IFERROR(AE24/($AJ24*24),"-"))</f>
        <v>0.12679166666666666</v>
      </c>
      <c r="BN24" s="68">
        <f t="shared" si="48"/>
        <v>9.2541666666666661E-2</v>
      </c>
      <c r="BO24" s="68" t="e">
        <f>IF(OR(#REF!="",#REF!="Sem monitoramento"),"VAZIO",IFERROR(#REF!/($AJ24*24),"-"))</f>
        <v>#REF!</v>
      </c>
      <c r="BP24" s="70">
        <f t="shared" si="5"/>
        <v>0.13822222222222219</v>
      </c>
      <c r="BQ24" s="198">
        <f t="shared" si="40"/>
        <v>0.168125</v>
      </c>
      <c r="BR24" s="72">
        <f t="shared" si="25"/>
        <v>16.8125</v>
      </c>
      <c r="BS24" s="73">
        <f t="shared" si="26"/>
        <v>5.8333333333333293E-3</v>
      </c>
      <c r="BT24" s="74">
        <f t="shared" si="8"/>
        <v>-2.9902777777777806E-2</v>
      </c>
      <c r="BU24" s="15" t="s">
        <v>28</v>
      </c>
      <c r="BV24" s="3"/>
      <c r="BW24" s="2"/>
      <c r="BX24" s="2"/>
    </row>
    <row r="25" spans="2:76" x14ac:dyDescent="0.3">
      <c r="B25" s="775"/>
      <c r="C25" s="326" t="s">
        <v>30</v>
      </c>
      <c r="D25" s="223">
        <v>1663</v>
      </c>
      <c r="E25" s="63">
        <v>1693</v>
      </c>
      <c r="F25" s="283">
        <f>630.2+435.3+625.9</f>
        <v>1691.4</v>
      </c>
      <c r="G25" s="63">
        <v>1684.5</v>
      </c>
      <c r="H25" s="283">
        <v>1770.3</v>
      </c>
      <c r="I25" s="63">
        <v>768.4</v>
      </c>
      <c r="J25" s="316">
        <v>1384.9</v>
      </c>
      <c r="K25" s="63">
        <v>1156.5999999999999</v>
      </c>
      <c r="L25" s="63">
        <v>1459</v>
      </c>
      <c r="M25" s="63">
        <f>612.6+405.8+595</f>
        <v>1613.4</v>
      </c>
      <c r="N25" s="63">
        <v>636</v>
      </c>
      <c r="O25" s="283">
        <v>644.4</v>
      </c>
      <c r="P25" s="283">
        <v>974.7</v>
      </c>
      <c r="Q25" s="283">
        <v>1244.2</v>
      </c>
      <c r="R25" s="63">
        <v>1694.1</v>
      </c>
      <c r="S25" s="63">
        <v>1399</v>
      </c>
      <c r="T25" s="63">
        <f>588.2+393.9+575.6</f>
        <v>1557.7</v>
      </c>
      <c r="U25" s="63">
        <v>1530.9</v>
      </c>
      <c r="V25" s="283">
        <v>1434</v>
      </c>
      <c r="W25" s="316">
        <v>1628.6</v>
      </c>
      <c r="X25" s="316">
        <v>1639</v>
      </c>
      <c r="Y25" s="63">
        <v>1689</v>
      </c>
      <c r="Z25" s="15">
        <v>1173.7</v>
      </c>
      <c r="AA25" s="18">
        <v>615.9</v>
      </c>
      <c r="AB25" s="323">
        <v>1444.2</v>
      </c>
      <c r="AC25" s="221">
        <v>1406.9</v>
      </c>
      <c r="AD25" s="15">
        <v>695.2</v>
      </c>
      <c r="AE25" s="15">
        <v>1170.4000000000001</v>
      </c>
      <c r="AF25" s="15">
        <v>850.7</v>
      </c>
      <c r="AG25" s="15">
        <v>567</v>
      </c>
      <c r="AH25" s="506">
        <v>1049</v>
      </c>
      <c r="AI25" s="335">
        <f t="shared" si="27"/>
        <v>39929.1</v>
      </c>
      <c r="AJ25" s="118">
        <v>383</v>
      </c>
      <c r="AK25" s="121">
        <f t="shared" si="24"/>
        <v>1.0222657383231797E-2</v>
      </c>
      <c r="AL25" s="67">
        <f t="shared" ref="AL25:AQ26" si="49">IF(OR(D25="",D25="Sem monitoramento"),"VAZIO",IFERROR(D25/($AJ25*24),"-"))</f>
        <v>0.18091818973020019</v>
      </c>
      <c r="AM25" s="68">
        <f t="shared" si="49"/>
        <v>0.18418189730200174</v>
      </c>
      <c r="AN25" s="68">
        <f t="shared" si="49"/>
        <v>0.18400783289817232</v>
      </c>
      <c r="AO25" s="68">
        <f t="shared" si="49"/>
        <v>0.18325718015665796</v>
      </c>
      <c r="AP25" s="68">
        <f t="shared" si="49"/>
        <v>0.19259138381201044</v>
      </c>
      <c r="AQ25" s="68">
        <f t="shared" si="49"/>
        <v>8.3594429939077453E-2</v>
      </c>
      <c r="AR25" s="68">
        <f>IF(OR(J30="",J30="Sem monitoramento"),"VAZIO",IFERROR(J30/($AJ25*24),"-"))</f>
        <v>2.6381636205395995E-2</v>
      </c>
      <c r="AS25" s="68">
        <f t="shared" si="41"/>
        <v>0.12582680591818973</v>
      </c>
      <c r="AT25" s="68">
        <f t="shared" si="42"/>
        <v>0.15872497824194953</v>
      </c>
      <c r="AU25" s="68">
        <f t="shared" ref="AU25:AU32" si="50">IF(OR(M25="",M25="Sem monitoramento"),"VAZIO",IFERROR(M25/($AJ25*24),"-"))</f>
        <v>0.17552219321148826</v>
      </c>
      <c r="AV25" s="68" t="e">
        <f>IF(OR(#REF!="",#REF!="Sem monitoramento"),"VAZIO",IFERROR(#REF!/($AJ25*24),"-"))</f>
        <v>#REF!</v>
      </c>
      <c r="AW25" s="68">
        <f t="shared" ref="AW25:AW32" si="51">IF(OR(O25="",O25="Sem monitoramento"),"VAZIO",IFERROR(O25/($AJ25*24),"-"))</f>
        <v>7.0104438642297651E-2</v>
      </c>
      <c r="AX25" s="68">
        <f t="shared" si="44"/>
        <v>0.1060378590078329</v>
      </c>
      <c r="AY25" s="68">
        <f t="shared" si="37"/>
        <v>0.13535683202785032</v>
      </c>
      <c r="AZ25" s="68">
        <f t="shared" si="43"/>
        <v>0.18430156657963445</v>
      </c>
      <c r="BA25" s="68">
        <f t="shared" si="45"/>
        <v>0.15219756309834639</v>
      </c>
      <c r="BB25" s="68">
        <f>IF(OR(T25="",T25="Sem monitoramento"),"VAZIO",IFERROR(T25/($AJ25*24),"-"))</f>
        <v>0.16946257615317667</v>
      </c>
      <c r="BC25" s="68">
        <f t="shared" si="36"/>
        <v>0.16654699738903395</v>
      </c>
      <c r="BD25" s="68" t="e">
        <f>IF(OR(#REF!="",#REF!="Sem monitoramento"),"VAZIO",IFERROR(#REF!/($AJ25*24),"-"))</f>
        <v>#REF!</v>
      </c>
      <c r="BE25" s="68" t="e">
        <f>IF(OR(#REF!="",#REF!="Sem monitoramento"),"VAZIO",IFERROR(#REF!/($AJ25*24),"-"))</f>
        <v>#REF!</v>
      </c>
      <c r="BF25" s="68" t="e">
        <f>IF(OR(#REF!="",#REF!="Sem monitoramento"),"VAZIO",IFERROR(#REF!/($AJ25*24),"-"))</f>
        <v>#REF!</v>
      </c>
      <c r="BG25" s="68">
        <f t="shared" si="46"/>
        <v>0.18374673629242819</v>
      </c>
      <c r="BH25" s="68">
        <f t="shared" si="33"/>
        <v>0.12768711923411663</v>
      </c>
      <c r="BI25" s="68">
        <f t="shared" si="33"/>
        <v>6.7003916449086154E-2</v>
      </c>
      <c r="BJ25" s="68">
        <f t="shared" si="47"/>
        <v>0.15711488250652741</v>
      </c>
      <c r="BK25" s="68">
        <f t="shared" si="38"/>
        <v>0.15305700609225414</v>
      </c>
      <c r="BL25" s="68" t="e">
        <f>IF(OR(#REF!="",#REF!="Sem monitoramento"),"VAZIO",IFERROR(#REF!/($AJ25*24),"-"))</f>
        <v>#REF!</v>
      </c>
      <c r="BM25" s="68">
        <f t="shared" si="48"/>
        <v>0.12732811140121847</v>
      </c>
      <c r="BN25" s="68">
        <f t="shared" si="48"/>
        <v>9.2547867711053097E-2</v>
      </c>
      <c r="BO25" s="68">
        <f>IF(OR(AG25="",AG25="Sem monitoramento"),"VAZIO",IFERROR(AG25/($AJ25*24),"-"))</f>
        <v>6.1684073107049611E-2</v>
      </c>
      <c r="BP25" s="70">
        <f t="shared" si="5"/>
        <v>0.14479656222802437</v>
      </c>
      <c r="BQ25" s="198">
        <f t="shared" si="40"/>
        <v>0.168125</v>
      </c>
      <c r="BR25" s="72">
        <f>AJ25*BQ25</f>
        <v>64.391874999999999</v>
      </c>
      <c r="BS25" s="73">
        <f t="shared" si="26"/>
        <v>1.5882832898172328E-2</v>
      </c>
      <c r="BT25" s="74">
        <f t="shared" si="8"/>
        <v>-2.332843777197563E-2</v>
      </c>
      <c r="BU25" s="15" t="s">
        <v>29</v>
      </c>
      <c r="BV25" s="3"/>
      <c r="BW25" s="2"/>
      <c r="BX25" s="2"/>
    </row>
    <row r="26" spans="2:76" x14ac:dyDescent="0.3">
      <c r="B26" s="775"/>
      <c r="C26" s="326" t="s">
        <v>111</v>
      </c>
      <c r="D26" s="223">
        <v>468.3</v>
      </c>
      <c r="E26" s="63">
        <v>488.6</v>
      </c>
      <c r="F26" s="63">
        <v>565.6</v>
      </c>
      <c r="G26" s="63">
        <v>450.8</v>
      </c>
      <c r="H26" s="63">
        <v>540.70000000000005</v>
      </c>
      <c r="I26" s="63">
        <v>409.7</v>
      </c>
      <c r="J26" s="63">
        <v>525.4</v>
      </c>
      <c r="K26" s="63">
        <v>488.2</v>
      </c>
      <c r="L26" s="63">
        <v>548.20000000000005</v>
      </c>
      <c r="M26" s="63">
        <v>483.1</v>
      </c>
      <c r="N26" s="63">
        <v>84.4</v>
      </c>
      <c r="O26" s="63">
        <v>145.6</v>
      </c>
      <c r="P26" s="63">
        <v>207.7</v>
      </c>
      <c r="Q26" s="283">
        <v>424.8</v>
      </c>
      <c r="R26" s="63">
        <v>376.3</v>
      </c>
      <c r="S26" s="63">
        <v>405.5</v>
      </c>
      <c r="T26" s="316">
        <v>544.4</v>
      </c>
      <c r="U26" s="316">
        <v>555</v>
      </c>
      <c r="V26" s="283">
        <v>273.8</v>
      </c>
      <c r="W26" s="283">
        <v>561.20000000000005</v>
      </c>
      <c r="X26" s="63">
        <v>512.20000000000005</v>
      </c>
      <c r="Y26" s="63">
        <v>527.1</v>
      </c>
      <c r="Z26" s="148">
        <v>203.2</v>
      </c>
      <c r="AA26" s="18">
        <v>139.19999999999999</v>
      </c>
      <c r="AB26" s="20">
        <v>552.79999999999995</v>
      </c>
      <c r="AC26" s="15">
        <v>493.7</v>
      </c>
      <c r="AD26" s="15">
        <v>487.8</v>
      </c>
      <c r="AE26" s="15">
        <v>394.8</v>
      </c>
      <c r="AF26" s="15">
        <v>487.8</v>
      </c>
      <c r="AG26" s="15">
        <v>394.8</v>
      </c>
      <c r="AH26" s="506">
        <v>487.8</v>
      </c>
      <c r="AI26" s="335">
        <f t="shared" si="27"/>
        <v>13228.5</v>
      </c>
      <c r="AJ26" s="118">
        <v>100</v>
      </c>
      <c r="AK26" s="121">
        <f t="shared" si="24"/>
        <v>1.3092592592592593E-2</v>
      </c>
      <c r="AL26" s="67">
        <f t="shared" si="49"/>
        <v>0.19512499999999999</v>
      </c>
      <c r="AM26" s="68">
        <f t="shared" si="49"/>
        <v>0.20358333333333334</v>
      </c>
      <c r="AN26" s="68">
        <f t="shared" si="49"/>
        <v>0.23566666666666666</v>
      </c>
      <c r="AO26" s="68">
        <f t="shared" si="49"/>
        <v>0.18783333333333332</v>
      </c>
      <c r="AP26" s="68">
        <f t="shared" si="49"/>
        <v>0.2252916666666667</v>
      </c>
      <c r="AQ26" s="68">
        <f t="shared" si="49"/>
        <v>0.17070833333333332</v>
      </c>
      <c r="AR26" s="68">
        <f>IF(OR(J26="",J26="Sem monitoramento"),"VAZIO",IFERROR(J26/($AJ26*24),"-"))</f>
        <v>0.21891666666666665</v>
      </c>
      <c r="AS26" s="68">
        <f t="shared" si="41"/>
        <v>0.20341666666666666</v>
      </c>
      <c r="AT26" s="68">
        <f t="shared" si="42"/>
        <v>0.22841666666666668</v>
      </c>
      <c r="AU26" s="68">
        <f t="shared" si="50"/>
        <v>0.20129166666666667</v>
      </c>
      <c r="AV26" s="68" t="e">
        <f>IF(OR(#REF!="",#REF!="Sem monitoramento"),"VAZIO",IFERROR(#REF!/($AJ26*24),"-"))</f>
        <v>#REF!</v>
      </c>
      <c r="AW26" s="68">
        <f t="shared" si="51"/>
        <v>6.0666666666666667E-2</v>
      </c>
      <c r="AX26" s="68">
        <f t="shared" si="44"/>
        <v>8.6541666666666656E-2</v>
      </c>
      <c r="AY26" s="68">
        <f t="shared" si="37"/>
        <v>0.17700000000000002</v>
      </c>
      <c r="AZ26" s="68">
        <f t="shared" si="43"/>
        <v>0.15679166666666666</v>
      </c>
      <c r="BA26" s="68">
        <f t="shared" si="45"/>
        <v>0.16895833333333332</v>
      </c>
      <c r="BB26" s="68">
        <f>IF(OR(T27="",T27="Sem monitoramento"),"VAZIO",IFERROR(T27/($AJ26*24),"-"))</f>
        <v>0.15287499999999998</v>
      </c>
      <c r="BC26" s="68">
        <f>IF(OR(U27="",U27="Sem monitoramento"),"VAZIO",IFERROR(U27/($AJ26*24),"-"))</f>
        <v>0.18145833333333333</v>
      </c>
      <c r="BD26" s="68">
        <f t="shared" ref="BD26:BD32" si="52">IF(OR(V26="",V26="Sem monitoramento"),"VAZIO",IFERROR(V26/($AJ26*24),"-"))</f>
        <v>0.11408333333333334</v>
      </c>
      <c r="BE26" s="68" t="e">
        <f>IF(OR(#REF!="",#REF!="Sem monitoramento"),"VAZIO",IFERROR(#REF!/($AJ26*24),"-"))</f>
        <v>#REF!</v>
      </c>
      <c r="BF26" s="68">
        <f>IF(OR(X26="",X26="Sem monitoramento"),"VAZIO",IFERROR(X26/($AJ26*24),"-"))</f>
        <v>0.2134166666666667</v>
      </c>
      <c r="BG26" s="68">
        <f t="shared" si="46"/>
        <v>0.21962500000000001</v>
      </c>
      <c r="BH26" s="68">
        <f>IF(OR(Z27="",Z27="Sem monitoramento"),"VAZIO",IFERROR(Z27/($AJ26*24),"-"))</f>
        <v>0.11658333333333334</v>
      </c>
      <c r="BI26" s="68">
        <f>IF(OR(AA26="",AA26="Sem monitoramento"),"VAZIO",IFERROR(AA26/($AJ26*24),"-"))</f>
        <v>5.7999999999999996E-2</v>
      </c>
      <c r="BJ26" s="68">
        <f t="shared" si="47"/>
        <v>0.23033333333333331</v>
      </c>
      <c r="BK26" s="68">
        <f t="shared" si="38"/>
        <v>0.20570833333333333</v>
      </c>
      <c r="BL26" s="68">
        <f t="shared" ref="BL26:BL32" si="53">IF(OR(AD26="",AD26="Sem monitoramento"),"VAZIO",IFERROR(AD26/($AJ26*24),"-"))</f>
        <v>0.20325000000000001</v>
      </c>
      <c r="BM26" s="68">
        <f t="shared" si="48"/>
        <v>0.16450000000000001</v>
      </c>
      <c r="BN26" s="68">
        <f t="shared" si="48"/>
        <v>0.20325000000000001</v>
      </c>
      <c r="BO26" s="68">
        <f>IF(OR(AG26="",AG26="Sem monitoramento"),"VAZIO",IFERROR(AG26/($AJ26*24),"-"))</f>
        <v>0.16450000000000001</v>
      </c>
      <c r="BP26" s="70">
        <f t="shared" si="5"/>
        <v>0.18372916666666667</v>
      </c>
      <c r="BQ26" s="198">
        <f t="shared" si="40"/>
        <v>0.168125</v>
      </c>
      <c r="BR26" s="72">
        <f t="shared" si="25"/>
        <v>16.8125</v>
      </c>
      <c r="BS26" s="73">
        <f t="shared" si="26"/>
        <v>6.7541666666666667E-2</v>
      </c>
      <c r="BT26" s="74">
        <f t="shared" si="8"/>
        <v>1.5604166666666669E-2</v>
      </c>
      <c r="BU26" s="15" t="s">
        <v>30</v>
      </c>
      <c r="BV26" s="3"/>
      <c r="BW26" s="2"/>
      <c r="BX26" s="2"/>
    </row>
    <row r="27" spans="2:76" x14ac:dyDescent="0.3">
      <c r="B27" s="775"/>
      <c r="C27" s="326" t="s">
        <v>32</v>
      </c>
      <c r="D27" s="62">
        <v>390.7</v>
      </c>
      <c r="E27" s="355">
        <v>440.1</v>
      </c>
      <c r="F27" s="63">
        <v>461.1</v>
      </c>
      <c r="G27" s="63">
        <v>414.5</v>
      </c>
      <c r="H27" s="63">
        <v>453.1</v>
      </c>
      <c r="I27" s="283">
        <v>245.8</v>
      </c>
      <c r="J27" s="63">
        <v>408.7</v>
      </c>
      <c r="K27" s="63">
        <v>317.10000000000002</v>
      </c>
      <c r="L27" s="63">
        <v>394.8</v>
      </c>
      <c r="M27" s="283">
        <v>424.7</v>
      </c>
      <c r="N27" s="519">
        <v>147.1</v>
      </c>
      <c r="O27" s="63">
        <v>181.1</v>
      </c>
      <c r="P27" s="63">
        <v>263.60000000000002</v>
      </c>
      <c r="Q27" s="283">
        <v>313.7</v>
      </c>
      <c r="R27" s="283">
        <v>436.6</v>
      </c>
      <c r="S27" s="63">
        <v>335.8</v>
      </c>
      <c r="T27" s="63">
        <v>366.9</v>
      </c>
      <c r="U27" s="63">
        <v>435.5</v>
      </c>
      <c r="V27" s="283">
        <v>447.2</v>
      </c>
      <c r="W27" s="283">
        <v>482.8</v>
      </c>
      <c r="X27" s="63">
        <v>476.5</v>
      </c>
      <c r="Y27" s="63">
        <v>475.1</v>
      </c>
      <c r="Z27" s="221">
        <v>279.8</v>
      </c>
      <c r="AA27" s="320">
        <v>149.19999999999999</v>
      </c>
      <c r="AB27" s="323">
        <v>452.4</v>
      </c>
      <c r="AC27" s="15">
        <v>320.2</v>
      </c>
      <c r="AD27" s="221">
        <v>180.8</v>
      </c>
      <c r="AE27" s="15">
        <v>364.5</v>
      </c>
      <c r="AF27" s="283">
        <v>195</v>
      </c>
      <c r="AG27" s="283">
        <v>139</v>
      </c>
      <c r="AH27" s="731">
        <v>330.1</v>
      </c>
      <c r="AI27" s="335">
        <f t="shared" si="27"/>
        <v>10723.5</v>
      </c>
      <c r="AJ27" s="118">
        <v>100</v>
      </c>
      <c r="AK27" s="121">
        <f t="shared" si="24"/>
        <v>1.0673611111111111E-2</v>
      </c>
      <c r="AL27" s="67">
        <f t="shared" ref="AL27:AO28" si="54">IF(OR(D27="",D27="Sem monitoramento"),"VAZIO",IFERROR(D27/($AJ27*24),"-"))</f>
        <v>0.16279166666666667</v>
      </c>
      <c r="AM27" s="68">
        <f t="shared" si="54"/>
        <v>0.18337500000000001</v>
      </c>
      <c r="AN27" s="68">
        <f t="shared" si="54"/>
        <v>0.19212500000000002</v>
      </c>
      <c r="AO27" s="68">
        <f t="shared" si="54"/>
        <v>0.17270833333333332</v>
      </c>
      <c r="AP27" s="68" t="e">
        <f>IF(OR(#REF!="",#REF!="Sem monitoramento"),"VAZIO",IFERROR(#REF!/($AJ27*24),"-"))</f>
        <v>#REF!</v>
      </c>
      <c r="AQ27" s="68">
        <f t="shared" ref="AQ27:AQ32" si="55">IF(OR(I27="",I27="Sem monitoramento"),"VAZIO",IFERROR(I27/($AJ27*24),"-"))</f>
        <v>0.10241666666666667</v>
      </c>
      <c r="AR27" s="68">
        <f>IF(OR(J27="",J27="Sem monitoramento"),"VAZIO",IFERROR(J27/($AJ27*24),"-"))</f>
        <v>0.17029166666666667</v>
      </c>
      <c r="AS27" s="68">
        <f t="shared" si="41"/>
        <v>0.13212500000000002</v>
      </c>
      <c r="AT27" s="68">
        <f t="shared" si="42"/>
        <v>0.16450000000000001</v>
      </c>
      <c r="AU27" s="68">
        <f t="shared" si="50"/>
        <v>0.17695833333333333</v>
      </c>
      <c r="AV27" s="68">
        <f>IF(OR(N26="",N26="Sem monitoramento"),"VAZIO",IFERROR(N26/($AJ27*24),"-"))</f>
        <v>3.5166666666666672E-2</v>
      </c>
      <c r="AW27" s="68">
        <f t="shared" si="51"/>
        <v>7.5458333333333336E-2</v>
      </c>
      <c r="AX27" s="68">
        <f t="shared" si="44"/>
        <v>0.10983333333333334</v>
      </c>
      <c r="AY27" s="68">
        <f t="shared" si="37"/>
        <v>0.13070833333333332</v>
      </c>
      <c r="AZ27" s="68">
        <f t="shared" si="43"/>
        <v>0.18191666666666667</v>
      </c>
      <c r="BA27" s="68">
        <f t="shared" si="45"/>
        <v>0.13991666666666666</v>
      </c>
      <c r="BB27" s="68" t="e">
        <f>IF(OR(#REF!="",#REF!="Sem monitoramento"),"VAZIO",IFERROR(#REF!/($AJ27*24),"-"))</f>
        <v>#REF!</v>
      </c>
      <c r="BC27" s="68" t="e">
        <f>IF(OR(#REF!="",#REF!="Sem monitoramento"),"VAZIO",IFERROR(#REF!/($AJ27*24),"-"))</f>
        <v>#REF!</v>
      </c>
      <c r="BD27" s="68">
        <f t="shared" si="52"/>
        <v>0.18633333333333332</v>
      </c>
      <c r="BE27" s="68">
        <f>IF(OR(W26="",W26="Sem monitoramento"),"VAZIO",IFERROR(W26/($AJ27*24),"-"))</f>
        <v>0.23383333333333337</v>
      </c>
      <c r="BF27" s="68">
        <f>IF(OR(X27="",X27="Sem monitoramento"),"VAZIO",IFERROR(X27/($AJ27*24),"-"))</f>
        <v>0.19854166666666667</v>
      </c>
      <c r="BG27" s="68">
        <f t="shared" si="46"/>
        <v>0.19795833333333335</v>
      </c>
      <c r="BH27" s="68" t="e">
        <f>IF(OR(#REF!="",#REF!="Sem monitoramento"),"VAZIO",IFERROR(#REF!/($AJ27*24),"-"))</f>
        <v>#REF!</v>
      </c>
      <c r="BI27" s="68">
        <f>IF(OR(AA27="",AA27="Sem monitoramento"),"VAZIO",IFERROR(AA27/($AJ27*24),"-"))</f>
        <v>6.2166666666666662E-2</v>
      </c>
      <c r="BJ27" s="68">
        <f t="shared" si="47"/>
        <v>0.1885</v>
      </c>
      <c r="BK27" s="68">
        <f t="shared" si="38"/>
        <v>0.13341666666666666</v>
      </c>
      <c r="BL27" s="68">
        <f t="shared" si="53"/>
        <v>7.5333333333333335E-2</v>
      </c>
      <c r="BM27" s="68">
        <f t="shared" si="48"/>
        <v>0.15187500000000001</v>
      </c>
      <c r="BN27" s="68">
        <f t="shared" si="48"/>
        <v>8.1250000000000003E-2</v>
      </c>
      <c r="BO27" s="68">
        <f>IF(OR(AG27="",AG27="Sem monitoramento"),"VAZIO",IFERROR(AG27/($AJ27*24),"-"))</f>
        <v>5.7916666666666665E-2</v>
      </c>
      <c r="BP27" s="70">
        <f t="shared" si="5"/>
        <v>0.1489375</v>
      </c>
      <c r="BQ27" s="198">
        <f t="shared" si="40"/>
        <v>0.168125</v>
      </c>
      <c r="BR27" s="72">
        <f t="shared" si="25"/>
        <v>16.8125</v>
      </c>
      <c r="BS27" s="73">
        <f t="shared" si="26"/>
        <v>2.4000000000000021E-2</v>
      </c>
      <c r="BT27" s="74">
        <f t="shared" si="8"/>
        <v>-1.9187499999999996E-2</v>
      </c>
      <c r="BU27" s="15" t="s">
        <v>111</v>
      </c>
      <c r="BV27" s="3"/>
      <c r="BW27" s="2"/>
      <c r="BX27" s="2"/>
    </row>
    <row r="28" spans="2:76" x14ac:dyDescent="0.3">
      <c r="B28" s="775"/>
      <c r="C28" s="326" t="s">
        <v>288</v>
      </c>
      <c r="D28" s="223">
        <v>390</v>
      </c>
      <c r="E28" s="63">
        <v>326</v>
      </c>
      <c r="F28" s="63">
        <v>386.5</v>
      </c>
      <c r="G28" s="308">
        <v>367.6</v>
      </c>
      <c r="H28" s="283">
        <v>391.9</v>
      </c>
      <c r="I28" s="592">
        <v>237.6</v>
      </c>
      <c r="J28" s="283">
        <v>355.6</v>
      </c>
      <c r="K28" s="283">
        <v>360.2</v>
      </c>
      <c r="L28" s="283">
        <v>320.5</v>
      </c>
      <c r="M28" s="283">
        <v>333</v>
      </c>
      <c r="N28" s="283">
        <v>47.6</v>
      </c>
      <c r="O28" s="283">
        <v>146.69999999999999</v>
      </c>
      <c r="P28" s="63">
        <v>325.39999999999998</v>
      </c>
      <c r="Q28" s="283">
        <v>234.6</v>
      </c>
      <c r="R28" s="283">
        <v>257</v>
      </c>
      <c r="S28" s="63">
        <v>301.3</v>
      </c>
      <c r="T28" s="283">
        <v>325.5</v>
      </c>
      <c r="U28" s="283">
        <v>339.3</v>
      </c>
      <c r="V28" s="283">
        <v>330.5</v>
      </c>
      <c r="W28" s="283">
        <v>347.2</v>
      </c>
      <c r="X28" s="283">
        <v>336.7</v>
      </c>
      <c r="Y28" s="283">
        <v>334.7</v>
      </c>
      <c r="Z28" s="221">
        <v>172.9</v>
      </c>
      <c r="AA28" s="283">
        <v>190.3</v>
      </c>
      <c r="AB28" s="323">
        <v>339.6</v>
      </c>
      <c r="AC28" s="283">
        <v>321.8</v>
      </c>
      <c r="AD28" s="283">
        <v>295.7</v>
      </c>
      <c r="AE28" s="283">
        <v>274.3</v>
      </c>
      <c r="AF28" s="283">
        <v>132.9</v>
      </c>
      <c r="AG28" s="283">
        <v>75.3</v>
      </c>
      <c r="AH28" s="731">
        <v>293.8</v>
      </c>
      <c r="AI28" s="335">
        <f t="shared" si="27"/>
        <v>8891.9999999999982</v>
      </c>
      <c r="AJ28" s="118">
        <v>100</v>
      </c>
      <c r="AK28" s="121">
        <f t="shared" si="24"/>
        <v>8.9467592592592585E-3</v>
      </c>
      <c r="AL28" s="67">
        <f t="shared" si="54"/>
        <v>0.16250000000000001</v>
      </c>
      <c r="AM28" s="68">
        <f t="shared" si="54"/>
        <v>0.13583333333333333</v>
      </c>
      <c r="AN28" s="68">
        <f t="shared" si="54"/>
        <v>0.16104166666666667</v>
      </c>
      <c r="AO28" s="68">
        <f t="shared" si="54"/>
        <v>0.15316666666666667</v>
      </c>
      <c r="AP28" s="68">
        <f>IF(OR(H27="",H27="Sem monitoramento"),"VAZIO",IFERROR(H27/($AJ28*24),"-"))</f>
        <v>0.18879166666666666</v>
      </c>
      <c r="AQ28" s="68">
        <f>IF(OR(I28="",I28="Sem monitoramento"),"VAZIO",IFERROR(I28/($AJ28*24),"-"))</f>
        <v>9.8999999999999991E-2</v>
      </c>
      <c r="AR28" s="68">
        <f>IF(OR(J28="",J28="Sem monitoramento"),"VAZIO",IFERROR(J28/($AJ28*24),"-"))</f>
        <v>0.14816666666666667</v>
      </c>
      <c r="AS28" s="68">
        <f t="shared" si="41"/>
        <v>0.15008333333333332</v>
      </c>
      <c r="AT28" s="68">
        <f t="shared" si="42"/>
        <v>0.13354166666666667</v>
      </c>
      <c r="AU28" s="68">
        <f t="shared" si="50"/>
        <v>0.13875000000000001</v>
      </c>
      <c r="AV28" s="68">
        <f>IF(OR(N28="",N28="Sem monitoramento"),"VAZIO",IFERROR(N28/($AJ28*24),"-"))</f>
        <v>1.9833333333333335E-2</v>
      </c>
      <c r="AW28" s="68">
        <f t="shared" si="51"/>
        <v>6.1124999999999992E-2</v>
      </c>
      <c r="AX28" s="68">
        <f t="shared" si="44"/>
        <v>0.13558333333333333</v>
      </c>
      <c r="AY28" s="68">
        <f t="shared" si="37"/>
        <v>9.7750000000000004E-2</v>
      </c>
      <c r="AZ28" s="68">
        <f t="shared" si="43"/>
        <v>0.10708333333333334</v>
      </c>
      <c r="BA28" s="68">
        <f t="shared" si="45"/>
        <v>0.12554166666666666</v>
      </c>
      <c r="BB28" s="68">
        <f t="shared" ref="BB28:BC32" si="56">IF(OR(T28="",T28="Sem monitoramento"),"VAZIO",IFERROR(T28/($AJ28*24),"-"))</f>
        <v>0.135625</v>
      </c>
      <c r="BC28" s="68">
        <f t="shared" si="56"/>
        <v>0.141375</v>
      </c>
      <c r="BD28" s="68">
        <f t="shared" si="52"/>
        <v>0.13770833333333332</v>
      </c>
      <c r="BE28" s="68">
        <f>IF(OR(W28="",W28="Sem monitoramento"),"VAZIO",IFERROR(W28/($AJ28*24),"-"))</f>
        <v>0.14466666666666667</v>
      </c>
      <c r="BF28" s="68">
        <f>IF(OR(X28="",X28="Sem monitoramento"),"VAZIO",IFERROR(X28/($AJ28*24),"-"))</f>
        <v>0.14029166666666668</v>
      </c>
      <c r="BG28" s="68">
        <f t="shared" si="46"/>
        <v>0.13945833333333332</v>
      </c>
      <c r="BH28" s="68">
        <f>IF(OR(Z28="",Z28="Sem monitoramento"),"VAZIO",IFERROR(Z28/($AJ28*24),"-"))</f>
        <v>7.2041666666666671E-2</v>
      </c>
      <c r="BI28" s="68" t="e">
        <f>IF(OR(#REF!="",#REF!="Sem monitoramento"),"VAZIO",IFERROR(#REF!/($AJ28*24),"-"))</f>
        <v>#REF!</v>
      </c>
      <c r="BJ28" s="68">
        <f t="shared" si="47"/>
        <v>0.14150000000000001</v>
      </c>
      <c r="BK28" s="68">
        <f t="shared" si="38"/>
        <v>0.13408333333333333</v>
      </c>
      <c r="BL28" s="68">
        <f t="shared" si="53"/>
        <v>0.12320833333333332</v>
      </c>
      <c r="BM28" s="68">
        <f t="shared" si="48"/>
        <v>0.11429166666666667</v>
      </c>
      <c r="BN28" s="68">
        <f t="shared" si="48"/>
        <v>5.5375000000000001E-2</v>
      </c>
      <c r="BO28" s="68">
        <f>IF(OR(AG28="",AG28="Sem monitoramento"),"VAZIO",IFERROR(AG28/($AJ28*24),"-"))</f>
        <v>3.1375E-2</v>
      </c>
      <c r="BP28" s="70">
        <f t="shared" si="5"/>
        <v>0.12349999999999997</v>
      </c>
      <c r="BQ28" s="198">
        <f t="shared" si="40"/>
        <v>0.168125</v>
      </c>
      <c r="BR28" s="72">
        <f t="shared" si="25"/>
        <v>16.8125</v>
      </c>
      <c r="BS28" s="73">
        <f t="shared" si="26"/>
        <v>-7.0833333333333304E-3</v>
      </c>
      <c r="BT28" s="74">
        <f t="shared" si="8"/>
        <v>-4.4625000000000026E-2</v>
      </c>
      <c r="BU28" s="15" t="s">
        <v>32</v>
      </c>
      <c r="BV28" s="3"/>
      <c r="BW28" s="2"/>
      <c r="BX28" s="2"/>
    </row>
    <row r="29" spans="2:76" x14ac:dyDescent="0.3">
      <c r="B29" s="775"/>
      <c r="C29" s="326" t="s">
        <v>112</v>
      </c>
      <c r="D29" s="223">
        <v>362.6</v>
      </c>
      <c r="E29" s="223">
        <v>300.5</v>
      </c>
      <c r="F29" s="63">
        <v>411</v>
      </c>
      <c r="G29" s="308">
        <v>340.4</v>
      </c>
      <c r="H29" s="283">
        <v>384.4</v>
      </c>
      <c r="I29" s="283">
        <v>236.6</v>
      </c>
      <c r="J29" s="283">
        <v>347.1</v>
      </c>
      <c r="K29" s="283">
        <v>345.6</v>
      </c>
      <c r="L29" s="283">
        <v>338.4</v>
      </c>
      <c r="M29" s="63">
        <v>369.7</v>
      </c>
      <c r="N29" s="63">
        <v>45.5</v>
      </c>
      <c r="O29" s="283">
        <v>137.4</v>
      </c>
      <c r="P29" s="283">
        <v>329.9</v>
      </c>
      <c r="Q29" s="283">
        <v>241</v>
      </c>
      <c r="R29" s="283">
        <v>240.7</v>
      </c>
      <c r="S29" s="283">
        <v>282.39999999999998</v>
      </c>
      <c r="T29" s="283">
        <v>337.7</v>
      </c>
      <c r="U29" s="283">
        <v>351.6</v>
      </c>
      <c r="V29" s="283">
        <v>355.1</v>
      </c>
      <c r="W29" s="283">
        <v>387.2</v>
      </c>
      <c r="X29" s="283">
        <v>369.3</v>
      </c>
      <c r="Y29" s="283">
        <v>343.5</v>
      </c>
      <c r="Z29" s="283">
        <v>179.2</v>
      </c>
      <c r="AA29" s="519">
        <v>168</v>
      </c>
      <c r="AB29" s="323">
        <v>371.4</v>
      </c>
      <c r="AC29" s="283">
        <v>331.7</v>
      </c>
      <c r="AD29" s="283">
        <v>282.89999999999998</v>
      </c>
      <c r="AE29" s="221">
        <v>277.60000000000002</v>
      </c>
      <c r="AF29" s="221">
        <v>129.19999999999999</v>
      </c>
      <c r="AG29" s="221">
        <v>72.599999999999994</v>
      </c>
      <c r="AH29" s="729">
        <v>281.89999999999998</v>
      </c>
      <c r="AI29" s="335">
        <f t="shared" si="27"/>
        <v>8952.1</v>
      </c>
      <c r="AJ29" s="301">
        <v>100</v>
      </c>
      <c r="AK29" s="121">
        <f t="shared" si="24"/>
        <v>9.5138888888888894E-3</v>
      </c>
      <c r="AL29" s="302" t="e">
        <f>IF(OR(#REF!="",#REF!="Sem monitoramento"),"VAZIO",IFERROR(#REF!/($AJ29*24),"-"))</f>
        <v>#REF!</v>
      </c>
      <c r="AM29" s="303" t="e">
        <f>IF(OR(#REF!="",#REF!="Sem monitoramento"),"VAZIO",IFERROR(#REF!/($AJ29*24),"-"))</f>
        <v>#REF!</v>
      </c>
      <c r="AN29" s="303">
        <f t="shared" ref="AN29:AP32" si="57">IF(OR(F29="",F29="Sem monitoramento"),"VAZIO",IFERROR(F29/($AJ29*24),"-"))</f>
        <v>0.17125000000000001</v>
      </c>
      <c r="AO29" s="303">
        <f t="shared" si="57"/>
        <v>0.14183333333333331</v>
      </c>
      <c r="AP29" s="303" t="e">
        <f>IF(OR(#REF!="",#REF!="Sem monitoramento"),"VAZIO",IFERROR(#REF!/($AJ29*24),"-"))</f>
        <v>#REF!</v>
      </c>
      <c r="AQ29" s="303">
        <f>IF(OR(I29="",I29="Sem monitoramento"),"VAZIO",IFERROR(I29/($AJ29*24),"-"))</f>
        <v>9.8583333333333328E-2</v>
      </c>
      <c r="AR29" s="303">
        <f>IF(OR(J29="",J29="Sem monitoramento"),"VAZIO",IFERROR(J29/($AJ29*24),"-"))</f>
        <v>0.144625</v>
      </c>
      <c r="AS29" s="303">
        <f t="shared" si="41"/>
        <v>0.14400000000000002</v>
      </c>
      <c r="AT29" s="303">
        <f t="shared" si="42"/>
        <v>0.14099999999999999</v>
      </c>
      <c r="AU29" s="303">
        <f t="shared" si="50"/>
        <v>0.15404166666666666</v>
      </c>
      <c r="AV29" s="303">
        <f>IF(OR(N29="",N29="Sem monitoramento"),"VAZIO",IFERROR(N29/($AJ29*24),"-"))</f>
        <v>1.8958333333333334E-2</v>
      </c>
      <c r="AW29" s="303">
        <f t="shared" si="51"/>
        <v>5.7250000000000002E-2</v>
      </c>
      <c r="AX29" s="303">
        <f t="shared" si="44"/>
        <v>0.13745833333333332</v>
      </c>
      <c r="AY29" s="303">
        <f t="shared" si="37"/>
        <v>0.10041666666666667</v>
      </c>
      <c r="AZ29" s="303">
        <f t="shared" si="43"/>
        <v>0.10029166666666667</v>
      </c>
      <c r="BA29" s="303">
        <f t="shared" si="45"/>
        <v>0.11766666666666666</v>
      </c>
      <c r="BB29" s="303">
        <f t="shared" si="56"/>
        <v>0.14070833333333332</v>
      </c>
      <c r="BC29" s="303">
        <f t="shared" si="56"/>
        <v>0.14650000000000002</v>
      </c>
      <c r="BD29" s="303">
        <f t="shared" si="52"/>
        <v>0.14795833333333333</v>
      </c>
      <c r="BE29" s="303" t="e">
        <f>IF(OR(#REF!="",#REF!="Sem monitoramento"),"VAZIO",IFERROR(#REF!/($AJ29*24),"-"))</f>
        <v>#REF!</v>
      </c>
      <c r="BF29" s="303" t="e">
        <f>IF(OR(#REF!="",#REF!="Sem monitoramento"),"VAZIO",IFERROR(#REF!/($AJ29*24),"-"))</f>
        <v>#REF!</v>
      </c>
      <c r="BG29" s="303">
        <f t="shared" si="46"/>
        <v>0.143125</v>
      </c>
      <c r="BH29" s="303">
        <f>IF(OR(Z29="",Z29="Sem monitoramento"),"VAZIO",IFERROR(Z29/($AJ29*24),"-"))</f>
        <v>7.4666666666666659E-2</v>
      </c>
      <c r="BI29" s="303">
        <f>IF(OR(AA28="",AA28="Sem monitoramento"),"VAZIO",IFERROR(AA28/($AJ29*24),"-"))</f>
        <v>7.9291666666666677E-2</v>
      </c>
      <c r="BJ29" s="303">
        <f t="shared" si="47"/>
        <v>0.15475</v>
      </c>
      <c r="BK29" s="303">
        <f t="shared" si="38"/>
        <v>0.13820833333333332</v>
      </c>
      <c r="BL29" s="303">
        <f t="shared" si="53"/>
        <v>0.11787499999999999</v>
      </c>
      <c r="BM29" s="303">
        <f>IF(OR(AE29="",AE29="Sem monitoramento"),"VAZIO",IFERROR(AE29/($AJ29*24),"-"))</f>
        <v>0.11566666666666668</v>
      </c>
      <c r="BN29" s="303" t="e">
        <f>IF(OR(#REF!="",#REF!="Sem monitoramento"),"VAZIO",IFERROR(#REF!/($AJ29*24),"-"))</f>
        <v>#REF!</v>
      </c>
      <c r="BO29" s="303" t="e">
        <f>IF(OR(#REF!="",#REF!="Sem monitoramento"),"VAZIO",IFERROR(#REF!/($AJ29*24),"-"))</f>
        <v>#REF!</v>
      </c>
      <c r="BP29" s="304">
        <f t="shared" si="5"/>
        <v>0.12433472222222222</v>
      </c>
      <c r="BQ29" s="198">
        <f t="shared" si="40"/>
        <v>0.168125</v>
      </c>
      <c r="BR29" s="72">
        <f t="shared" si="25"/>
        <v>16.8125</v>
      </c>
      <c r="BS29" s="73">
        <f t="shared" si="26"/>
        <v>3.1250000000000167E-3</v>
      </c>
      <c r="BT29" s="74">
        <f>BP29-BQ29</f>
        <v>-4.3790277777777775E-2</v>
      </c>
      <c r="BU29" s="15" t="s">
        <v>440</v>
      </c>
      <c r="BV29" s="3"/>
      <c r="BW29" s="2"/>
      <c r="BX29" s="2"/>
    </row>
    <row r="30" spans="2:76" ht="15" thickBot="1" x14ac:dyDescent="0.35">
      <c r="B30" s="775"/>
      <c r="C30" s="326" t="s">
        <v>289</v>
      </c>
      <c r="D30" s="223">
        <v>246</v>
      </c>
      <c r="E30" s="283">
        <v>214.4</v>
      </c>
      <c r="F30" s="283">
        <v>269.39999999999998</v>
      </c>
      <c r="G30" s="308">
        <v>242.2</v>
      </c>
      <c r="H30" s="283">
        <v>257.60000000000002</v>
      </c>
      <c r="I30" s="308">
        <v>167.5</v>
      </c>
      <c r="J30" s="63">
        <v>242.5</v>
      </c>
      <c r="K30" s="283">
        <v>242.7</v>
      </c>
      <c r="L30" s="283">
        <v>226.6</v>
      </c>
      <c r="M30" s="283">
        <v>236.8</v>
      </c>
      <c r="N30" s="316">
        <v>31.3</v>
      </c>
      <c r="O30" s="283">
        <v>100.3</v>
      </c>
      <c r="P30" s="283">
        <v>230.8</v>
      </c>
      <c r="Q30" s="283">
        <v>164.2</v>
      </c>
      <c r="R30" s="283">
        <v>164.3</v>
      </c>
      <c r="S30" s="283">
        <v>204.6</v>
      </c>
      <c r="T30" s="283">
        <v>228.1</v>
      </c>
      <c r="U30" s="283">
        <v>237.9</v>
      </c>
      <c r="V30" s="283">
        <v>237.3</v>
      </c>
      <c r="W30" s="283">
        <v>243.5</v>
      </c>
      <c r="X30" s="519">
        <v>230.9</v>
      </c>
      <c r="Y30" s="283">
        <v>220.2</v>
      </c>
      <c r="Z30" s="221">
        <v>120.3</v>
      </c>
      <c r="AA30" s="320">
        <v>118.2</v>
      </c>
      <c r="AB30" s="323">
        <v>232.2</v>
      </c>
      <c r="AC30" s="283">
        <v>207.6</v>
      </c>
      <c r="AD30" s="283">
        <v>208.3</v>
      </c>
      <c r="AE30" s="221">
        <v>178.8</v>
      </c>
      <c r="AF30" s="241">
        <v>89.1</v>
      </c>
      <c r="AG30" s="221">
        <v>52.3</v>
      </c>
      <c r="AH30" s="729">
        <v>194.7</v>
      </c>
      <c r="AI30" s="335">
        <f t="shared" si="27"/>
        <v>6040.6000000000013</v>
      </c>
      <c r="AJ30" s="119">
        <v>100</v>
      </c>
      <c r="AK30" s="121">
        <f t="shared" si="24"/>
        <v>6.2361111111111107E-3</v>
      </c>
      <c r="AL30" s="98">
        <f>IF(OR(D29="",D29="Sem monitoramento"),"VAZIO",IFERROR(D29/($AJ30*24),"-"))</f>
        <v>0.15108333333333335</v>
      </c>
      <c r="AM30" s="99">
        <f>IF(OR(E30="",E30="Sem monitoramento"),"VAZIO",IFERROR(E30/($AJ30*24),"-"))</f>
        <v>8.9333333333333334E-2</v>
      </c>
      <c r="AN30" s="99">
        <f t="shared" si="57"/>
        <v>0.11224999999999999</v>
      </c>
      <c r="AO30" s="99">
        <f t="shared" si="57"/>
        <v>0.10091666666666667</v>
      </c>
      <c r="AP30" s="99">
        <f t="shared" si="57"/>
        <v>0.10733333333333334</v>
      </c>
      <c r="AQ30" s="99">
        <f t="shared" si="55"/>
        <v>6.9791666666666669E-2</v>
      </c>
      <c r="AR30" s="99">
        <f>IF(OR(J31="",J31="Sem monitoramento"),"VAZIO",IFERROR(J31/($AJ30*24),"-"))</f>
        <v>9.0000000000000011E-3</v>
      </c>
      <c r="AS30" s="99">
        <f t="shared" si="41"/>
        <v>0.10112499999999999</v>
      </c>
      <c r="AT30" s="99">
        <f t="shared" si="42"/>
        <v>9.4416666666666663E-2</v>
      </c>
      <c r="AU30" s="99">
        <f t="shared" si="50"/>
        <v>9.8666666666666666E-2</v>
      </c>
      <c r="AV30" s="99">
        <f>IF(OR(N31="",N31="Sem monitoramento"),"VAZIO",IFERROR(N31/($AJ30*24),"-"))</f>
        <v>1.8416666666666668E-2</v>
      </c>
      <c r="AW30" s="99">
        <f t="shared" si="51"/>
        <v>4.1791666666666664E-2</v>
      </c>
      <c r="AX30" s="99">
        <f t="shared" si="44"/>
        <v>9.6166666666666678E-2</v>
      </c>
      <c r="AY30" s="99">
        <f t="shared" si="37"/>
        <v>6.8416666666666667E-2</v>
      </c>
      <c r="AZ30" s="99">
        <f t="shared" si="43"/>
        <v>6.8458333333333343E-2</v>
      </c>
      <c r="BA30" s="99">
        <f t="shared" si="45"/>
        <v>8.5249999999999992E-2</v>
      </c>
      <c r="BB30" s="99">
        <f t="shared" si="56"/>
        <v>9.5041666666666663E-2</v>
      </c>
      <c r="BC30" s="99">
        <f t="shared" si="56"/>
        <v>9.9125000000000005E-2</v>
      </c>
      <c r="BD30" s="99">
        <f t="shared" si="52"/>
        <v>9.8875000000000005E-2</v>
      </c>
      <c r="BE30" s="99">
        <f>IF(OR(X29="",X29="Sem monitoramento"),"VAZIO",IFERROR(X29/($AJ30*24),"-"))</f>
        <v>0.15387500000000001</v>
      </c>
      <c r="BF30" s="99" t="e">
        <f>IF(OR(#REF!="",#REF!="Sem monitoramento"),"VAZIO",IFERROR(#REF!/($AJ30*24),"-"))</f>
        <v>#REF!</v>
      </c>
      <c r="BG30" s="99">
        <f t="shared" si="46"/>
        <v>9.1749999999999998E-2</v>
      </c>
      <c r="BH30" s="99">
        <f>IF(OR(Z30="",Z30="Sem monitoramento"),"VAZIO",IFERROR(Z30/($AJ30*24),"-"))</f>
        <v>5.0124999999999996E-2</v>
      </c>
      <c r="BI30" s="99">
        <f>IF(OR(AA30="",AA30="Sem monitoramento"),"VAZIO",IFERROR(AA30/($AJ30*24),"-"))</f>
        <v>4.9250000000000002E-2</v>
      </c>
      <c r="BJ30" s="99">
        <f t="shared" si="47"/>
        <v>9.6749999999999989E-2</v>
      </c>
      <c r="BK30" s="99">
        <f t="shared" si="38"/>
        <v>8.6499999999999994E-2</v>
      </c>
      <c r="BL30" s="99">
        <f t="shared" si="53"/>
        <v>8.679166666666667E-2</v>
      </c>
      <c r="BM30" s="99">
        <f>IF(OR(AE30="",AE30="Sem monitoramento"),"VAZIO",IFERROR(AE30/($AJ30*24),"-"))</f>
        <v>7.4500000000000011E-2</v>
      </c>
      <c r="BN30" s="99">
        <f>IF(OR(AF29="",AF29="Sem monitoramento"),"VAZIO",IFERROR(AF29/($AJ30*24),"-"))</f>
        <v>5.383333333333333E-2</v>
      </c>
      <c r="BO30" s="99">
        <f>IF(OR(AG29="",AG29="Sem monitoramento"),"VAZIO",IFERROR(AG29/($AJ30*24),"-"))</f>
        <v>3.0249999999999999E-2</v>
      </c>
      <c r="BP30" s="101">
        <f t="shared" si="5"/>
        <v>8.3897222222222234E-2</v>
      </c>
      <c r="BQ30" s="198">
        <f t="shared" si="40"/>
        <v>0.168125</v>
      </c>
      <c r="BR30" s="72">
        <f t="shared" si="25"/>
        <v>16.8125</v>
      </c>
      <c r="BS30" s="73">
        <f t="shared" si="26"/>
        <v>-5.5875000000000008E-2</v>
      </c>
      <c r="BT30" s="74">
        <f t="shared" si="8"/>
        <v>-8.4227777777777763E-2</v>
      </c>
      <c r="BU30" s="15" t="s">
        <v>112</v>
      </c>
      <c r="BV30" s="3"/>
      <c r="BW30" s="2"/>
      <c r="BX30" s="2"/>
    </row>
    <row r="31" spans="2:76" ht="15" thickBot="1" x14ac:dyDescent="0.35">
      <c r="B31" s="773" t="s">
        <v>290</v>
      </c>
      <c r="C31" s="326" t="s">
        <v>291</v>
      </c>
      <c r="D31" s="305">
        <v>18.600000000000001</v>
      </c>
      <c r="E31" s="503">
        <v>24</v>
      </c>
      <c r="F31" s="282">
        <v>15.3</v>
      </c>
      <c r="G31" s="282">
        <v>15.8</v>
      </c>
      <c r="H31" s="732">
        <v>23.7</v>
      </c>
      <c r="I31" s="312">
        <v>24.7</v>
      </c>
      <c r="J31" s="308">
        <v>21.6</v>
      </c>
      <c r="K31" s="283">
        <v>28.7</v>
      </c>
      <c r="L31" s="283">
        <v>21</v>
      </c>
      <c r="M31" s="283">
        <v>21.6</v>
      </c>
      <c r="N31" s="283">
        <v>44.2</v>
      </c>
      <c r="O31" s="283">
        <v>37.4</v>
      </c>
      <c r="P31" s="283">
        <v>38.799999999999997</v>
      </c>
      <c r="Q31" s="283">
        <v>27.3</v>
      </c>
      <c r="R31" s="283">
        <v>17.7</v>
      </c>
      <c r="S31" s="283">
        <v>24</v>
      </c>
      <c r="T31" s="283">
        <v>31.5</v>
      </c>
      <c r="U31" s="283">
        <v>18.5</v>
      </c>
      <c r="V31" s="283">
        <v>21.2</v>
      </c>
      <c r="W31" s="283">
        <v>18.7</v>
      </c>
      <c r="X31" s="283">
        <v>20.3</v>
      </c>
      <c r="Y31" s="320">
        <v>20.8</v>
      </c>
      <c r="Z31" s="320">
        <v>28.9</v>
      </c>
      <c r="AA31" s="320">
        <v>128</v>
      </c>
      <c r="AB31" s="323">
        <v>329.5</v>
      </c>
      <c r="AC31" s="15">
        <v>346.4</v>
      </c>
      <c r="AD31" s="221">
        <v>188.1</v>
      </c>
      <c r="AE31" s="388">
        <v>288.10000000000002</v>
      </c>
      <c r="AF31" s="193">
        <v>200.1</v>
      </c>
      <c r="AG31" s="15">
        <v>124.7</v>
      </c>
      <c r="AH31" s="506">
        <v>198</v>
      </c>
      <c r="AI31" s="335">
        <f t="shared" si="27"/>
        <v>2367.1999999999994</v>
      </c>
      <c r="AJ31" s="2">
        <v>100</v>
      </c>
      <c r="AK31" s="285">
        <f t="shared" si="24"/>
        <v>3.5416666666666669E-4</v>
      </c>
      <c r="AL31" s="98">
        <f>IF(OR(D31="",D31="Sem monitoramento"),"VAZIO",IFERROR(D31/($AJ31*24),"-"))</f>
        <v>7.7500000000000008E-3</v>
      </c>
      <c r="AM31" s="99">
        <f>IF(OR(E29="",E29="Sem monitoramento"),"VAZIO",IFERROR(E29/($AJ31*24),"-"))</f>
        <v>0.12520833333333334</v>
      </c>
      <c r="AN31" s="99">
        <f t="shared" si="57"/>
        <v>6.3750000000000005E-3</v>
      </c>
      <c r="AO31" s="99">
        <f t="shared" si="57"/>
        <v>6.5833333333333334E-3</v>
      </c>
      <c r="AP31" s="99">
        <f>IF(OR(H29="",H29="Sem monitoramento"),"VAZIO",IFERROR(H29/($AJ31*24),"-"))</f>
        <v>0.16016666666666665</v>
      </c>
      <c r="AQ31" s="99">
        <f t="shared" si="55"/>
        <v>1.0291666666666666E-2</v>
      </c>
      <c r="AR31" s="99" t="e">
        <f>IF(OR(#REF!="",#REF!="Sem monitoramento"),"VAZIO",IFERROR(#REF!/($AJ31*24),"-"))</f>
        <v>#REF!</v>
      </c>
      <c r="AS31" s="99">
        <f t="shared" si="41"/>
        <v>1.1958333333333333E-2</v>
      </c>
      <c r="AT31" s="99">
        <f t="shared" si="42"/>
        <v>8.7500000000000008E-3</v>
      </c>
      <c r="AU31" s="99">
        <f t="shared" si="50"/>
        <v>9.0000000000000011E-3</v>
      </c>
      <c r="AV31" s="99" t="e">
        <f>IF(OR(#REF!="",#REF!="Sem monitoramento"),"VAZIO",IFERROR(#REF!/($AJ31*24),"-"))</f>
        <v>#REF!</v>
      </c>
      <c r="AW31" s="99">
        <f t="shared" si="51"/>
        <v>1.5583333333333333E-2</v>
      </c>
      <c r="AX31" s="99">
        <f t="shared" si="44"/>
        <v>1.6166666666666666E-2</v>
      </c>
      <c r="AY31" s="99">
        <f t="shared" si="37"/>
        <v>1.1375E-2</v>
      </c>
      <c r="AZ31" s="99">
        <f t="shared" si="43"/>
        <v>7.3749999999999996E-3</v>
      </c>
      <c r="BA31" s="99">
        <f t="shared" si="45"/>
        <v>0.01</v>
      </c>
      <c r="BB31" s="99">
        <f t="shared" si="56"/>
        <v>1.3125E-2</v>
      </c>
      <c r="BC31" s="99">
        <f t="shared" si="56"/>
        <v>7.7083333333333335E-3</v>
      </c>
      <c r="BD31" s="99">
        <f t="shared" si="52"/>
        <v>8.8333333333333337E-3</v>
      </c>
      <c r="BE31" s="99">
        <f>IF(OR(W31="",W31="Sem monitoramento"),"VAZIO",IFERROR(W31/($AJ31*24),"-"))</f>
        <v>7.7916666666666664E-3</v>
      </c>
      <c r="BF31" s="99">
        <f>IF(OR(X31="",X31="Sem monitoramento"),"VAZIO",IFERROR(X31/($AJ31*24),"-"))</f>
        <v>8.4583333333333333E-3</v>
      </c>
      <c r="BG31" s="99">
        <f t="shared" si="46"/>
        <v>8.6666666666666663E-3</v>
      </c>
      <c r="BH31" s="99">
        <f>IF(OR(Z31="",Z31="Sem monitoramento"),"VAZIO",IFERROR(Z31/($AJ31*24),"-"))</f>
        <v>1.2041666666666666E-2</v>
      </c>
      <c r="BI31" s="99">
        <f>IF(OR(AA31="",AA31="Sem monitoramento"),"VAZIO",IFERROR(AA31/($AJ31*24),"-"))</f>
        <v>5.3333333333333337E-2</v>
      </c>
      <c r="BJ31" s="99">
        <f t="shared" si="47"/>
        <v>0.13729166666666667</v>
      </c>
      <c r="BK31" s="99">
        <f t="shared" si="38"/>
        <v>0.14433333333333331</v>
      </c>
      <c r="BL31" s="99">
        <f t="shared" si="53"/>
        <v>7.8375E-2</v>
      </c>
      <c r="BM31" s="99">
        <f>IF(OR(AE31="",AE31="Sem monitoramento"),"VAZIO",IFERROR(AE31/($AJ31*24),"-"))</f>
        <v>0.12004166666666667</v>
      </c>
      <c r="BN31" s="286">
        <f>IF(OR(AF31="",AF31="Sem monitoramento"),"VAZIO",IFERROR(AF31/($AJ31*24),"-"))</f>
        <v>8.3374999999999991E-2</v>
      </c>
      <c r="BO31" s="286">
        <f>IF(OR(AG31="",AG31="Sem monitoramento"),"VAZIO",IFERROR(AG31/($AJ31*24),"-"))</f>
        <v>5.1958333333333336E-2</v>
      </c>
      <c r="BP31" s="286">
        <f t="shared" si="5"/>
        <v>3.287777777777777E-2</v>
      </c>
      <c r="BQ31" s="198">
        <f t="shared" si="40"/>
        <v>0.168125</v>
      </c>
      <c r="BR31" s="72">
        <f t="shared" si="25"/>
        <v>16.8125</v>
      </c>
      <c r="BS31" s="73">
        <f t="shared" si="26"/>
        <v>-0.16175</v>
      </c>
      <c r="BT31" s="74">
        <f t="shared" si="8"/>
        <v>-0.13524722222222224</v>
      </c>
      <c r="BU31" s="2"/>
      <c r="BV31" s="3"/>
      <c r="BW31" s="2"/>
      <c r="BX31" s="2"/>
    </row>
    <row r="32" spans="2:76" ht="15" thickBot="1" x14ac:dyDescent="0.35">
      <c r="B32" s="777"/>
      <c r="C32" s="329" t="s">
        <v>563</v>
      </c>
      <c r="D32" s="224">
        <v>397.5</v>
      </c>
      <c r="E32" s="93">
        <v>413.1</v>
      </c>
      <c r="F32" s="93">
        <v>372.4</v>
      </c>
      <c r="G32" s="115">
        <v>376</v>
      </c>
      <c r="H32" s="532">
        <v>418.25</v>
      </c>
      <c r="I32" s="115">
        <v>212.7</v>
      </c>
      <c r="J32" s="115">
        <v>228.03</v>
      </c>
      <c r="K32" s="93">
        <v>233.8</v>
      </c>
      <c r="L32" s="93">
        <v>260</v>
      </c>
      <c r="M32" s="93">
        <v>403.4</v>
      </c>
      <c r="N32" s="93">
        <v>135.9</v>
      </c>
      <c r="O32" s="318">
        <v>129.55000000000001</v>
      </c>
      <c r="P32" s="93">
        <v>197.3</v>
      </c>
      <c r="Q32" s="318">
        <v>243.1</v>
      </c>
      <c r="R32" s="318">
        <v>349.4</v>
      </c>
      <c r="S32" s="318">
        <v>351.1</v>
      </c>
      <c r="T32" s="318">
        <v>292.5</v>
      </c>
      <c r="U32" s="318">
        <v>275.39999999999998</v>
      </c>
      <c r="V32" s="318">
        <v>355.3</v>
      </c>
      <c r="W32" s="318">
        <v>382.1</v>
      </c>
      <c r="X32" s="277">
        <v>389.5</v>
      </c>
      <c r="Y32" s="318">
        <v>368.5</v>
      </c>
      <c r="Z32" s="318">
        <v>318.2</v>
      </c>
      <c r="AA32" s="318">
        <v>166.5</v>
      </c>
      <c r="AB32" s="655">
        <v>372.7</v>
      </c>
      <c r="AC32" s="22">
        <v>296.5</v>
      </c>
      <c r="AD32" s="277">
        <v>160.80000000000001</v>
      </c>
      <c r="AE32" s="93">
        <v>269.60000000000002</v>
      </c>
      <c r="AF32" s="22">
        <v>189.6</v>
      </c>
      <c r="AG32" s="277">
        <v>112.7</v>
      </c>
      <c r="AH32" s="241">
        <v>132.19999999999999</v>
      </c>
      <c r="AI32" s="335">
        <f>SUM(D32:AG32)</f>
        <v>8671.4300000000021</v>
      </c>
      <c r="AJ32" s="2"/>
      <c r="AK32" s="285"/>
      <c r="AL32" s="286" t="str">
        <f>IF(OR(D32="",D32="Sem monitoramento"),"VAZIO",IFERROR(D32/($AJ32*24),"-"))</f>
        <v>-</v>
      </c>
      <c r="AM32" s="286" t="str">
        <f>IF(OR(E32="",E32="Sem monitoramento"),"VAZIO",IFERROR(E32/($AJ32*24),"-"))</f>
        <v>-</v>
      </c>
      <c r="AN32" s="286" t="str">
        <f t="shared" si="57"/>
        <v>-</v>
      </c>
      <c r="AO32" s="286" t="str">
        <f t="shared" si="57"/>
        <v>-</v>
      </c>
      <c r="AP32" s="286" t="str">
        <f t="shared" si="57"/>
        <v>-</v>
      </c>
      <c r="AQ32" s="286" t="str">
        <f t="shared" si="55"/>
        <v>-</v>
      </c>
      <c r="AR32" s="286" t="str">
        <f>IF(OR(J32="",J32="Sem monitoramento"),"VAZIO",IFERROR(J32/($AJ32*24),"-"))</f>
        <v>-</v>
      </c>
      <c r="AS32" s="286" t="str">
        <f t="shared" si="41"/>
        <v>-</v>
      </c>
      <c r="AT32" s="286" t="str">
        <f t="shared" si="42"/>
        <v>-</v>
      </c>
      <c r="AU32" s="286" t="str">
        <f t="shared" si="50"/>
        <v>-</v>
      </c>
      <c r="AV32" s="286" t="str">
        <f>IF(OR(N32="",N32="Sem monitoramento"),"VAZIO",IFERROR(N32/($AJ32*24),"-"))</f>
        <v>-</v>
      </c>
      <c r="AW32" s="286" t="str">
        <f t="shared" si="51"/>
        <v>-</v>
      </c>
      <c r="AX32" s="286" t="str">
        <f t="shared" si="44"/>
        <v>-</v>
      </c>
      <c r="AY32" s="286" t="str">
        <f t="shared" si="37"/>
        <v>-</v>
      </c>
      <c r="AZ32" s="286" t="str">
        <f t="shared" si="43"/>
        <v>-</v>
      </c>
      <c r="BA32" s="286" t="str">
        <f t="shared" si="45"/>
        <v>-</v>
      </c>
      <c r="BB32" s="286" t="str">
        <f t="shared" si="56"/>
        <v>-</v>
      </c>
      <c r="BC32" s="286" t="str">
        <f t="shared" si="56"/>
        <v>-</v>
      </c>
      <c r="BD32" s="286" t="str">
        <f t="shared" si="52"/>
        <v>-</v>
      </c>
      <c r="BE32" s="286" t="str">
        <f>IF(OR(W32="",W32="Sem monitoramento"),"VAZIO",IFERROR(W32/($AJ32*24),"-"))</f>
        <v>-</v>
      </c>
      <c r="BF32" s="286" t="str">
        <f>IF(OR(X32="",X32="Sem monitoramento"),"VAZIO",IFERROR(X32/($AJ32*24),"-"))</f>
        <v>-</v>
      </c>
      <c r="BG32" s="286" t="str">
        <f t="shared" si="46"/>
        <v>-</v>
      </c>
      <c r="BH32" s="286" t="str">
        <f>IF(OR(Z32="",Z32="Sem monitoramento"),"VAZIO",IFERROR(Z32/($AJ32*24),"-"))</f>
        <v>-</v>
      </c>
      <c r="BI32" s="286" t="str">
        <f>IF(OR(AA32="",AA32="Sem monitoramento"),"VAZIO",IFERROR(AA32/($AJ32*24),"-"))</f>
        <v>-</v>
      </c>
      <c r="BJ32" s="286" t="str">
        <f t="shared" si="47"/>
        <v>-</v>
      </c>
      <c r="BK32" s="286" t="str">
        <f t="shared" si="38"/>
        <v>-</v>
      </c>
      <c r="BL32" s="286" t="str">
        <f t="shared" si="53"/>
        <v>-</v>
      </c>
      <c r="BM32" s="286" t="str">
        <f>IF(OR(AE32="",AE32="Sem monitoramento"),"VAZIO",IFERROR(AE32/($AJ32*24),"-"))</f>
        <v>-</v>
      </c>
      <c r="BN32" s="286" t="str">
        <f>IF(OR(AF32="",AF32="Sem monitoramento"),"VAZIO",IFERROR(AF32/($AJ32*24),"-"))</f>
        <v>-</v>
      </c>
      <c r="BO32" s="286" t="str">
        <f>IF(OR(AG32="",AG32="Sem monitoramento"),"VAZIO",IFERROR(AG32/($AJ32*24),"-"))</f>
        <v>-</v>
      </c>
      <c r="BP32" s="286" t="e">
        <f t="shared" si="5"/>
        <v>#DIV/0!</v>
      </c>
      <c r="BQ32" s="198"/>
      <c r="BR32" s="287"/>
      <c r="BS32" s="288"/>
      <c r="BT32" s="289"/>
      <c r="BU32" s="2"/>
      <c r="BV32" s="3"/>
      <c r="BW32" s="2"/>
      <c r="BX32" s="2"/>
    </row>
    <row r="33" spans="2:76" ht="18" x14ac:dyDescent="0.3">
      <c r="B33" s="776" t="s">
        <v>113</v>
      </c>
      <c r="C33" s="776"/>
      <c r="D33" s="103">
        <f>SUM(D5:D32)</f>
        <v>10016.300000000001</v>
      </c>
      <c r="E33" s="103">
        <f>SUM(E5:E32)</f>
        <v>10458.500000000002</v>
      </c>
      <c r="F33" s="103">
        <f>SUM(F5:F32)</f>
        <v>10964</v>
      </c>
      <c r="G33" s="103">
        <f>SUM(G5:G32)</f>
        <v>10138.1</v>
      </c>
      <c r="H33" s="103">
        <f t="shared" ref="H33:AH33" si="58">SUM(H5:H32)</f>
        <v>10592.650000000001</v>
      </c>
      <c r="I33" s="103">
        <f t="shared" si="58"/>
        <v>5593.0000000000009</v>
      </c>
      <c r="J33" s="103">
        <f t="shared" si="58"/>
        <v>8584.23</v>
      </c>
      <c r="K33" s="103">
        <f t="shared" si="58"/>
        <v>7544.4999999999991</v>
      </c>
      <c r="L33" s="103">
        <f t="shared" si="58"/>
        <v>7992.3</v>
      </c>
      <c r="M33" s="103">
        <f t="shared" si="58"/>
        <v>10335.200000000001</v>
      </c>
      <c r="N33" s="103">
        <f t="shared" si="58"/>
        <v>4372.25</v>
      </c>
      <c r="O33" s="103">
        <f t="shared" si="58"/>
        <v>3840.35</v>
      </c>
      <c r="P33" s="103">
        <f t="shared" si="58"/>
        <v>6322</v>
      </c>
      <c r="Q33" s="103">
        <f t="shared" si="58"/>
        <v>7104.9000000000005</v>
      </c>
      <c r="R33" s="103">
        <f t="shared" si="58"/>
        <v>9671.7999999999993</v>
      </c>
      <c r="S33" s="103">
        <f t="shared" si="58"/>
        <v>7672.9000000000005</v>
      </c>
      <c r="T33" s="103">
        <f>SUM(T5:T32)</f>
        <v>9210.4</v>
      </c>
      <c r="U33" s="103">
        <f>SUM(U5:U32)</f>
        <v>9114.6999999999989</v>
      </c>
      <c r="V33" s="103">
        <f t="shared" si="58"/>
        <v>8393.9000000000015</v>
      </c>
      <c r="W33" s="103">
        <f t="shared" si="58"/>
        <v>10363.200000000003</v>
      </c>
      <c r="X33" s="103">
        <f t="shared" si="58"/>
        <v>10685.4</v>
      </c>
      <c r="Y33" s="103">
        <f t="shared" si="58"/>
        <v>10704.300000000001</v>
      </c>
      <c r="Z33" s="103">
        <f t="shared" si="58"/>
        <v>8411.4</v>
      </c>
      <c r="AA33" s="103">
        <f t="shared" si="58"/>
        <v>4516.3999999999996</v>
      </c>
      <c r="AB33" s="103">
        <f>SUM(AB5:AB32)</f>
        <v>10353.900000000001</v>
      </c>
      <c r="AC33" s="103">
        <f t="shared" si="58"/>
        <v>8336.2999999999993</v>
      </c>
      <c r="AD33" s="103">
        <f t="shared" si="58"/>
        <v>5268.7000000000007</v>
      </c>
      <c r="AE33" s="103">
        <f t="shared" si="58"/>
        <v>7845.1000000000013</v>
      </c>
      <c r="AF33" s="103">
        <f t="shared" si="58"/>
        <v>5530.9000000000005</v>
      </c>
      <c r="AG33" s="103">
        <f t="shared" si="58"/>
        <v>3572.9</v>
      </c>
      <c r="AH33" s="103">
        <f t="shared" si="58"/>
        <v>5664.5</v>
      </c>
      <c r="AI33" s="189">
        <f>SUM(AI5:AI32)</f>
        <v>249042.78000000003</v>
      </c>
      <c r="AJ33" s="104">
        <f>SUM(AJ5:AJ32)</f>
        <v>2329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V33" s="3"/>
      <c r="BW33" s="2"/>
      <c r="BX33" s="2"/>
    </row>
    <row r="34" spans="2:76" ht="18.600000000000001" thickBot="1" x14ac:dyDescent="0.3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190" t="str">
        <f>_xlfn.CONCAT(ROUND(AI33/1000,3)," MWh")</f>
        <v>249,043 MWh</v>
      </c>
      <c r="AJ34" s="2"/>
      <c r="AN34" s="778">
        <v>12</v>
      </c>
      <c r="AW34">
        <v>1000</v>
      </c>
      <c r="AX34">
        <v>1000</v>
      </c>
      <c r="BR34" s="9"/>
      <c r="BT34" s="2"/>
      <c r="BV34" s="2"/>
      <c r="BW34" s="2"/>
      <c r="BX34" s="2"/>
    </row>
    <row r="35" spans="2:76" ht="15" thickBot="1" x14ac:dyDescent="0.35">
      <c r="C35" s="105"/>
      <c r="D35" t="s">
        <v>36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161"/>
      <c r="U35" s="2"/>
      <c r="V35" s="2"/>
      <c r="W35" s="2"/>
      <c r="X35" s="2"/>
      <c r="Y35" s="2"/>
      <c r="Z35" s="2"/>
      <c r="AA35" s="2"/>
      <c r="AB35" s="2"/>
      <c r="AC35" s="2"/>
      <c r="AD35" s="2">
        <v>1497</v>
      </c>
      <c r="AE35" s="767" t="s">
        <v>194</v>
      </c>
      <c r="AF35" s="767"/>
      <c r="AG35" s="767"/>
      <c r="AH35" s="15"/>
      <c r="AI35" s="191" t="str">
        <f>_xlfn.CONCAT(ROUND($AI$33/COUNTIF($D$33:$AG$33,"&lt;&gt;0"),3)," kWh")</f>
        <v>8301,426 kWh</v>
      </c>
      <c r="AJ35" s="2"/>
      <c r="AK35" s="2"/>
      <c r="AL35" s="2"/>
      <c r="AM35" s="2"/>
      <c r="AN35" s="779"/>
      <c r="AV35">
        <v>900</v>
      </c>
      <c r="AW35">
        <v>100</v>
      </c>
      <c r="BR35" s="11"/>
      <c r="BT35" s="106"/>
      <c r="BU35" s="3" t="s">
        <v>114</v>
      </c>
    </row>
    <row r="36" spans="2:76" ht="15" thickBot="1" x14ac:dyDescent="0.35">
      <c r="C36" s="107"/>
      <c r="D36" t="s">
        <v>115</v>
      </c>
      <c r="E36" s="2"/>
      <c r="F36" s="2"/>
      <c r="G36" s="2"/>
      <c r="H36" s="161"/>
      <c r="I36" s="2"/>
      <c r="J36" s="161"/>
      <c r="K36" s="314">
        <v>45533.1</v>
      </c>
      <c r="L36" s="161">
        <v>270.5</v>
      </c>
      <c r="M36" s="2">
        <v>46064.2</v>
      </c>
      <c r="N36" s="2">
        <v>42.5</v>
      </c>
      <c r="O36" s="2"/>
      <c r="P36" s="2"/>
      <c r="Q36" s="2"/>
      <c r="R36" s="2"/>
      <c r="S36" s="2"/>
      <c r="T36" s="2">
        <v>151771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767" t="s">
        <v>195</v>
      </c>
      <c r="AF36" s="767"/>
      <c r="AG36" s="767"/>
      <c r="AH36" s="15"/>
      <c r="AI36" s="191" t="str">
        <f>_xlfn.CONCAT(ROUND($AI$33/COUNTIF($D$33:$AG$33,"&lt;&gt;0"),3)*30," kWh")</f>
        <v>249042,78 kWh</v>
      </c>
      <c r="AJ36" s="2"/>
      <c r="AK36" s="2"/>
      <c r="AL36" s="2"/>
      <c r="AM36" s="2"/>
      <c r="AN36" s="780"/>
      <c r="BR36" s="2"/>
      <c r="BT36" s="109"/>
      <c r="BU36" s="5" t="s">
        <v>116</v>
      </c>
    </row>
    <row r="37" spans="2:76" x14ac:dyDescent="0.3">
      <c r="I37">
        <v>50190</v>
      </c>
      <c r="K37" s="313">
        <v>45214.2</v>
      </c>
      <c r="L37" s="102">
        <f>K36-K37</f>
        <v>318.90000000000146</v>
      </c>
      <c r="M37" s="102"/>
      <c r="N37" s="315">
        <f>M36-K36-N36</f>
        <v>488.59999999999854</v>
      </c>
      <c r="T37">
        <v>152247</v>
      </c>
      <c r="AC37">
        <v>52911.8</v>
      </c>
      <c r="AE37" s="767" t="s">
        <v>195</v>
      </c>
      <c r="AF37" s="767"/>
      <c r="AG37" s="767"/>
      <c r="AH37" s="15"/>
      <c r="AI37" s="191" t="str">
        <f>_xlfn.CONCAT(ROUND(($AI$33/COUNTIF($D$33:$AG$33,"&lt;&gt;0"))*30/1000,3)," MWh")</f>
        <v>249,043 MWh</v>
      </c>
      <c r="AN37" s="778">
        <v>67</v>
      </c>
    </row>
    <row r="38" spans="2:76" x14ac:dyDescent="0.3">
      <c r="E38" s="436">
        <v>558.9</v>
      </c>
      <c r="F38">
        <v>403.7</v>
      </c>
      <c r="G38">
        <v>563.5</v>
      </c>
      <c r="I38">
        <v>51533</v>
      </c>
      <c r="T38">
        <f>T37-T36+1.8</f>
        <v>477.8</v>
      </c>
      <c r="X38" s="102"/>
      <c r="AC38">
        <v>53196</v>
      </c>
      <c r="AN38" s="779"/>
    </row>
    <row r="39" spans="2:76" x14ac:dyDescent="0.3">
      <c r="I39">
        <f>I38-I37</f>
        <v>1343</v>
      </c>
      <c r="AC39">
        <v>60.6</v>
      </c>
      <c r="AN39" s="780"/>
    </row>
    <row r="40" spans="2:76" x14ac:dyDescent="0.3">
      <c r="AC40">
        <f>AC38-AC37+AC39</f>
        <v>344.79999999999711</v>
      </c>
      <c r="AD40">
        <v>53642</v>
      </c>
      <c r="AE40">
        <f>AD40-AC38</f>
        <v>446</v>
      </c>
      <c r="AF40">
        <v>53925.599999999999</v>
      </c>
      <c r="AN40" s="778">
        <v>49</v>
      </c>
    </row>
    <row r="41" spans="2:76" x14ac:dyDescent="0.3">
      <c r="N41">
        <v>91151.5</v>
      </c>
      <c r="O41">
        <f>N42-N41</f>
        <v>734</v>
      </c>
      <c r="X41" s="102"/>
      <c r="AF41">
        <f>AF40-20.4</f>
        <v>53905.2</v>
      </c>
      <c r="AN41" s="779"/>
    </row>
    <row r="42" spans="2:76" x14ac:dyDescent="0.3">
      <c r="N42">
        <v>91885.5</v>
      </c>
      <c r="X42" s="102"/>
      <c r="AF42">
        <f>AF41-AD40</f>
        <v>263.19999999999709</v>
      </c>
      <c r="AN42" s="780"/>
    </row>
    <row r="43" spans="2:76" x14ac:dyDescent="0.3">
      <c r="E43" t="str">
        <f>TEXT(E44,"dddd")</f>
        <v>sábado</v>
      </c>
      <c r="F43" t="str">
        <f>TEXT(F44,"dddd")</f>
        <v>domingo</v>
      </c>
      <c r="L43" t="str">
        <f>TEXT(L44,"dddd")</f>
        <v>sábado</v>
      </c>
      <c r="M43" t="str">
        <f>TEXT(M44,"dddd")</f>
        <v>domingo</v>
      </c>
      <c r="S43" t="str">
        <f>TEXT(S44,"dddd")</f>
        <v>sábado</v>
      </c>
      <c r="T43" t="str">
        <f>TEXT(T44,"dddd")</f>
        <v>domingo</v>
      </c>
      <c r="Z43" t="str">
        <f>TEXT(Z44,"dddd")</f>
        <v>sábado</v>
      </c>
      <c r="AA43" t="str">
        <f>TEXT(AA44,"dddd")</f>
        <v>domingo</v>
      </c>
      <c r="AG43" t="str">
        <f>TEXT(AG44,"dddd")</f>
        <v>sábado</v>
      </c>
      <c r="AN43" s="778">
        <v>33</v>
      </c>
    </row>
    <row r="44" spans="2:76" x14ac:dyDescent="0.3">
      <c r="B44" s="141" t="s">
        <v>117</v>
      </c>
      <c r="C44" s="141" t="s">
        <v>118</v>
      </c>
      <c r="D44" s="140">
        <v>45170</v>
      </c>
      <c r="E44" s="140">
        <v>45171</v>
      </c>
      <c r="F44" s="140">
        <v>45172</v>
      </c>
      <c r="G44" s="140">
        <v>45173</v>
      </c>
      <c r="H44" s="140">
        <v>45174</v>
      </c>
      <c r="I44" s="140">
        <v>45175</v>
      </c>
      <c r="J44" s="140">
        <v>45176</v>
      </c>
      <c r="K44" s="140">
        <v>45177</v>
      </c>
      <c r="L44" s="140">
        <v>45178</v>
      </c>
      <c r="M44" s="140">
        <v>45179</v>
      </c>
      <c r="N44" s="140">
        <v>45180</v>
      </c>
      <c r="O44" s="140">
        <v>45181</v>
      </c>
      <c r="P44" s="140">
        <v>45182</v>
      </c>
      <c r="Q44" s="140">
        <v>45183</v>
      </c>
      <c r="R44" s="140">
        <v>45184</v>
      </c>
      <c r="S44" s="140">
        <v>45185</v>
      </c>
      <c r="T44" s="140">
        <v>45186</v>
      </c>
      <c r="U44" s="140">
        <v>45187</v>
      </c>
      <c r="V44" s="140">
        <v>45188</v>
      </c>
      <c r="W44" s="140">
        <v>45189</v>
      </c>
      <c r="X44" s="140">
        <v>45190</v>
      </c>
      <c r="Y44" s="140">
        <v>45191</v>
      </c>
      <c r="Z44" s="140">
        <v>45192</v>
      </c>
      <c r="AA44" s="140">
        <v>45193</v>
      </c>
      <c r="AB44" s="140">
        <v>45194</v>
      </c>
      <c r="AC44" s="140">
        <v>45195</v>
      </c>
      <c r="AD44" s="140">
        <v>45196</v>
      </c>
      <c r="AE44" s="140">
        <v>45197</v>
      </c>
      <c r="AF44" s="140">
        <v>45198</v>
      </c>
      <c r="AG44" s="140">
        <v>45199</v>
      </c>
      <c r="AH44" s="281"/>
      <c r="AM44" s="63">
        <v>19.7</v>
      </c>
      <c r="AN44" s="779"/>
    </row>
    <row r="45" spans="2:76" x14ac:dyDescent="0.3">
      <c r="B45" s="751" t="s">
        <v>6</v>
      </c>
      <c r="C45" s="18" t="s">
        <v>7</v>
      </c>
      <c r="D45" s="163">
        <f>D5+Agosto23!AF41</f>
        <v>48881.599999999999</v>
      </c>
      <c r="E45" s="164">
        <f t="shared" ref="E45:F55" si="59">D45+E5</f>
        <v>48927.1</v>
      </c>
      <c r="F45" s="164">
        <f t="shared" si="59"/>
        <v>48976.9</v>
      </c>
      <c r="G45" s="165">
        <v>49036.4</v>
      </c>
      <c r="H45" s="166">
        <v>49076</v>
      </c>
      <c r="I45" s="163">
        <f t="shared" ref="I45:V45" si="60">H45+I5</f>
        <v>49096</v>
      </c>
      <c r="J45" s="163">
        <f t="shared" si="60"/>
        <v>49137.599999999999</v>
      </c>
      <c r="K45" s="163">
        <f t="shared" si="60"/>
        <v>49172.7</v>
      </c>
      <c r="L45" s="163">
        <f t="shared" si="60"/>
        <v>49206.299999999996</v>
      </c>
      <c r="M45" s="163">
        <f t="shared" si="60"/>
        <v>49242.999999999993</v>
      </c>
      <c r="N45" s="163">
        <f t="shared" si="60"/>
        <v>49262.099999999991</v>
      </c>
      <c r="O45" s="163">
        <f t="shared" si="60"/>
        <v>49277.69999999999</v>
      </c>
      <c r="P45" s="163">
        <f t="shared" si="60"/>
        <v>49310.799999999988</v>
      </c>
      <c r="Q45" s="163">
        <f t="shared" si="60"/>
        <v>49336.499999999985</v>
      </c>
      <c r="R45" s="163">
        <f t="shared" si="60"/>
        <v>49374.799999999988</v>
      </c>
      <c r="S45" s="163">
        <f t="shared" si="60"/>
        <v>49399.499999999985</v>
      </c>
      <c r="T45" s="163">
        <f t="shared" si="60"/>
        <v>49437.599999999984</v>
      </c>
      <c r="U45" s="163">
        <f t="shared" si="60"/>
        <v>49477.599999999984</v>
      </c>
      <c r="V45" s="163">
        <f t="shared" si="60"/>
        <v>49525.099999999984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f>20.7+88.5</f>
        <v>109.2</v>
      </c>
      <c r="AN45" s="780"/>
    </row>
    <row r="46" spans="2:76" x14ac:dyDescent="0.3">
      <c r="B46" s="752"/>
      <c r="C46" s="18" t="s">
        <v>8</v>
      </c>
      <c r="D46" s="163">
        <f>D6+Agosto23!AF42</f>
        <v>99020.5</v>
      </c>
      <c r="E46" s="164">
        <f t="shared" si="59"/>
        <v>99306.5</v>
      </c>
      <c r="F46" s="164">
        <f t="shared" si="59"/>
        <v>99618.8</v>
      </c>
      <c r="G46" s="165">
        <f>21775+78123.8</f>
        <v>99898.8</v>
      </c>
      <c r="H46" s="166">
        <f>21823+78322.8</f>
        <v>100145.8</v>
      </c>
      <c r="I46" s="163">
        <f t="shared" ref="I46:V46" si="61">H46+I6</f>
        <v>100196.6</v>
      </c>
      <c r="J46" s="163">
        <f t="shared" si="61"/>
        <v>100434.40000000001</v>
      </c>
      <c r="K46" s="163">
        <f t="shared" si="61"/>
        <v>100607.90000000001</v>
      </c>
      <c r="L46" s="163">
        <f t="shared" si="61"/>
        <v>100818.3</v>
      </c>
      <c r="M46" s="163">
        <f t="shared" si="61"/>
        <v>101079.5</v>
      </c>
      <c r="N46" s="163">
        <f t="shared" si="61"/>
        <v>101189.4</v>
      </c>
      <c r="O46" s="163">
        <f t="shared" si="61"/>
        <v>101279.7</v>
      </c>
      <c r="P46" s="163">
        <f t="shared" si="61"/>
        <v>101480.7</v>
      </c>
      <c r="Q46" s="163">
        <f t="shared" si="61"/>
        <v>101665.7</v>
      </c>
      <c r="R46" s="163">
        <f t="shared" si="61"/>
        <v>101903.7</v>
      </c>
      <c r="S46" s="163">
        <f t="shared" si="61"/>
        <v>102107.2</v>
      </c>
      <c r="T46" s="163">
        <f t="shared" si="61"/>
        <v>102364.2</v>
      </c>
      <c r="U46" s="163">
        <f t="shared" si="61"/>
        <v>102622.2</v>
      </c>
      <c r="V46" s="163">
        <f t="shared" si="61"/>
        <v>102900.3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82.2</v>
      </c>
      <c r="AN46" s="778">
        <v>12</v>
      </c>
    </row>
    <row r="47" spans="2:76" x14ac:dyDescent="0.3">
      <c r="B47" s="752"/>
      <c r="C47" s="18" t="s">
        <v>9</v>
      </c>
      <c r="D47" s="163">
        <f>D7+Agosto23!AF43</f>
        <v>69859.7</v>
      </c>
      <c r="E47" s="164">
        <f t="shared" si="59"/>
        <v>70082.399999999994</v>
      </c>
      <c r="F47" s="164">
        <f t="shared" si="59"/>
        <v>70322.2</v>
      </c>
      <c r="G47" s="165">
        <v>70458.2</v>
      </c>
      <c r="H47" s="166">
        <v>70615.5</v>
      </c>
      <c r="I47" s="163">
        <f t="shared" ref="I47:T47" si="62">H47+I7</f>
        <v>70705.899999999994</v>
      </c>
      <c r="J47" s="163">
        <f t="shared" si="62"/>
        <v>70897.099999999991</v>
      </c>
      <c r="K47" s="163">
        <f t="shared" si="62"/>
        <v>71052.099999999991</v>
      </c>
      <c r="L47" s="163">
        <f t="shared" si="62"/>
        <v>71215.399999999994</v>
      </c>
      <c r="M47" s="163">
        <f t="shared" si="62"/>
        <v>71409.099999999991</v>
      </c>
      <c r="N47" s="163">
        <f t="shared" si="62"/>
        <v>71498.799999999988</v>
      </c>
      <c r="O47" s="163">
        <f t="shared" si="62"/>
        <v>71570.799999999988</v>
      </c>
      <c r="P47" s="163">
        <f t="shared" si="62"/>
        <v>71711.399999999994</v>
      </c>
      <c r="Q47" s="163">
        <f t="shared" si="62"/>
        <v>71833.899999999994</v>
      </c>
      <c r="R47" s="163">
        <f t="shared" si="62"/>
        <v>72040.399999999994</v>
      </c>
      <c r="S47" s="163">
        <f t="shared" si="62"/>
        <v>72178.799999999988</v>
      </c>
      <c r="T47" s="163">
        <f t="shared" si="62"/>
        <v>72388.099999999991</v>
      </c>
      <c r="U47" s="163" t="e">
        <f>T47+#REF!</f>
        <v>#REF!</v>
      </c>
      <c r="V47" s="163" t="e">
        <f t="shared" ref="V47:V55" si="63">U47+V7</f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57.3</v>
      </c>
      <c r="AN47" s="779"/>
    </row>
    <row r="48" spans="2:76" x14ac:dyDescent="0.3">
      <c r="B48" s="752"/>
      <c r="C48" s="18" t="s">
        <v>10</v>
      </c>
      <c r="D48" s="163">
        <f>D8+Agosto23!AF44</f>
        <v>95729.2</v>
      </c>
      <c r="E48" s="164">
        <f t="shared" si="59"/>
        <v>95862</v>
      </c>
      <c r="F48" s="164">
        <f t="shared" si="59"/>
        <v>95994.8</v>
      </c>
      <c r="G48" s="165">
        <v>96154</v>
      </c>
      <c r="H48" s="166">
        <v>96261.9</v>
      </c>
      <c r="I48" s="163" t="e">
        <f>H48+#REF!</f>
        <v>#REF!</v>
      </c>
      <c r="J48" s="163" t="e">
        <f t="shared" ref="J48:T48" si="64">I48+J8</f>
        <v>#REF!</v>
      </c>
      <c r="K48" s="163" t="e">
        <f t="shared" si="64"/>
        <v>#REF!</v>
      </c>
      <c r="L48" s="163" t="e">
        <f t="shared" si="64"/>
        <v>#REF!</v>
      </c>
      <c r="M48" s="163" t="e">
        <f t="shared" si="64"/>
        <v>#REF!</v>
      </c>
      <c r="N48" s="163" t="e">
        <f t="shared" si="64"/>
        <v>#REF!</v>
      </c>
      <c r="O48" s="163" t="e">
        <f t="shared" si="64"/>
        <v>#REF!</v>
      </c>
      <c r="P48" s="163" t="e">
        <f t="shared" si="64"/>
        <v>#REF!</v>
      </c>
      <c r="Q48" s="163" t="e">
        <f t="shared" si="64"/>
        <v>#REF!</v>
      </c>
      <c r="R48" s="163" t="e">
        <f t="shared" si="64"/>
        <v>#REF!</v>
      </c>
      <c r="S48" s="163" t="e">
        <f t="shared" si="64"/>
        <v>#REF!</v>
      </c>
      <c r="T48" s="163" t="e">
        <f t="shared" si="64"/>
        <v>#REF!</v>
      </c>
      <c r="U48" s="163" t="e">
        <f>T48+#REF!</f>
        <v>#REF!</v>
      </c>
      <c r="V48" s="163" t="e">
        <f t="shared" si="63"/>
        <v>#REF!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17.7</v>
      </c>
      <c r="AN48" s="780"/>
    </row>
    <row r="49" spans="2:40" x14ac:dyDescent="0.3">
      <c r="B49" s="752"/>
      <c r="C49" s="18" t="s">
        <v>11</v>
      </c>
      <c r="D49" s="163">
        <f>D10+Agosto23!AF45</f>
        <v>18806.400000000001</v>
      </c>
      <c r="E49" s="164">
        <f t="shared" si="59"/>
        <v>18853.300000000003</v>
      </c>
      <c r="F49" s="164">
        <f t="shared" si="59"/>
        <v>18911.600000000002</v>
      </c>
      <c r="G49" s="165">
        <v>18957</v>
      </c>
      <c r="H49" s="166">
        <v>18998</v>
      </c>
      <c r="I49" s="163">
        <f>H49+I9</f>
        <v>18998</v>
      </c>
      <c r="J49" s="163">
        <f>I49+J10</f>
        <v>18998</v>
      </c>
      <c r="K49" s="163">
        <f>J49+K10</f>
        <v>18998</v>
      </c>
      <c r="L49" s="163">
        <f t="shared" ref="L49:O50" si="65">K49+L9</f>
        <v>18998</v>
      </c>
      <c r="M49" s="163">
        <f t="shared" si="65"/>
        <v>19054</v>
      </c>
      <c r="N49" s="163">
        <f t="shared" si="65"/>
        <v>19075.2</v>
      </c>
      <c r="O49" s="163">
        <f t="shared" si="65"/>
        <v>19091.5</v>
      </c>
      <c r="P49" s="163">
        <f>O49+P10</f>
        <v>19129.099999999999</v>
      </c>
      <c r="Q49" s="163">
        <f t="shared" ref="Q49:T53" si="66">P49+Q9</f>
        <v>19159.599999999999</v>
      </c>
      <c r="R49" s="163">
        <f t="shared" si="66"/>
        <v>19212.899999999998</v>
      </c>
      <c r="S49" s="163">
        <f t="shared" si="66"/>
        <v>19256.3</v>
      </c>
      <c r="T49" s="163">
        <f t="shared" si="66"/>
        <v>19302.2</v>
      </c>
      <c r="U49" s="163">
        <f>T49+U7</f>
        <v>19501.3</v>
      </c>
      <c r="V49" s="163">
        <f t="shared" si="63"/>
        <v>19555.899999999998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37.700000000000003</v>
      </c>
      <c r="AN49" s="778">
        <v>25</v>
      </c>
    </row>
    <row r="50" spans="2:40" x14ac:dyDescent="0.3">
      <c r="B50" s="752"/>
      <c r="C50" s="18" t="s">
        <v>12</v>
      </c>
      <c r="D50" s="163" t="e">
        <f>#REF!+Agosto23!AF46</f>
        <v>#REF!</v>
      </c>
      <c r="E50" s="164" t="e">
        <f t="shared" si="59"/>
        <v>#REF!</v>
      </c>
      <c r="F50" s="164" t="e">
        <f t="shared" si="59"/>
        <v>#REF!</v>
      </c>
      <c r="G50" s="165">
        <v>58550</v>
      </c>
      <c r="H50" s="166">
        <v>58640</v>
      </c>
      <c r="I50" s="163">
        <f>H50+I8</f>
        <v>58692</v>
      </c>
      <c r="J50" s="163" t="e">
        <f>I50+#REF!</f>
        <v>#REF!</v>
      </c>
      <c r="K50" s="163" t="e">
        <f>J50+#REF!</f>
        <v>#REF!</v>
      </c>
      <c r="L50" s="163" t="e">
        <f t="shared" si="65"/>
        <v>#REF!</v>
      </c>
      <c r="M50" s="163" t="e">
        <f t="shared" si="65"/>
        <v>#REF!</v>
      </c>
      <c r="N50" s="163" t="e">
        <f t="shared" si="65"/>
        <v>#REF!</v>
      </c>
      <c r="O50" s="163" t="e">
        <f t="shared" si="65"/>
        <v>#REF!</v>
      </c>
      <c r="P50" s="163" t="e">
        <f>O50+#REF!</f>
        <v>#REF!</v>
      </c>
      <c r="Q50" s="163" t="e">
        <f t="shared" si="66"/>
        <v>#REF!</v>
      </c>
      <c r="R50" s="163" t="e">
        <f t="shared" si="66"/>
        <v>#REF!</v>
      </c>
      <c r="S50" s="163" t="e">
        <f t="shared" si="66"/>
        <v>#REF!</v>
      </c>
      <c r="T50" s="163" t="e">
        <f t="shared" si="66"/>
        <v>#REF!</v>
      </c>
      <c r="U50" s="163" t="e">
        <f>T50+U8</f>
        <v>#REF!</v>
      </c>
      <c r="V50" s="163" t="e">
        <f t="shared" si="63"/>
        <v>#REF!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63">
        <v>151.30000000000001</v>
      </c>
      <c r="AN50" s="779"/>
    </row>
    <row r="51" spans="2:40" x14ac:dyDescent="0.3">
      <c r="B51" s="752"/>
      <c r="C51" s="18" t="s">
        <v>13</v>
      </c>
      <c r="D51" s="163">
        <f>D11+Agosto23!AF47</f>
        <v>230278.5</v>
      </c>
      <c r="E51" s="164">
        <f t="shared" si="59"/>
        <v>230627</v>
      </c>
      <c r="F51" s="164">
        <f t="shared" si="59"/>
        <v>230967.5</v>
      </c>
      <c r="G51" s="165">
        <v>231148.9</v>
      </c>
      <c r="H51" s="166">
        <v>231319.5</v>
      </c>
      <c r="I51" s="163">
        <f t="shared" ref="I51:L55" si="67">H51+I11</f>
        <v>231471.4</v>
      </c>
      <c r="J51" s="163">
        <f t="shared" si="67"/>
        <v>231713.1</v>
      </c>
      <c r="K51" s="163">
        <f t="shared" si="67"/>
        <v>231912.6</v>
      </c>
      <c r="L51" s="163">
        <f t="shared" si="67"/>
        <v>232146.4</v>
      </c>
      <c r="M51" s="163">
        <f>L51+M12</f>
        <v>232458.4</v>
      </c>
      <c r="N51" s="163">
        <f t="shared" ref="N51:P55" si="68">M51+N11</f>
        <v>232578.5</v>
      </c>
      <c r="O51" s="163">
        <f t="shared" si="68"/>
        <v>232732.7</v>
      </c>
      <c r="P51" s="163">
        <f t="shared" si="68"/>
        <v>232744.90000000002</v>
      </c>
      <c r="Q51" s="163">
        <f t="shared" si="66"/>
        <v>232860.7</v>
      </c>
      <c r="R51" s="163">
        <f t="shared" si="66"/>
        <v>232993.30000000002</v>
      </c>
      <c r="S51" s="163">
        <f t="shared" si="66"/>
        <v>233097.30000000002</v>
      </c>
      <c r="T51" s="163">
        <f t="shared" si="66"/>
        <v>233216.00000000003</v>
      </c>
      <c r="U51" s="163">
        <f>T51+U11</f>
        <v>233340.00000000003</v>
      </c>
      <c r="V51" s="163">
        <f t="shared" si="63"/>
        <v>233410.80000000002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82">
        <v>81.099999999999994</v>
      </c>
      <c r="AN51" s="780"/>
    </row>
    <row r="52" spans="2:40" x14ac:dyDescent="0.3">
      <c r="B52" s="753"/>
      <c r="C52" s="18" t="s">
        <v>14</v>
      </c>
      <c r="D52" s="163">
        <f>D12+Agosto23!AF48</f>
        <v>824</v>
      </c>
      <c r="E52" s="164">
        <f t="shared" si="59"/>
        <v>1074</v>
      </c>
      <c r="F52" s="164">
        <f t="shared" si="59"/>
        <v>1384</v>
      </c>
      <c r="G52" s="165">
        <v>1440</v>
      </c>
      <c r="H52" s="166">
        <v>1620</v>
      </c>
      <c r="I52" s="163">
        <f t="shared" si="67"/>
        <v>1722</v>
      </c>
      <c r="J52" s="163">
        <f t="shared" si="67"/>
        <v>1922</v>
      </c>
      <c r="K52" s="163">
        <f t="shared" si="67"/>
        <v>2117</v>
      </c>
      <c r="L52" s="163">
        <f t="shared" si="67"/>
        <v>2307</v>
      </c>
      <c r="M52" s="163">
        <f>L52+M13</f>
        <v>2759</v>
      </c>
      <c r="N52" s="163">
        <f t="shared" si="68"/>
        <v>2857</v>
      </c>
      <c r="O52" s="163">
        <f t="shared" si="68"/>
        <v>2942</v>
      </c>
      <c r="P52" s="163">
        <f t="shared" si="68"/>
        <v>3142</v>
      </c>
      <c r="Q52" s="163">
        <f t="shared" si="66"/>
        <v>3327</v>
      </c>
      <c r="R52" s="163">
        <f t="shared" si="66"/>
        <v>3592</v>
      </c>
      <c r="S52" s="163">
        <f t="shared" si="66"/>
        <v>3781</v>
      </c>
      <c r="T52" s="163">
        <f t="shared" si="66"/>
        <v>3961</v>
      </c>
      <c r="U52" s="163">
        <f>T52+U12</f>
        <v>4201</v>
      </c>
      <c r="V52" s="163">
        <f t="shared" si="63"/>
        <v>4439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156.9</v>
      </c>
      <c r="AN52" s="778">
        <v>78</v>
      </c>
    </row>
    <row r="53" spans="2:40" x14ac:dyDescent="0.3">
      <c r="B53" s="751" t="s">
        <v>16</v>
      </c>
      <c r="C53" s="18" t="s">
        <v>17</v>
      </c>
      <c r="D53" s="163">
        <f>D13+Agosto23!AF49</f>
        <v>137292.80000000002</v>
      </c>
      <c r="E53" s="164">
        <f t="shared" si="59"/>
        <v>137685.50000000003</v>
      </c>
      <c r="F53" s="164">
        <f t="shared" si="59"/>
        <v>138152.80000000002</v>
      </c>
      <c r="G53" s="165">
        <v>138545</v>
      </c>
      <c r="H53" s="166">
        <v>138937</v>
      </c>
      <c r="I53" s="163">
        <f t="shared" si="67"/>
        <v>139132.20000000001</v>
      </c>
      <c r="J53" s="163">
        <f t="shared" si="67"/>
        <v>139451.70000000001</v>
      </c>
      <c r="K53" s="163">
        <f t="shared" si="67"/>
        <v>139731.90000000002</v>
      </c>
      <c r="L53" s="163">
        <f t="shared" si="67"/>
        <v>140011.30000000002</v>
      </c>
      <c r="M53" s="163" t="e">
        <f>L53+#REF!</f>
        <v>#REF!</v>
      </c>
      <c r="N53" s="163" t="e">
        <f t="shared" si="68"/>
        <v>#REF!</v>
      </c>
      <c r="O53" s="163" t="e">
        <f t="shared" si="68"/>
        <v>#REF!</v>
      </c>
      <c r="P53" s="163" t="e">
        <f t="shared" si="68"/>
        <v>#REF!</v>
      </c>
      <c r="Q53" s="163" t="e">
        <f t="shared" si="66"/>
        <v>#REF!</v>
      </c>
      <c r="R53" s="163" t="e">
        <f t="shared" si="66"/>
        <v>#REF!</v>
      </c>
      <c r="S53" s="163" t="e">
        <f t="shared" si="66"/>
        <v>#REF!</v>
      </c>
      <c r="T53" s="163" t="e">
        <f t="shared" si="66"/>
        <v>#REF!</v>
      </c>
      <c r="U53" s="163" t="e">
        <f>T53+U13</f>
        <v>#REF!</v>
      </c>
      <c r="V53" s="163" t="e">
        <f t="shared" si="63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195.6</v>
      </c>
      <c r="AN53" s="779"/>
    </row>
    <row r="54" spans="2:40" x14ac:dyDescent="0.3">
      <c r="B54" s="752"/>
      <c r="C54" s="18" t="s">
        <v>18</v>
      </c>
      <c r="D54" s="163">
        <f>D14+Agosto23!AF50</f>
        <v>127697</v>
      </c>
      <c r="E54" s="164">
        <f t="shared" si="59"/>
        <v>128158.8</v>
      </c>
      <c r="F54" s="164">
        <f t="shared" si="59"/>
        <v>128626.1</v>
      </c>
      <c r="G54" s="165">
        <v>128878</v>
      </c>
      <c r="H54" s="166">
        <v>129112</v>
      </c>
      <c r="I54" s="163">
        <f t="shared" si="67"/>
        <v>129319</v>
      </c>
      <c r="J54" s="163">
        <f t="shared" si="67"/>
        <v>129655.9</v>
      </c>
      <c r="K54" s="163">
        <f t="shared" si="67"/>
        <v>129943.2</v>
      </c>
      <c r="L54" s="163">
        <f t="shared" si="67"/>
        <v>130285.09999999999</v>
      </c>
      <c r="M54" s="163">
        <f>L54+M14</f>
        <v>130761.79999999999</v>
      </c>
      <c r="N54" s="163">
        <f t="shared" si="68"/>
        <v>130924.09999999999</v>
      </c>
      <c r="O54" s="163">
        <f t="shared" si="68"/>
        <v>131128.09999999998</v>
      </c>
      <c r="P54" s="163">
        <f t="shared" si="68"/>
        <v>131487.79999999999</v>
      </c>
      <c r="Q54" s="163">
        <f t="shared" ref="Q54:S55" si="69">P54+Q14</f>
        <v>131828.5</v>
      </c>
      <c r="R54" s="163">
        <f t="shared" si="69"/>
        <v>132319.70000000001</v>
      </c>
      <c r="S54" s="163">
        <f t="shared" si="69"/>
        <v>132645.6</v>
      </c>
      <c r="T54" s="163" t="e">
        <f>S54+#REF!</f>
        <v>#REF!</v>
      </c>
      <c r="U54" s="163" t="e">
        <f>T54+U14</f>
        <v>#REF!</v>
      </c>
      <c r="V54" s="163" t="e">
        <f t="shared" si="63"/>
        <v>#REF!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55.4</v>
      </c>
      <c r="AN54" s="780"/>
    </row>
    <row r="55" spans="2:40" x14ac:dyDescent="0.3">
      <c r="B55" s="752"/>
      <c r="C55" s="18" t="s">
        <v>19</v>
      </c>
      <c r="D55" s="163">
        <f>D15+Agosto23!AF51</f>
        <v>37824.9</v>
      </c>
      <c r="E55" s="164">
        <f t="shared" si="59"/>
        <v>37956.700000000004</v>
      </c>
      <c r="F55" s="164">
        <f t="shared" si="59"/>
        <v>38088.300000000003</v>
      </c>
      <c r="G55" s="165">
        <v>38160</v>
      </c>
      <c r="H55" s="166">
        <v>38222</v>
      </c>
      <c r="I55" s="163">
        <f t="shared" si="67"/>
        <v>38277</v>
      </c>
      <c r="J55" s="163">
        <f t="shared" si="67"/>
        <v>38373.9</v>
      </c>
      <c r="K55" s="163">
        <f t="shared" si="67"/>
        <v>38455.1</v>
      </c>
      <c r="L55" s="163">
        <f t="shared" si="67"/>
        <v>38551.9</v>
      </c>
      <c r="M55" s="163">
        <f>L55+M15</f>
        <v>38680.5</v>
      </c>
      <c r="N55" s="163">
        <f t="shared" si="68"/>
        <v>38723.4</v>
      </c>
      <c r="O55" s="163">
        <f t="shared" si="68"/>
        <v>38779.9</v>
      </c>
      <c r="P55" s="163">
        <f t="shared" si="68"/>
        <v>38821.300000000003</v>
      </c>
      <c r="Q55" s="163">
        <f t="shared" si="69"/>
        <v>38897.9</v>
      </c>
      <c r="R55" s="163">
        <f t="shared" si="69"/>
        <v>39034.200000000004</v>
      </c>
      <c r="S55" s="163">
        <f t="shared" si="69"/>
        <v>39129.800000000003</v>
      </c>
      <c r="T55" s="163">
        <f>S55+T15</f>
        <v>39235</v>
      </c>
      <c r="U55" s="163">
        <f>T55+U15</f>
        <v>39352.300000000003</v>
      </c>
      <c r="V55" s="163">
        <f t="shared" si="63"/>
        <v>39487.300000000003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>
        <v>183.6</v>
      </c>
      <c r="AN55" s="778">
        <v>60</v>
      </c>
    </row>
    <row r="56" spans="2:40" x14ac:dyDescent="0.3">
      <c r="B56" s="753"/>
      <c r="C56" s="18" t="s">
        <v>20</v>
      </c>
      <c r="D56" s="163">
        <f>D17+Agosto23!AF52</f>
        <v>97337.799999999988</v>
      </c>
      <c r="E56" s="164">
        <f t="shared" ref="E56:F60" si="70">D56+E17</f>
        <v>97763.099999999991</v>
      </c>
      <c r="F56" s="164">
        <f t="shared" si="70"/>
        <v>98283.9</v>
      </c>
      <c r="G56" s="165">
        <v>98510</v>
      </c>
      <c r="H56" s="166">
        <v>98809</v>
      </c>
      <c r="I56" s="163">
        <f t="shared" ref="I56:V60" si="71">H56+I17</f>
        <v>99037.4</v>
      </c>
      <c r="J56" s="163">
        <f t="shared" si="71"/>
        <v>99442.099999999991</v>
      </c>
      <c r="K56" s="163">
        <f t="shared" si="71"/>
        <v>99766.9</v>
      </c>
      <c r="L56" s="163">
        <f t="shared" si="71"/>
        <v>100141.5</v>
      </c>
      <c r="M56" s="163">
        <f t="shared" si="71"/>
        <v>100611.9</v>
      </c>
      <c r="N56" s="163">
        <f t="shared" si="71"/>
        <v>100831.4</v>
      </c>
      <c r="O56" s="163">
        <f t="shared" si="71"/>
        <v>100998.9</v>
      </c>
      <c r="P56" s="163">
        <f t="shared" si="71"/>
        <v>101309.2</v>
      </c>
      <c r="Q56" s="163">
        <f t="shared" si="71"/>
        <v>101582.5</v>
      </c>
      <c r="R56" s="163">
        <f t="shared" si="71"/>
        <v>102017.2</v>
      </c>
      <c r="S56" s="163">
        <f t="shared" si="71"/>
        <v>102393.9</v>
      </c>
      <c r="T56" s="163">
        <f>S56+T14</f>
        <v>102753.2</v>
      </c>
      <c r="U56" s="163">
        <f t="shared" si="71"/>
        <v>102948.3</v>
      </c>
      <c r="V56" s="163">
        <f t="shared" si="71"/>
        <v>103407.6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 t="s">
        <v>31</v>
      </c>
      <c r="AN56" s="779"/>
    </row>
    <row r="57" spans="2:40" x14ac:dyDescent="0.3">
      <c r="B57" s="754" t="s">
        <v>21</v>
      </c>
      <c r="C57" s="18" t="s">
        <v>22</v>
      </c>
      <c r="D57" s="163">
        <f>D18+Agosto23!AF53</f>
        <v>66154.3</v>
      </c>
      <c r="E57" s="164">
        <f t="shared" si="70"/>
        <v>66666.5</v>
      </c>
      <c r="F57" s="164">
        <f t="shared" si="70"/>
        <v>67187.100000000006</v>
      </c>
      <c r="G57" s="165">
        <v>67299</v>
      </c>
      <c r="H57" s="166">
        <v>67726</v>
      </c>
      <c r="I57" s="163">
        <f t="shared" si="71"/>
        <v>68047.8</v>
      </c>
      <c r="J57" s="163">
        <f t="shared" si="71"/>
        <v>68422.8</v>
      </c>
      <c r="K57" s="163" t="e">
        <f>J57+#REF!</f>
        <v>#REF!</v>
      </c>
      <c r="L57" s="163" t="e">
        <f>K57+#REF!</f>
        <v>#REF!</v>
      </c>
      <c r="M57" s="163" t="e">
        <f t="shared" si="71"/>
        <v>#REF!</v>
      </c>
      <c r="N57" s="163" t="e">
        <f>M57+N19</f>
        <v>#REF!</v>
      </c>
      <c r="O57" s="163" t="e">
        <f t="shared" si="71"/>
        <v>#REF!</v>
      </c>
      <c r="P57" s="163" t="e">
        <f t="shared" si="71"/>
        <v>#REF!</v>
      </c>
      <c r="Q57" s="163" t="e">
        <f t="shared" si="71"/>
        <v>#REF!</v>
      </c>
      <c r="R57" s="163" t="e">
        <f t="shared" si="71"/>
        <v>#REF!</v>
      </c>
      <c r="S57" s="163" t="e">
        <f t="shared" si="71"/>
        <v>#REF!</v>
      </c>
      <c r="T57" s="163" t="e">
        <f t="shared" si="71"/>
        <v>#REF!</v>
      </c>
      <c r="U57" s="163" t="e">
        <f t="shared" si="71"/>
        <v>#REF!</v>
      </c>
      <c r="V57" s="163" t="e">
        <f t="shared" si="71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40.200000000000003</v>
      </c>
      <c r="AN57" s="780"/>
    </row>
    <row r="58" spans="2:40" x14ac:dyDescent="0.3">
      <c r="B58" s="754"/>
      <c r="C58" s="18" t="s">
        <v>23</v>
      </c>
      <c r="D58" s="163">
        <f>D19+Agosto23!AF54</f>
        <v>74707</v>
      </c>
      <c r="E58" s="164">
        <f t="shared" si="70"/>
        <v>75215.8</v>
      </c>
      <c r="F58" s="164">
        <f t="shared" si="70"/>
        <v>75713.2</v>
      </c>
      <c r="G58" s="165">
        <v>75901</v>
      </c>
      <c r="H58" s="166">
        <v>76333</v>
      </c>
      <c r="I58" s="163">
        <f t="shared" si="71"/>
        <v>76645.399999999994</v>
      </c>
      <c r="J58" s="163">
        <f t="shared" si="71"/>
        <v>77020.7</v>
      </c>
      <c r="K58" s="163">
        <f t="shared" si="71"/>
        <v>77353.3</v>
      </c>
      <c r="L58" s="163">
        <f>K58+L18</f>
        <v>77532.2</v>
      </c>
      <c r="M58" s="163">
        <f>L58+M20</f>
        <v>77925.5</v>
      </c>
      <c r="N58" s="163" t="e">
        <f>M58+#REF!</f>
        <v>#REF!</v>
      </c>
      <c r="O58" s="163" t="e">
        <f t="shared" si="71"/>
        <v>#REF!</v>
      </c>
      <c r="P58" s="163" t="e">
        <f t="shared" si="71"/>
        <v>#REF!</v>
      </c>
      <c r="Q58" s="163" t="e">
        <f>P58+Q20</f>
        <v>#REF!</v>
      </c>
      <c r="R58" s="163" t="e">
        <f>Q58+#REF!</f>
        <v>#REF!</v>
      </c>
      <c r="S58" s="163" t="e">
        <f t="shared" si="71"/>
        <v>#REF!</v>
      </c>
      <c r="T58" s="163" t="e">
        <f t="shared" si="71"/>
        <v>#REF!</v>
      </c>
      <c r="U58" s="163" t="e">
        <f t="shared" si="71"/>
        <v>#REF!</v>
      </c>
      <c r="V58" s="163" t="e">
        <f t="shared" si="71"/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115</v>
      </c>
      <c r="AN58" s="784">
        <v>100</v>
      </c>
    </row>
    <row r="59" spans="2:40" x14ac:dyDescent="0.3">
      <c r="B59" s="754"/>
      <c r="C59" s="18" t="s">
        <v>24</v>
      </c>
      <c r="D59" s="163">
        <f>D20+Agosto23!AF55</f>
        <v>136373.90000000002</v>
      </c>
      <c r="E59" s="164">
        <f t="shared" si="70"/>
        <v>136806.00000000003</v>
      </c>
      <c r="F59" s="164">
        <f t="shared" si="70"/>
        <v>137180.50000000003</v>
      </c>
      <c r="G59" s="165">
        <v>137294</v>
      </c>
      <c r="H59" s="166">
        <v>137664</v>
      </c>
      <c r="I59" s="163">
        <f>H59+I20</f>
        <v>137934.79999999999</v>
      </c>
      <c r="J59" s="163">
        <f t="shared" si="71"/>
        <v>138251.69999999998</v>
      </c>
      <c r="K59" s="163">
        <f t="shared" si="71"/>
        <v>138541.99999999997</v>
      </c>
      <c r="L59" s="163">
        <f>K59+L22</f>
        <v>138796.39999999997</v>
      </c>
      <c r="M59" s="163" t="e">
        <f>L59+#REF!</f>
        <v>#REF!</v>
      </c>
      <c r="N59" s="163" t="e">
        <f t="shared" si="71"/>
        <v>#REF!</v>
      </c>
      <c r="O59" s="163" t="e">
        <f t="shared" si="71"/>
        <v>#REF!</v>
      </c>
      <c r="P59" s="163" t="e">
        <f t="shared" si="71"/>
        <v>#REF!</v>
      </c>
      <c r="Q59" s="163" t="e">
        <f>P59+#REF!</f>
        <v>#REF!</v>
      </c>
      <c r="R59" s="163" t="e">
        <f t="shared" si="71"/>
        <v>#REF!</v>
      </c>
      <c r="S59" s="163" t="e">
        <f t="shared" si="71"/>
        <v>#REF!</v>
      </c>
      <c r="T59" s="163" t="e">
        <f t="shared" si="71"/>
        <v>#REF!</v>
      </c>
      <c r="U59" s="163" t="e">
        <f>T59+U20</f>
        <v>#REF!</v>
      </c>
      <c r="V59" s="163" t="e">
        <f>U59+#REF!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160.30000000000001</v>
      </c>
      <c r="AN59" s="785"/>
    </row>
    <row r="60" spans="2:40" x14ac:dyDescent="0.3">
      <c r="B60" s="754"/>
      <c r="C60" s="18" t="s">
        <v>25</v>
      </c>
      <c r="D60" s="163">
        <f>D21+Agosto23!AF56</f>
        <v>174816.6</v>
      </c>
      <c r="E60" s="164">
        <f t="shared" si="70"/>
        <v>175371.6</v>
      </c>
      <c r="F60" s="164">
        <f t="shared" si="70"/>
        <v>175856.80000000002</v>
      </c>
      <c r="G60" s="165">
        <v>176032</v>
      </c>
      <c r="H60" s="166">
        <v>176536</v>
      </c>
      <c r="I60" s="163">
        <f>H60+I21</f>
        <v>176870.5</v>
      </c>
      <c r="J60" s="163">
        <f t="shared" si="71"/>
        <v>177256.1</v>
      </c>
      <c r="K60" s="163">
        <f>J60+K18</f>
        <v>177601.80000000002</v>
      </c>
      <c r="L60" s="163">
        <f t="shared" si="71"/>
        <v>177916.40000000002</v>
      </c>
      <c r="M60" s="163">
        <f t="shared" si="71"/>
        <v>178441.80000000002</v>
      </c>
      <c r="N60" s="163">
        <f>M60+N22</f>
        <v>178722.95</v>
      </c>
      <c r="O60" s="163" t="e">
        <f>N60+#REF!</f>
        <v>#REF!</v>
      </c>
      <c r="P60" s="163" t="e">
        <f t="shared" si="71"/>
        <v>#REF!</v>
      </c>
      <c r="Q60" s="163" t="e">
        <f t="shared" si="71"/>
        <v>#REF!</v>
      </c>
      <c r="R60" s="163" t="e">
        <f>Q60+R19</f>
        <v>#REF!</v>
      </c>
      <c r="S60" s="163" t="e">
        <f>R60+S22</f>
        <v>#REF!</v>
      </c>
      <c r="T60" s="163" t="e">
        <f>S60+#REF!</f>
        <v>#REF!</v>
      </c>
      <c r="U60" s="163" t="e">
        <f>T60+U21</f>
        <v>#REF!</v>
      </c>
      <c r="V60" s="163" t="e">
        <f>U60+V20</f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136.9</v>
      </c>
      <c r="AN60" s="786"/>
    </row>
    <row r="61" spans="2:40" x14ac:dyDescent="0.3">
      <c r="B61" s="754"/>
      <c r="C61" s="18" t="s">
        <v>26</v>
      </c>
      <c r="D61" s="163">
        <f>D22+Agosto23!AF57</f>
        <v>82558.100000000006</v>
      </c>
      <c r="E61" s="164">
        <f t="shared" ref="E61:F67" si="72">D61+E22</f>
        <v>83012.800000000003</v>
      </c>
      <c r="F61" s="164">
        <f t="shared" si="72"/>
        <v>83405.600000000006</v>
      </c>
      <c r="G61" s="165">
        <v>83628</v>
      </c>
      <c r="H61" s="166">
        <v>84081</v>
      </c>
      <c r="I61" s="163">
        <f t="shared" ref="I61:L67" si="73">H61+I22</f>
        <v>84358.2</v>
      </c>
      <c r="J61" s="163">
        <f t="shared" si="73"/>
        <v>84678.099999999991</v>
      </c>
      <c r="K61" s="163">
        <f t="shared" si="73"/>
        <v>84981.799999999988</v>
      </c>
      <c r="L61" s="163" t="e">
        <f>K61+#REF!</f>
        <v>#REF!</v>
      </c>
      <c r="M61" s="163" t="e">
        <f>L61+#REF!</f>
        <v>#REF!</v>
      </c>
      <c r="N61" s="163" t="e">
        <f>M61+#REF!</f>
        <v>#REF!</v>
      </c>
      <c r="O61" s="163" t="e">
        <f t="shared" ref="M61:S67" si="74">N61+O22</f>
        <v>#REF!</v>
      </c>
      <c r="P61" s="163" t="e">
        <f t="shared" si="74"/>
        <v>#REF!</v>
      </c>
      <c r="Q61" s="163" t="e">
        <f t="shared" si="74"/>
        <v>#REF!</v>
      </c>
      <c r="R61" s="163" t="e">
        <f t="shared" si="74"/>
        <v>#REF!</v>
      </c>
      <c r="S61" s="163" t="e">
        <f>R61+#REF!</f>
        <v>#REF!</v>
      </c>
      <c r="T61" s="163" t="e">
        <f>S61+T21</f>
        <v>#REF!</v>
      </c>
      <c r="U61" s="163" t="e">
        <f t="shared" ref="T61:V67" si="75">T61+U22</f>
        <v>#REF!</v>
      </c>
      <c r="V61" s="163" t="e">
        <f t="shared" si="75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147.5</v>
      </c>
      <c r="AN61" s="784">
        <v>100</v>
      </c>
    </row>
    <row r="62" spans="2:40" x14ac:dyDescent="0.3">
      <c r="B62" s="754"/>
      <c r="C62" s="18" t="s">
        <v>27</v>
      </c>
      <c r="D62" s="163">
        <f>D23+Agosto23!AF58</f>
        <v>61579.4</v>
      </c>
      <c r="E62" s="164">
        <f t="shared" si="72"/>
        <v>62066.200000000004</v>
      </c>
      <c r="F62" s="164">
        <f t="shared" si="72"/>
        <v>62555.4</v>
      </c>
      <c r="G62" s="165">
        <v>63058</v>
      </c>
      <c r="H62" s="166">
        <v>63281</v>
      </c>
      <c r="I62" s="163">
        <f t="shared" si="73"/>
        <v>63500.9</v>
      </c>
      <c r="J62" s="163">
        <f t="shared" si="73"/>
        <v>63890.3</v>
      </c>
      <c r="K62" s="163">
        <f t="shared" si="73"/>
        <v>64219.5</v>
      </c>
      <c r="L62" s="163">
        <f t="shared" si="73"/>
        <v>64638.9</v>
      </c>
      <c r="M62" s="163" t="e">
        <f>L62+#REF!</f>
        <v>#REF!</v>
      </c>
      <c r="N62" s="163" t="e">
        <f t="shared" si="74"/>
        <v>#REF!</v>
      </c>
      <c r="O62" s="163" t="e">
        <f t="shared" si="74"/>
        <v>#REF!</v>
      </c>
      <c r="P62" s="163" t="e">
        <f t="shared" si="74"/>
        <v>#REF!</v>
      </c>
      <c r="Q62" s="163" t="e">
        <f t="shared" si="74"/>
        <v>#REF!</v>
      </c>
      <c r="R62" s="163" t="e">
        <f t="shared" si="74"/>
        <v>#REF!</v>
      </c>
      <c r="S62" s="163" t="e">
        <f t="shared" si="74"/>
        <v>#REF!</v>
      </c>
      <c r="T62" s="163" t="e">
        <f t="shared" si="75"/>
        <v>#REF!</v>
      </c>
      <c r="U62" s="163" t="e">
        <f t="shared" si="75"/>
        <v>#REF!</v>
      </c>
      <c r="V62" s="163" t="e">
        <f t="shared" si="75"/>
        <v>#REF!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189.83</v>
      </c>
      <c r="AN62" s="785"/>
    </row>
    <row r="63" spans="2:40" x14ac:dyDescent="0.3">
      <c r="B63" s="754"/>
      <c r="C63" s="18" t="s">
        <v>28</v>
      </c>
      <c r="D63" s="163">
        <f>D24+Agosto23!AF59</f>
        <v>87687.37</v>
      </c>
      <c r="E63" s="164">
        <f t="shared" si="72"/>
        <v>88113.87</v>
      </c>
      <c r="F63" s="164">
        <f t="shared" si="72"/>
        <v>88531.37</v>
      </c>
      <c r="G63" s="165">
        <v>87693.64</v>
      </c>
      <c r="H63" s="166">
        <v>87903.16</v>
      </c>
      <c r="I63" s="163">
        <f t="shared" si="73"/>
        <v>88094.760000000009</v>
      </c>
      <c r="J63" s="163">
        <f t="shared" si="73"/>
        <v>88438.260000000009</v>
      </c>
      <c r="K63" s="163">
        <f>J63+K24</f>
        <v>88726.66</v>
      </c>
      <c r="L63" s="163">
        <f t="shared" si="73"/>
        <v>89086.86</v>
      </c>
      <c r="M63" s="163">
        <f>L63+M23</f>
        <v>89546.76</v>
      </c>
      <c r="N63" s="163">
        <f>M63+N25</f>
        <v>90182.76</v>
      </c>
      <c r="O63" s="163">
        <f>N63+O21</f>
        <v>90349.36</v>
      </c>
      <c r="P63" s="163">
        <f t="shared" si="74"/>
        <v>90592.86</v>
      </c>
      <c r="Q63" s="163">
        <f t="shared" si="74"/>
        <v>90901.759999999995</v>
      </c>
      <c r="R63" s="163">
        <f t="shared" si="74"/>
        <v>91320.159999999989</v>
      </c>
      <c r="S63" s="163">
        <f t="shared" si="74"/>
        <v>91645.059999999983</v>
      </c>
      <c r="T63" s="163" t="e">
        <f>S63+#REF!</f>
        <v>#REF!</v>
      </c>
      <c r="U63" s="163" t="e">
        <f t="shared" si="75"/>
        <v>#REF!</v>
      </c>
      <c r="V63" s="163" t="e">
        <f>U63+V24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223.4</v>
      </c>
      <c r="AN63" s="786"/>
    </row>
    <row r="64" spans="2:40" x14ac:dyDescent="0.3">
      <c r="B64" s="754"/>
      <c r="C64" s="18" t="s">
        <v>29</v>
      </c>
      <c r="D64" s="163">
        <f>D25+Agosto23!AF60</f>
        <v>130191.9</v>
      </c>
      <c r="E64" s="164">
        <f t="shared" si="72"/>
        <v>131884.9</v>
      </c>
      <c r="F64" s="164">
        <f t="shared" si="72"/>
        <v>133576.29999999999</v>
      </c>
      <c r="G64" s="165">
        <v>130195</v>
      </c>
      <c r="H64" s="166">
        <v>130451</v>
      </c>
      <c r="I64" s="163">
        <f t="shared" si="73"/>
        <v>131219.4</v>
      </c>
      <c r="J64" s="163">
        <f>I64+J30</f>
        <v>131461.9</v>
      </c>
      <c r="K64" s="163">
        <f>J64+K25</f>
        <v>132618.5</v>
      </c>
      <c r="L64" s="163">
        <f t="shared" si="73"/>
        <v>134077.5</v>
      </c>
      <c r="M64" s="163">
        <f t="shared" si="74"/>
        <v>135690.9</v>
      </c>
      <c r="N64" s="163" t="e">
        <f>M64+#REF!</f>
        <v>#REF!</v>
      </c>
      <c r="O64" s="163" t="e">
        <f t="shared" si="74"/>
        <v>#REF!</v>
      </c>
      <c r="P64" s="163" t="e">
        <f t="shared" si="74"/>
        <v>#REF!</v>
      </c>
      <c r="Q64" s="163" t="e">
        <f t="shared" si="74"/>
        <v>#REF!</v>
      </c>
      <c r="R64" s="163" t="e">
        <f t="shared" si="74"/>
        <v>#REF!</v>
      </c>
      <c r="S64" s="163" t="e">
        <f t="shared" si="74"/>
        <v>#REF!</v>
      </c>
      <c r="T64" s="163" t="e">
        <f t="shared" si="75"/>
        <v>#REF!</v>
      </c>
      <c r="U64" s="163" t="e">
        <f t="shared" si="75"/>
        <v>#REF!</v>
      </c>
      <c r="V64" s="163" t="e">
        <f>U64+#REF!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619</v>
      </c>
      <c r="AN64" s="778">
        <v>29</v>
      </c>
    </row>
    <row r="65" spans="2:40" x14ac:dyDescent="0.3">
      <c r="B65" s="754"/>
      <c r="C65" s="18" t="s">
        <v>30</v>
      </c>
      <c r="D65" s="163">
        <f>D26+Agosto23!AF61</f>
        <v>14546.3</v>
      </c>
      <c r="E65" s="164">
        <f t="shared" si="72"/>
        <v>15034.9</v>
      </c>
      <c r="F65" s="164">
        <f t="shared" si="72"/>
        <v>15600.5</v>
      </c>
      <c r="G65" s="165">
        <v>18667</v>
      </c>
      <c r="H65" s="166">
        <v>19364</v>
      </c>
      <c r="I65" s="163">
        <f t="shared" si="73"/>
        <v>19773.7</v>
      </c>
      <c r="J65" s="163">
        <f t="shared" si="73"/>
        <v>20299.100000000002</v>
      </c>
      <c r="K65" s="163">
        <f t="shared" si="73"/>
        <v>20787.300000000003</v>
      </c>
      <c r="L65" s="163">
        <f t="shared" si="73"/>
        <v>21335.500000000004</v>
      </c>
      <c r="M65" s="163">
        <f t="shared" si="74"/>
        <v>21818.600000000002</v>
      </c>
      <c r="N65" s="163" t="e">
        <f>M65+#REF!</f>
        <v>#REF!</v>
      </c>
      <c r="O65" s="163" t="e">
        <f t="shared" si="74"/>
        <v>#REF!</v>
      </c>
      <c r="P65" s="163" t="e">
        <f t="shared" si="74"/>
        <v>#REF!</v>
      </c>
      <c r="Q65" s="163" t="e">
        <f t="shared" si="74"/>
        <v>#REF!</v>
      </c>
      <c r="R65" s="163" t="e">
        <f t="shared" si="74"/>
        <v>#REF!</v>
      </c>
      <c r="S65" s="163" t="e">
        <f t="shared" si="74"/>
        <v>#REF!</v>
      </c>
      <c r="T65" s="163" t="e">
        <f>S65+T27</f>
        <v>#REF!</v>
      </c>
      <c r="U65" s="163" t="e">
        <f>T65+U27</f>
        <v>#REF!</v>
      </c>
      <c r="V65" s="163" t="e">
        <f>U65+V26</f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219.3</v>
      </c>
      <c r="AN65" s="779"/>
    </row>
    <row r="66" spans="2:40" x14ac:dyDescent="0.3">
      <c r="B66" s="754"/>
      <c r="C66" s="18" t="s">
        <v>111</v>
      </c>
      <c r="D66" s="163">
        <f>D27+Agosto23!AF62</f>
        <v>45216.6</v>
      </c>
      <c r="E66" s="164">
        <f t="shared" si="72"/>
        <v>45656.7</v>
      </c>
      <c r="F66" s="164">
        <f t="shared" si="72"/>
        <v>46117.799999999996</v>
      </c>
      <c r="G66" s="165">
        <v>46772</v>
      </c>
      <c r="H66" s="166">
        <v>47086</v>
      </c>
      <c r="I66" s="163">
        <f t="shared" si="73"/>
        <v>47331.8</v>
      </c>
      <c r="J66" s="163">
        <f t="shared" si="73"/>
        <v>47740.5</v>
      </c>
      <c r="K66" s="163">
        <f t="shared" si="73"/>
        <v>48057.599999999999</v>
      </c>
      <c r="L66" s="163">
        <f t="shared" si="73"/>
        <v>48452.4</v>
      </c>
      <c r="M66" s="163">
        <f t="shared" si="74"/>
        <v>48877.1</v>
      </c>
      <c r="N66" s="163">
        <f>M66+N26</f>
        <v>48961.5</v>
      </c>
      <c r="O66" s="163">
        <f t="shared" si="74"/>
        <v>49142.6</v>
      </c>
      <c r="P66" s="163">
        <f t="shared" si="74"/>
        <v>49406.2</v>
      </c>
      <c r="Q66" s="163">
        <f t="shared" si="74"/>
        <v>49719.899999999994</v>
      </c>
      <c r="R66" s="163">
        <f t="shared" si="74"/>
        <v>50156.499999999993</v>
      </c>
      <c r="S66" s="163">
        <f t="shared" si="74"/>
        <v>50492.299999999996</v>
      </c>
      <c r="T66" s="163" t="e">
        <f>S66+#REF!</f>
        <v>#REF!</v>
      </c>
      <c r="U66" s="163" t="e">
        <f>T66+#REF!</f>
        <v>#REF!</v>
      </c>
      <c r="V66" s="163" t="e">
        <f t="shared" si="75"/>
        <v>#REF!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63">
        <v>66.900000000000006</v>
      </c>
      <c r="AN66" s="780"/>
    </row>
    <row r="67" spans="2:40" ht="15" thickBot="1" x14ac:dyDescent="0.35">
      <c r="B67" s="754"/>
      <c r="C67" s="18" t="s">
        <v>32</v>
      </c>
      <c r="D67" s="163">
        <f>D28+Agosto23!AF63</f>
        <v>9541.7000000000007</v>
      </c>
      <c r="E67" s="164">
        <f t="shared" si="72"/>
        <v>9867.7000000000007</v>
      </c>
      <c r="F67" s="164">
        <f t="shared" si="72"/>
        <v>10254.200000000001</v>
      </c>
      <c r="G67" s="165">
        <v>10779</v>
      </c>
      <c r="H67" s="166">
        <v>10940</v>
      </c>
      <c r="I67" s="163">
        <f>H67+I28</f>
        <v>11177.6</v>
      </c>
      <c r="J67" s="163">
        <f t="shared" si="73"/>
        <v>11533.2</v>
      </c>
      <c r="K67" s="163">
        <f t="shared" si="73"/>
        <v>11893.400000000001</v>
      </c>
      <c r="L67" s="163">
        <f t="shared" si="73"/>
        <v>12213.900000000001</v>
      </c>
      <c r="M67" s="163">
        <f t="shared" si="74"/>
        <v>12546.900000000001</v>
      </c>
      <c r="N67" s="163">
        <f t="shared" si="74"/>
        <v>12594.500000000002</v>
      </c>
      <c r="O67" s="163">
        <f t="shared" si="74"/>
        <v>12741.200000000003</v>
      </c>
      <c r="P67" s="163">
        <f t="shared" si="74"/>
        <v>13066.600000000002</v>
      </c>
      <c r="Q67" s="163">
        <f t="shared" si="74"/>
        <v>13301.200000000003</v>
      </c>
      <c r="R67" s="163">
        <f t="shared" si="74"/>
        <v>13558.200000000003</v>
      </c>
      <c r="S67" s="163">
        <f t="shared" si="74"/>
        <v>13859.500000000002</v>
      </c>
      <c r="T67" s="163">
        <f t="shared" si="75"/>
        <v>14185.000000000002</v>
      </c>
      <c r="U67" s="163">
        <f t="shared" si="75"/>
        <v>14524.300000000001</v>
      </c>
      <c r="V67" s="163">
        <f t="shared" si="75"/>
        <v>14854.800000000001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M67" s="93">
        <v>150.6</v>
      </c>
      <c r="AN67" s="784">
        <v>100</v>
      </c>
    </row>
    <row r="68" spans="2:40" x14ac:dyDescent="0.3">
      <c r="B68" s="754"/>
      <c r="C68" s="18" t="s">
        <v>112</v>
      </c>
      <c r="D68" s="163">
        <f>D29+Agosto23!AF64</f>
        <v>18968.399999999998</v>
      </c>
      <c r="E68" s="164">
        <f>D68+E30</f>
        <v>19182.8</v>
      </c>
      <c r="F68" s="164">
        <f>E68+F30</f>
        <v>19452.2</v>
      </c>
      <c r="G68" s="165">
        <v>20520.400000000001</v>
      </c>
      <c r="H68" s="166">
        <v>20739</v>
      </c>
      <c r="I68" s="163">
        <f t="shared" ref="I68:V68" si="76">H68+I30</f>
        <v>20906.5</v>
      </c>
      <c r="J68" s="163">
        <f>I68+J31</f>
        <v>20928.099999999999</v>
      </c>
      <c r="K68" s="163">
        <f t="shared" si="76"/>
        <v>21170.799999999999</v>
      </c>
      <c r="L68" s="163">
        <f t="shared" si="76"/>
        <v>21397.399999999998</v>
      </c>
      <c r="M68" s="163">
        <f t="shared" si="76"/>
        <v>21634.199999999997</v>
      </c>
      <c r="N68" s="163">
        <f>M68+N31</f>
        <v>21678.399999999998</v>
      </c>
      <c r="O68" s="163">
        <f t="shared" si="76"/>
        <v>21778.699999999997</v>
      </c>
      <c r="P68" s="163">
        <f t="shared" si="76"/>
        <v>22009.499999999996</v>
      </c>
      <c r="Q68" s="163">
        <f t="shared" si="76"/>
        <v>22173.699999999997</v>
      </c>
      <c r="R68" s="163">
        <f t="shared" si="76"/>
        <v>22337.999999999996</v>
      </c>
      <c r="S68" s="163">
        <f t="shared" si="76"/>
        <v>22542.599999999995</v>
      </c>
      <c r="T68" s="163">
        <f t="shared" si="76"/>
        <v>22770.699999999993</v>
      </c>
      <c r="U68" s="163">
        <f t="shared" si="76"/>
        <v>23008.599999999995</v>
      </c>
      <c r="V68" s="163">
        <f t="shared" si="76"/>
        <v>23245.899999999994</v>
      </c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N68" s="785"/>
    </row>
    <row r="69" spans="2:40" x14ac:dyDescent="0.3">
      <c r="B69" s="756" t="s">
        <v>196</v>
      </c>
      <c r="C69" s="756"/>
      <c r="D69" s="756"/>
      <c r="E69" s="756"/>
      <c r="AN69" s="786"/>
    </row>
    <row r="70" spans="2:40" x14ac:dyDescent="0.3">
      <c r="B70" s="757" t="s">
        <v>132</v>
      </c>
      <c r="C70" s="757"/>
      <c r="D70" s="757"/>
      <c r="E70" s="757"/>
      <c r="AN70" s="784">
        <v>110</v>
      </c>
    </row>
    <row r="71" spans="2:40" x14ac:dyDescent="0.3">
      <c r="AN71" s="785"/>
    </row>
    <row r="72" spans="2:40" x14ac:dyDescent="0.3">
      <c r="AN72" s="786"/>
    </row>
    <row r="73" spans="2:40" x14ac:dyDescent="0.3">
      <c r="AN73" s="784">
        <v>110</v>
      </c>
    </row>
    <row r="74" spans="2:40" x14ac:dyDescent="0.3">
      <c r="AN74" s="785"/>
    </row>
    <row r="75" spans="2:40" x14ac:dyDescent="0.3">
      <c r="AN75" s="786"/>
    </row>
    <row r="76" spans="2:40" x14ac:dyDescent="0.3">
      <c r="AN76" s="778">
        <v>80</v>
      </c>
    </row>
    <row r="77" spans="2:40" x14ac:dyDescent="0.3">
      <c r="AN77" s="779"/>
    </row>
    <row r="78" spans="2:40" x14ac:dyDescent="0.3">
      <c r="AN78" s="780"/>
    </row>
    <row r="79" spans="2:40" x14ac:dyDescent="0.3">
      <c r="AN79" s="784">
        <v>100</v>
      </c>
    </row>
    <row r="80" spans="2:40" x14ac:dyDescent="0.3">
      <c r="AN80" s="785"/>
    </row>
    <row r="81" spans="40:40" x14ac:dyDescent="0.3">
      <c r="AN81" s="786"/>
    </row>
    <row r="82" spans="40:40" x14ac:dyDescent="0.3">
      <c r="AN82" s="784">
        <v>100</v>
      </c>
    </row>
    <row r="83" spans="40:40" x14ac:dyDescent="0.3">
      <c r="AN83" s="785"/>
    </row>
    <row r="84" spans="40:40" x14ac:dyDescent="0.3">
      <c r="AN84" s="786"/>
    </row>
    <row r="85" spans="40:40" x14ac:dyDescent="0.3">
      <c r="AN85" s="787">
        <v>110</v>
      </c>
    </row>
    <row r="86" spans="40:40" x14ac:dyDescent="0.3">
      <c r="AN86" s="788"/>
    </row>
    <row r="87" spans="40:40" x14ac:dyDescent="0.3">
      <c r="AN87" s="789"/>
    </row>
    <row r="88" spans="40:40" x14ac:dyDescent="0.3">
      <c r="AN88" s="784">
        <v>100</v>
      </c>
    </row>
    <row r="89" spans="40:40" x14ac:dyDescent="0.3">
      <c r="AN89" s="785"/>
    </row>
    <row r="90" spans="40:40" x14ac:dyDescent="0.3">
      <c r="AN90" s="786"/>
    </row>
    <row r="91" spans="40:40" x14ac:dyDescent="0.3">
      <c r="AN91" s="781">
        <v>395</v>
      </c>
    </row>
    <row r="92" spans="40:40" x14ac:dyDescent="0.3">
      <c r="AN92" s="782"/>
    </row>
    <row r="93" spans="40:40" x14ac:dyDescent="0.3">
      <c r="AN93" s="783"/>
    </row>
    <row r="94" spans="40:40" x14ac:dyDescent="0.3">
      <c r="AN94" s="784">
        <v>100</v>
      </c>
    </row>
    <row r="95" spans="40:40" x14ac:dyDescent="0.3">
      <c r="AN95" s="785"/>
    </row>
    <row r="96" spans="40:40" x14ac:dyDescent="0.3">
      <c r="AN96" s="786"/>
    </row>
    <row r="97" spans="40:40" x14ac:dyDescent="0.3">
      <c r="AN97" s="784">
        <v>100</v>
      </c>
    </row>
    <row r="98" spans="40:40" x14ac:dyDescent="0.3">
      <c r="AN98" s="785"/>
    </row>
    <row r="99" spans="40:40" x14ac:dyDescent="0.3">
      <c r="AN99" s="786"/>
    </row>
    <row r="100" spans="40:40" x14ac:dyDescent="0.3">
      <c r="AN100" s="784">
        <v>100</v>
      </c>
    </row>
    <row r="101" spans="40:40" x14ac:dyDescent="0.3">
      <c r="AN101" s="785"/>
    </row>
    <row r="102" spans="40:40" x14ac:dyDescent="0.3">
      <c r="AN102" s="786"/>
    </row>
    <row r="103" spans="40:40" x14ac:dyDescent="0.3">
      <c r="AN103" s="781">
        <v>120</v>
      </c>
    </row>
    <row r="104" spans="40:40" x14ac:dyDescent="0.3">
      <c r="AN104" s="782"/>
    </row>
    <row r="105" spans="40:40" x14ac:dyDescent="0.3">
      <c r="AN105" s="783"/>
    </row>
    <row r="106" spans="40:40" x14ac:dyDescent="0.3">
      <c r="AN106" s="781">
        <v>110</v>
      </c>
    </row>
    <row r="107" spans="40:40" x14ac:dyDescent="0.3">
      <c r="AN107" s="782"/>
    </row>
    <row r="108" spans="40:40" x14ac:dyDescent="0.3">
      <c r="AN108" s="783"/>
    </row>
    <row r="109" spans="40:40" x14ac:dyDescent="0.3">
      <c r="AN109" s="784">
        <v>100</v>
      </c>
    </row>
    <row r="110" spans="40:40" x14ac:dyDescent="0.3">
      <c r="AN110" s="785"/>
    </row>
    <row r="111" spans="40:40" x14ac:dyDescent="0.3">
      <c r="AN111" s="786"/>
    </row>
    <row r="112" spans="40:40" x14ac:dyDescent="0.3">
      <c r="AN112" s="790">
        <v>100</v>
      </c>
    </row>
    <row r="113" spans="40:40" x14ac:dyDescent="0.3">
      <c r="AN113" s="790"/>
    </row>
    <row r="114" spans="40:40" x14ac:dyDescent="0.3">
      <c r="AN114" s="790"/>
    </row>
  </sheetData>
  <mergeCells count="41">
    <mergeCell ref="AN112:AN114"/>
    <mergeCell ref="AN94:AN96"/>
    <mergeCell ref="AN97:AN99"/>
    <mergeCell ref="AN100:AN102"/>
    <mergeCell ref="AN103:AN105"/>
    <mergeCell ref="AN106:AN108"/>
    <mergeCell ref="AN109:AN111"/>
    <mergeCell ref="AN91:AN93"/>
    <mergeCell ref="AN64:AN66"/>
    <mergeCell ref="AN67:AN69"/>
    <mergeCell ref="B69:E69"/>
    <mergeCell ref="B70:E70"/>
    <mergeCell ref="AN70:AN72"/>
    <mergeCell ref="AN73:AN75"/>
    <mergeCell ref="AN76:AN78"/>
    <mergeCell ref="AN79:AN81"/>
    <mergeCell ref="AN82:AN84"/>
    <mergeCell ref="AN85:AN87"/>
    <mergeCell ref="AN88:AN90"/>
    <mergeCell ref="AN43:AN45"/>
    <mergeCell ref="B45:B52"/>
    <mergeCell ref="AN46:AN48"/>
    <mergeCell ref="AN49:AN51"/>
    <mergeCell ref="AN52:AN54"/>
    <mergeCell ref="B53:B56"/>
    <mergeCell ref="AN55:AN57"/>
    <mergeCell ref="B57:B68"/>
    <mergeCell ref="AN58:AN60"/>
    <mergeCell ref="AN61:AN63"/>
    <mergeCell ref="AN40:AN42"/>
    <mergeCell ref="B4:C4"/>
    <mergeCell ref="B5:B12"/>
    <mergeCell ref="B13:B17"/>
    <mergeCell ref="B18:B30"/>
    <mergeCell ref="B31:B32"/>
    <mergeCell ref="B33:C33"/>
    <mergeCell ref="AN34:AN36"/>
    <mergeCell ref="AE35:AG35"/>
    <mergeCell ref="AE36:AG36"/>
    <mergeCell ref="AE37:AG37"/>
    <mergeCell ref="AN37:AN39"/>
  </mergeCells>
  <conditionalFormatting sqref="AL5:BO32">
    <cfRule type="cellIs" dxfId="31" priority="2" operator="equal">
      <formula>"VAZIO"</formula>
    </cfRule>
  </conditionalFormatting>
  <conditionalFormatting sqref="AL5:BP32">
    <cfRule type="expression" dxfId="30" priority="6">
      <formula>AL5&gt;$BQ5</formula>
    </cfRule>
    <cfRule type="expression" dxfId="29" priority="7">
      <formula>AL5&lt;($BQ5-0.01)</formula>
    </cfRule>
  </conditionalFormatting>
  <conditionalFormatting sqref="AM8:BO8 BJ9 AM17:BO17 BG18 AM25:BO26">
    <cfRule type="cellIs" dxfId="28" priority="3" operator="equal">
      <formula>"""VAZIO"""</formula>
    </cfRule>
  </conditionalFormatting>
  <conditionalFormatting sqref="AP5:BO32">
    <cfRule type="expression" dxfId="27" priority="1">
      <formula>AP5=0</formula>
    </cfRule>
  </conditionalFormatting>
  <conditionalFormatting sqref="BT5:BT32">
    <cfRule type="cellIs" dxfId="26" priority="4" operator="greaterThan">
      <formula>0</formula>
    </cfRule>
    <cfRule type="cellIs" dxfId="25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BF76A-C235-4544-A4FC-4557FDB1E735}">
  <sheetPr>
    <tabColor theme="7" tint="-0.499984740745262"/>
  </sheetPr>
  <dimension ref="B1:BW114"/>
  <sheetViews>
    <sheetView zoomScaleNormal="100" workbookViewId="0">
      <pane xSplit="3" ySplit="4" topLeftCell="AG5" activePane="bottomRight" state="frozen"/>
      <selection pane="topRight" activeCell="D1" sqref="D1"/>
      <selection pane="bottomLeft" activeCell="A5" sqref="A5"/>
      <selection pane="bottomRight" activeCell="BP12" sqref="BP12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3" width="16.44140625" customWidth="1"/>
    <col min="34" max="34" width="19.6640625" customWidth="1"/>
    <col min="35" max="35" width="15.6640625" customWidth="1"/>
    <col min="36" max="36" width="15.88671875" hidden="1" customWidth="1"/>
    <col min="37" max="66" width="11.88671875" customWidth="1"/>
    <col min="67" max="67" width="17.6640625" customWidth="1"/>
    <col min="68" max="68" width="14.33203125" customWidth="1"/>
    <col min="69" max="69" width="20.5546875" customWidth="1"/>
    <col min="70" max="70" width="17.5546875" customWidth="1"/>
    <col min="71" max="71" width="19" customWidth="1"/>
    <col min="72" max="72" width="18.88671875" customWidth="1"/>
    <col min="73" max="73" width="15.109375" customWidth="1"/>
  </cols>
  <sheetData>
    <row r="1" spans="2:75" x14ac:dyDescent="0.3">
      <c r="AH1">
        <f>16267+12136+16339</f>
        <v>44742</v>
      </c>
    </row>
    <row r="2" spans="2:75" x14ac:dyDescent="0.3">
      <c r="AH2" s="102">
        <f>12444-AH14</f>
        <v>2358.3999999999996</v>
      </c>
    </row>
    <row r="3" spans="2:75" ht="15" thickBot="1" x14ac:dyDescent="0.35">
      <c r="D3" s="102"/>
      <c r="E3" s="102"/>
      <c r="F3" s="102"/>
      <c r="G3" s="102"/>
      <c r="H3" s="102"/>
      <c r="I3" s="102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</row>
    <row r="4" spans="2:75" ht="44.25" customHeight="1" thickBot="1" x14ac:dyDescent="0.35">
      <c r="B4" s="768" t="s">
        <v>133</v>
      </c>
      <c r="C4" s="769"/>
      <c r="D4" s="343" t="s">
        <v>1110</v>
      </c>
      <c r="E4" s="344" t="s">
        <v>1109</v>
      </c>
      <c r="F4" s="344" t="s">
        <v>1108</v>
      </c>
      <c r="G4" s="344" t="s">
        <v>1107</v>
      </c>
      <c r="H4" s="344" t="s">
        <v>1106</v>
      </c>
      <c r="I4" s="344" t="s">
        <v>1081</v>
      </c>
      <c r="J4" s="344" t="s">
        <v>1082</v>
      </c>
      <c r="K4" s="344" t="s">
        <v>1083</v>
      </c>
      <c r="L4" s="344" t="s">
        <v>1084</v>
      </c>
      <c r="M4" s="344" t="s">
        <v>1085</v>
      </c>
      <c r="N4" s="344" t="s">
        <v>1086</v>
      </c>
      <c r="O4" s="344" t="s">
        <v>1087</v>
      </c>
      <c r="P4" s="344" t="s">
        <v>1088</v>
      </c>
      <c r="Q4" s="344" t="s">
        <v>1089</v>
      </c>
      <c r="R4" s="344" t="s">
        <v>1090</v>
      </c>
      <c r="S4" s="344" t="s">
        <v>1091</v>
      </c>
      <c r="T4" s="344" t="s">
        <v>1092</v>
      </c>
      <c r="U4" s="344" t="s">
        <v>1093</v>
      </c>
      <c r="V4" s="344" t="s">
        <v>1094</v>
      </c>
      <c r="W4" s="344" t="s">
        <v>1095</v>
      </c>
      <c r="X4" s="344" t="s">
        <v>1096</v>
      </c>
      <c r="Y4" s="344" t="s">
        <v>1097</v>
      </c>
      <c r="Z4" s="344" t="s">
        <v>1098</v>
      </c>
      <c r="AA4" s="344" t="s">
        <v>1099</v>
      </c>
      <c r="AB4" s="344" t="s">
        <v>1100</v>
      </c>
      <c r="AC4" s="344" t="s">
        <v>1101</v>
      </c>
      <c r="AD4" s="344" t="s">
        <v>1102</v>
      </c>
      <c r="AE4" s="344" t="s">
        <v>1103</v>
      </c>
      <c r="AF4" s="344" t="s">
        <v>1104</v>
      </c>
      <c r="AG4" s="345" t="s">
        <v>1105</v>
      </c>
      <c r="AH4" s="346" t="s">
        <v>69</v>
      </c>
      <c r="AI4" s="346" t="s">
        <v>2</v>
      </c>
      <c r="AJ4" s="347" t="s">
        <v>70</v>
      </c>
      <c r="AK4" s="348" t="s">
        <v>228</v>
      </c>
      <c r="AL4" s="349" t="s">
        <v>229</v>
      </c>
      <c r="AM4" s="349" t="s">
        <v>230</v>
      </c>
      <c r="AN4" s="349" t="s">
        <v>231</v>
      </c>
      <c r="AO4" s="349" t="s">
        <v>232</v>
      </c>
      <c r="AP4" s="349" t="s">
        <v>233</v>
      </c>
      <c r="AQ4" s="349" t="s">
        <v>234</v>
      </c>
      <c r="AR4" s="349" t="s">
        <v>235</v>
      </c>
      <c r="AS4" s="349" t="s">
        <v>236</v>
      </c>
      <c r="AT4" s="349" t="s">
        <v>236</v>
      </c>
      <c r="AU4" s="349" t="s">
        <v>237</v>
      </c>
      <c r="AV4" s="349" t="s">
        <v>238</v>
      </c>
      <c r="AW4" s="349" t="s">
        <v>239</v>
      </c>
      <c r="AX4" s="349" t="s">
        <v>240</v>
      </c>
      <c r="AY4" s="349" t="s">
        <v>241</v>
      </c>
      <c r="AZ4" s="349" t="s">
        <v>242</v>
      </c>
      <c r="BA4" s="349" t="s">
        <v>243</v>
      </c>
      <c r="BB4" s="349" t="s">
        <v>244</v>
      </c>
      <c r="BC4" s="349" t="s">
        <v>245</v>
      </c>
      <c r="BD4" s="349" t="s">
        <v>246</v>
      </c>
      <c r="BE4" s="349" t="s">
        <v>247</v>
      </c>
      <c r="BF4" s="349" t="s">
        <v>248</v>
      </c>
      <c r="BG4" s="349" t="s">
        <v>249</v>
      </c>
      <c r="BH4" s="349" t="s">
        <v>250</v>
      </c>
      <c r="BI4" s="349" t="s">
        <v>251</v>
      </c>
      <c r="BJ4" s="349" t="s">
        <v>252</v>
      </c>
      <c r="BK4" s="349" t="s">
        <v>253</v>
      </c>
      <c r="BL4" s="349" t="s">
        <v>254</v>
      </c>
      <c r="BM4" s="349" t="s">
        <v>255</v>
      </c>
      <c r="BN4" s="349" t="s">
        <v>256</v>
      </c>
      <c r="BO4" s="350" t="s">
        <v>102</v>
      </c>
      <c r="BP4" s="343" t="s">
        <v>103</v>
      </c>
      <c r="BQ4" s="351" t="s">
        <v>104</v>
      </c>
      <c r="BR4" s="352" t="s">
        <v>105</v>
      </c>
      <c r="BS4" s="353" t="s">
        <v>106</v>
      </c>
      <c r="BU4" s="3"/>
      <c r="BV4" s="2"/>
      <c r="BW4" s="2"/>
    </row>
    <row r="5" spans="2:75" x14ac:dyDescent="0.3">
      <c r="B5" s="770" t="s">
        <v>6</v>
      </c>
      <c r="C5" s="328" t="s">
        <v>7</v>
      </c>
      <c r="D5" s="330">
        <v>27.7</v>
      </c>
      <c r="E5" s="103">
        <v>36.200000000000003</v>
      </c>
      <c r="F5" s="103">
        <v>22.2</v>
      </c>
      <c r="G5" s="103">
        <v>43.7</v>
      </c>
      <c r="H5" s="103">
        <v>43</v>
      </c>
      <c r="I5" s="331">
        <v>35.700000000000003</v>
      </c>
      <c r="J5" s="103">
        <v>5.9</v>
      </c>
      <c r="K5" s="103">
        <v>17.2</v>
      </c>
      <c r="L5" s="103">
        <v>10.7</v>
      </c>
      <c r="M5" s="103">
        <v>37.1</v>
      </c>
      <c r="N5" s="283">
        <v>34.5</v>
      </c>
      <c r="O5" s="103">
        <v>30.9</v>
      </c>
      <c r="P5" s="103">
        <v>31.8</v>
      </c>
      <c r="Q5" s="331">
        <v>38.5</v>
      </c>
      <c r="R5" s="103">
        <v>34.200000000000003</v>
      </c>
      <c r="S5" s="103">
        <v>43.4</v>
      </c>
      <c r="T5" s="103">
        <v>43.6</v>
      </c>
      <c r="U5" s="103">
        <v>40.4</v>
      </c>
      <c r="V5" s="103">
        <v>33.9</v>
      </c>
      <c r="W5" s="331">
        <v>43.6</v>
      </c>
      <c r="X5" s="103">
        <v>37.6</v>
      </c>
      <c r="Y5" s="103">
        <v>37.4</v>
      </c>
      <c r="Z5" s="104">
        <v>41.5</v>
      </c>
      <c r="AA5" s="332">
        <v>21.6</v>
      </c>
      <c r="AB5" s="333">
        <v>15.7</v>
      </c>
      <c r="AC5" s="629">
        <v>39.700000000000003</v>
      </c>
      <c r="AD5" s="104">
        <v>41.7</v>
      </c>
      <c r="AE5" s="104">
        <v>38.4</v>
      </c>
      <c r="AF5" s="104">
        <v>43.4</v>
      </c>
      <c r="AG5" s="104">
        <v>42.5</v>
      </c>
      <c r="AH5" s="335">
        <f t="shared" ref="AH5:AH32" si="0">SUM(D5:AG5)</f>
        <v>1013.7</v>
      </c>
      <c r="AI5" s="160">
        <v>12</v>
      </c>
      <c r="AJ5" s="336">
        <f t="shared" ref="AJ5:AJ11" si="1">F5/(AI5*432)</f>
        <v>4.2824074074074075E-3</v>
      </c>
      <c r="AK5" s="337">
        <f t="shared" ref="AK5:AT6" si="2">IF(OR(D5="",D5="Sem monitoramento"),"VAZIO",IFERROR(D5/($AI5*24),"-"))</f>
        <v>9.6180555555555547E-2</v>
      </c>
      <c r="AL5" s="338">
        <f t="shared" si="2"/>
        <v>0.12569444444444444</v>
      </c>
      <c r="AM5" s="338">
        <f t="shared" si="2"/>
        <v>7.7083333333333337E-2</v>
      </c>
      <c r="AN5" s="338">
        <f t="shared" si="2"/>
        <v>0.15173611111111113</v>
      </c>
      <c r="AO5" s="338">
        <f t="shared" si="2"/>
        <v>0.14930555555555555</v>
      </c>
      <c r="AP5" s="338">
        <f t="shared" si="2"/>
        <v>0.12395833333333334</v>
      </c>
      <c r="AQ5" s="338">
        <f t="shared" si="2"/>
        <v>2.0486111111111111E-2</v>
      </c>
      <c r="AR5" s="338">
        <f t="shared" si="2"/>
        <v>5.9722222222222218E-2</v>
      </c>
      <c r="AS5" s="338">
        <f t="shared" si="2"/>
        <v>3.7152777777777778E-2</v>
      </c>
      <c r="AT5" s="338">
        <f t="shared" si="2"/>
        <v>0.12881944444444446</v>
      </c>
      <c r="AU5" s="338">
        <f t="shared" ref="AU5:BD6" si="3">IF(OR(N5="",N5="Sem monitoramento"),"VAZIO",IFERROR(N5/($AI5*24),"-"))</f>
        <v>0.11979166666666667</v>
      </c>
      <c r="AV5" s="338">
        <f t="shared" si="3"/>
        <v>0.10729166666666666</v>
      </c>
      <c r="AW5" s="338">
        <f t="shared" si="3"/>
        <v>0.11041666666666666</v>
      </c>
      <c r="AX5" s="338">
        <f t="shared" si="3"/>
        <v>0.13368055555555555</v>
      </c>
      <c r="AY5" s="338">
        <f t="shared" si="3"/>
        <v>0.11875000000000001</v>
      </c>
      <c r="AZ5" s="338">
        <f t="shared" si="3"/>
        <v>0.15069444444444444</v>
      </c>
      <c r="BA5" s="338">
        <f t="shared" si="3"/>
        <v>0.15138888888888891</v>
      </c>
      <c r="BB5" s="338">
        <f t="shared" si="3"/>
        <v>0.14027777777777778</v>
      </c>
      <c r="BC5" s="338">
        <f t="shared" si="3"/>
        <v>0.11770833333333333</v>
      </c>
      <c r="BD5" s="338">
        <f t="shared" si="3"/>
        <v>0.15138888888888891</v>
      </c>
      <c r="BE5" s="338">
        <f t="shared" ref="BE5:BI6" si="4">IF(OR(X5="",X5="Sem monitoramento"),"VAZIO",IFERROR(X5/($AI5*24),"-"))</f>
        <v>0.13055555555555556</v>
      </c>
      <c r="BF5" s="338">
        <f t="shared" si="4"/>
        <v>0.12986111111111109</v>
      </c>
      <c r="BG5" s="338">
        <f t="shared" si="4"/>
        <v>0.14409722222222221</v>
      </c>
      <c r="BH5" s="338">
        <f t="shared" si="4"/>
        <v>7.5000000000000011E-2</v>
      </c>
      <c r="BI5" s="338">
        <f t="shared" si="4"/>
        <v>5.451388888888889E-2</v>
      </c>
      <c r="BJ5" s="338" t="e">
        <f>IF(OR(#REF!="",#REF!="Sem monitoramento"),"VAZIO",IFERROR(#REF!/($AI5*24),"-"))</f>
        <v>#REF!</v>
      </c>
      <c r="BK5" s="338">
        <f t="shared" ref="BK5:BN6" si="5">IF(OR(AD5="",AD5="Sem monitoramento"),"VAZIO",IFERROR(AD5/($AI5*24),"-"))</f>
        <v>0.14479166666666668</v>
      </c>
      <c r="BL5" s="338">
        <f t="shared" si="5"/>
        <v>0.13333333333333333</v>
      </c>
      <c r="BM5" s="338">
        <f t="shared" si="5"/>
        <v>0.15069444444444444</v>
      </c>
      <c r="BN5" s="338">
        <f t="shared" si="5"/>
        <v>0.14756944444444445</v>
      </c>
      <c r="BO5" s="339">
        <f t="shared" ref="BO5:BO15" si="6">AH5/(AI5*(COUNTA(D5:AG5)*24))</f>
        <v>0.1173263888888889</v>
      </c>
      <c r="BP5" s="180">
        <f>'FCs estimados em PVsyst'!Y3</f>
        <v>0.1804398148148148</v>
      </c>
      <c r="BQ5" s="340">
        <f t="shared" ref="BQ5:BQ11" si="7">AI5*BP5</f>
        <v>2.1652777777777779</v>
      </c>
      <c r="BR5" s="341">
        <f t="shared" ref="BR5:BR11" si="8">AM5-BP5</f>
        <v>-0.10335648148148147</v>
      </c>
      <c r="BS5" s="342">
        <f t="shared" ref="BS5:BS31" si="9">BO5-BP5</f>
        <v>-6.3113425925925906E-2</v>
      </c>
      <c r="BT5" s="15" t="s">
        <v>7</v>
      </c>
      <c r="BU5" s="75" t="s">
        <v>107</v>
      </c>
      <c r="BV5" s="7">
        <f>COUNTIF(BS5:BS30,"&gt;0")</f>
        <v>2</v>
      </c>
      <c r="BW5" s="2"/>
    </row>
    <row r="6" spans="2:75" x14ac:dyDescent="0.3">
      <c r="B6" s="771"/>
      <c r="C6" s="325" t="s">
        <v>8</v>
      </c>
      <c r="D6" s="62">
        <v>107.8</v>
      </c>
      <c r="E6" s="63">
        <v>197.3</v>
      </c>
      <c r="F6" s="63">
        <v>119.9</v>
      </c>
      <c r="G6" s="63">
        <v>243.7</v>
      </c>
      <c r="H6" s="63">
        <v>295</v>
      </c>
      <c r="I6" s="283">
        <v>249.3</v>
      </c>
      <c r="J6" s="63">
        <v>83.5</v>
      </c>
      <c r="K6" s="283">
        <v>102</v>
      </c>
      <c r="L6" s="283">
        <v>63.1</v>
      </c>
      <c r="M6" s="63">
        <v>230.6</v>
      </c>
      <c r="N6" s="283">
        <v>211.2</v>
      </c>
      <c r="O6" s="283">
        <v>182.3</v>
      </c>
      <c r="P6" s="283">
        <v>222.8</v>
      </c>
      <c r="Q6" s="283">
        <v>279.5</v>
      </c>
      <c r="R6" s="63">
        <v>255.9</v>
      </c>
      <c r="S6" s="63">
        <v>256.5</v>
      </c>
      <c r="T6" s="63">
        <v>293.8</v>
      </c>
      <c r="U6" s="63">
        <v>260.3</v>
      </c>
      <c r="V6" s="63">
        <v>207</v>
      </c>
      <c r="W6" s="283">
        <v>284.39999999999998</v>
      </c>
      <c r="X6" s="63">
        <v>282.3</v>
      </c>
      <c r="Y6" s="63">
        <v>285</v>
      </c>
      <c r="Z6" s="221">
        <v>289.89999999999998</v>
      </c>
      <c r="AA6" s="320">
        <v>136.30000000000001</v>
      </c>
      <c r="AB6" s="20">
        <v>95.3</v>
      </c>
      <c r="AC6" s="31">
        <v>226.5</v>
      </c>
      <c r="AD6" s="15">
        <v>300.5</v>
      </c>
      <c r="AE6" s="15">
        <v>222.8</v>
      </c>
      <c r="AF6" s="15">
        <v>309.39999999999998</v>
      </c>
      <c r="AG6" s="15">
        <v>305.3</v>
      </c>
      <c r="AH6" s="335">
        <f t="shared" si="0"/>
        <v>6599.2000000000007</v>
      </c>
      <c r="AI6" s="118">
        <v>67</v>
      </c>
      <c r="AJ6" s="121">
        <f t="shared" si="1"/>
        <v>4.1424820342730794E-3</v>
      </c>
      <c r="AK6" s="67">
        <f t="shared" si="2"/>
        <v>6.7039800995024879E-2</v>
      </c>
      <c r="AL6" s="68">
        <f t="shared" si="2"/>
        <v>0.12269900497512438</v>
      </c>
      <c r="AM6" s="68">
        <f t="shared" si="2"/>
        <v>7.4564676616915432E-2</v>
      </c>
      <c r="AN6" s="68">
        <f t="shared" si="2"/>
        <v>0.1515547263681592</v>
      </c>
      <c r="AO6" s="68">
        <f t="shared" si="2"/>
        <v>0.18345771144278608</v>
      </c>
      <c r="AP6" s="68">
        <f t="shared" si="2"/>
        <v>0.15503731343283583</v>
      </c>
      <c r="AQ6" s="68">
        <f t="shared" si="2"/>
        <v>5.1927860696517412E-2</v>
      </c>
      <c r="AR6" s="68">
        <f t="shared" si="2"/>
        <v>6.3432835820895525E-2</v>
      </c>
      <c r="AS6" s="68">
        <f t="shared" si="2"/>
        <v>3.9241293532338309E-2</v>
      </c>
      <c r="AT6" s="68">
        <f t="shared" si="2"/>
        <v>0.14340796019900498</v>
      </c>
      <c r="AU6" s="68">
        <f t="shared" si="3"/>
        <v>0.13134328358208955</v>
      </c>
      <c r="AV6" s="68">
        <f t="shared" si="3"/>
        <v>0.11337064676616916</v>
      </c>
      <c r="AW6" s="68">
        <f t="shared" si="3"/>
        <v>0.13855721393034826</v>
      </c>
      <c r="AX6" s="68">
        <f t="shared" si="3"/>
        <v>0.17381840796019901</v>
      </c>
      <c r="AY6" s="68">
        <f t="shared" si="3"/>
        <v>0.15914179104477613</v>
      </c>
      <c r="AZ6" s="68">
        <f t="shared" si="3"/>
        <v>0.15951492537313433</v>
      </c>
      <c r="BA6" s="68">
        <f t="shared" si="3"/>
        <v>0.18271144278606966</v>
      </c>
      <c r="BB6" s="68">
        <f t="shared" si="3"/>
        <v>0.16187810945273631</v>
      </c>
      <c r="BC6" s="68">
        <f t="shared" si="3"/>
        <v>0.1287313432835821</v>
      </c>
      <c r="BD6" s="68">
        <f t="shared" si="3"/>
        <v>0.17686567164179104</v>
      </c>
      <c r="BE6" s="68">
        <f t="shared" si="4"/>
        <v>0.17555970149253733</v>
      </c>
      <c r="BF6" s="68">
        <f t="shared" si="4"/>
        <v>0.17723880597014927</v>
      </c>
      <c r="BG6" s="68">
        <f t="shared" si="4"/>
        <v>0.18028606965174129</v>
      </c>
      <c r="BH6" s="68">
        <f t="shared" si="4"/>
        <v>8.4763681592039813E-2</v>
      </c>
      <c r="BI6" s="68">
        <f t="shared" si="4"/>
        <v>5.9266169154228852E-2</v>
      </c>
      <c r="BJ6" s="68">
        <f>IF(OR(AC5="",AC5="Sem monitoramento"),"VAZIO",IFERROR(AC5/($AI6*24),"-"))</f>
        <v>2.4689054726368162E-2</v>
      </c>
      <c r="BK6" s="68">
        <f t="shared" si="5"/>
        <v>0.18687810945273631</v>
      </c>
      <c r="BL6" s="68">
        <f t="shared" si="5"/>
        <v>0.13855721393034826</v>
      </c>
      <c r="BM6" s="68">
        <f t="shared" si="5"/>
        <v>0.19241293532338308</v>
      </c>
      <c r="BN6" s="68">
        <f t="shared" si="5"/>
        <v>0.18986318407960201</v>
      </c>
      <c r="BO6" s="70">
        <f t="shared" si="6"/>
        <v>0.13679933665008293</v>
      </c>
      <c r="BP6" s="180">
        <f>'FCs estimados em PVsyst'!Y4</f>
        <v>0.1868988391376451</v>
      </c>
      <c r="BQ6" s="72">
        <f t="shared" si="7"/>
        <v>12.522222222222222</v>
      </c>
      <c r="BR6" s="73">
        <f t="shared" si="8"/>
        <v>-0.11233416252072967</v>
      </c>
      <c r="BS6" s="74">
        <f t="shared" si="9"/>
        <v>-5.0099502487562175E-2</v>
      </c>
      <c r="BT6" s="15" t="s">
        <v>8</v>
      </c>
      <c r="BU6" s="77" t="s">
        <v>108</v>
      </c>
      <c r="BV6" s="78">
        <f>(COUNTA(BT5:BT30)-BV5-BV7)</f>
        <v>1</v>
      </c>
      <c r="BW6" s="2"/>
    </row>
    <row r="7" spans="2:75" x14ac:dyDescent="0.3">
      <c r="B7" s="771"/>
      <c r="C7" s="326" t="s">
        <v>9</v>
      </c>
      <c r="D7" s="223">
        <v>137.69999999999999</v>
      </c>
      <c r="E7" s="63">
        <v>176</v>
      </c>
      <c r="F7" s="63">
        <v>109.2</v>
      </c>
      <c r="G7" s="82">
        <v>228.1</v>
      </c>
      <c r="H7" s="63">
        <v>221.6</v>
      </c>
      <c r="I7" s="283">
        <v>178.5</v>
      </c>
      <c r="J7" s="316">
        <v>63.9</v>
      </c>
      <c r="K7" s="63">
        <v>82</v>
      </c>
      <c r="L7" s="283">
        <v>50.8</v>
      </c>
      <c r="M7" s="283">
        <v>174</v>
      </c>
      <c r="N7" s="283">
        <v>160.4</v>
      </c>
      <c r="O7" s="360">
        <v>146.5</v>
      </c>
      <c r="P7" s="283">
        <v>163.4</v>
      </c>
      <c r="Q7" s="283">
        <v>207.4</v>
      </c>
      <c r="R7" s="283">
        <v>187.7</v>
      </c>
      <c r="S7" s="283">
        <v>225.8</v>
      </c>
      <c r="T7" s="283">
        <v>229.5</v>
      </c>
      <c r="U7" s="63">
        <v>200.5</v>
      </c>
      <c r="V7" s="283">
        <v>167.9</v>
      </c>
      <c r="W7" s="283">
        <v>227.8</v>
      </c>
      <c r="X7" s="283">
        <v>197.2</v>
      </c>
      <c r="Y7" s="283">
        <v>200.4</v>
      </c>
      <c r="Z7" s="15">
        <v>219.3</v>
      </c>
      <c r="AA7" s="519">
        <v>103.3</v>
      </c>
      <c r="AB7" s="323">
        <v>72.400000000000006</v>
      </c>
      <c r="AC7" s="221">
        <v>188.8</v>
      </c>
      <c r="AD7" s="221">
        <v>220.4</v>
      </c>
      <c r="AE7" s="221">
        <v>185.8</v>
      </c>
      <c r="AF7" s="221">
        <v>227.4</v>
      </c>
      <c r="AG7" s="221">
        <v>223.5</v>
      </c>
      <c r="AH7" s="335">
        <f t="shared" si="0"/>
        <v>5177.2</v>
      </c>
      <c r="AI7" s="118">
        <v>49</v>
      </c>
      <c r="AJ7" s="121">
        <f t="shared" si="1"/>
        <v>5.1587301587301586E-3</v>
      </c>
      <c r="AK7" s="67">
        <f t="shared" ref="AK7:BG7" si="10">IF(OR(D7="",D7="Sem monitoramento"),"VAZIO",IFERROR(D7/($AI7*24),"-"))</f>
        <v>0.11709183673469387</v>
      </c>
      <c r="AL7" s="68">
        <f t="shared" si="10"/>
        <v>0.14965986394557823</v>
      </c>
      <c r="AM7" s="68">
        <f t="shared" si="10"/>
        <v>9.285714285714286E-2</v>
      </c>
      <c r="AN7" s="68" t="e">
        <f>IF(OR(#REF!="",#REF!="Sem monitoramento"),"VAZIO",IFERROR(#REF!/($AI7*24),"-"))</f>
        <v>#REF!</v>
      </c>
      <c r="AO7" s="68">
        <f t="shared" si="10"/>
        <v>0.18843537414965986</v>
      </c>
      <c r="AP7" s="68">
        <f t="shared" si="10"/>
        <v>0.15178571428571427</v>
      </c>
      <c r="AQ7" s="68">
        <f>IF(OR(J11="",J11="Sem monitoramento"),"VAZIO",IFERROR(J11/($AI7*24),"-"))</f>
        <v>4.6258503401360541E-2</v>
      </c>
      <c r="AR7" s="68">
        <f t="shared" si="10"/>
        <v>6.9727891156462579E-2</v>
      </c>
      <c r="AS7" s="68">
        <f t="shared" si="10"/>
        <v>4.3197278911564621E-2</v>
      </c>
      <c r="AT7" s="68">
        <f t="shared" si="10"/>
        <v>0.14795918367346939</v>
      </c>
      <c r="AU7" s="68">
        <f t="shared" si="10"/>
        <v>0.13639455782312926</v>
      </c>
      <c r="AV7" s="68">
        <f t="shared" si="10"/>
        <v>0.12457482993197279</v>
      </c>
      <c r="AW7" s="68">
        <f t="shared" si="10"/>
        <v>0.13894557823129253</v>
      </c>
      <c r="AX7" s="68">
        <f t="shared" si="10"/>
        <v>0.17636054421768707</v>
      </c>
      <c r="AY7" s="68">
        <f t="shared" si="10"/>
        <v>0.15960884353741495</v>
      </c>
      <c r="AZ7" s="68">
        <f t="shared" si="10"/>
        <v>0.19200680272108844</v>
      </c>
      <c r="BA7" s="68">
        <f t="shared" si="10"/>
        <v>0.1951530612244898</v>
      </c>
      <c r="BB7" s="68">
        <f t="shared" si="10"/>
        <v>0.17049319727891157</v>
      </c>
      <c r="BC7" s="68">
        <f t="shared" si="10"/>
        <v>0.14277210884353742</v>
      </c>
      <c r="BD7" s="68">
        <f t="shared" si="10"/>
        <v>0.19370748299319729</v>
      </c>
      <c r="BE7" s="68">
        <f t="shared" si="10"/>
        <v>0.16768707482993198</v>
      </c>
      <c r="BF7" s="68">
        <f t="shared" si="10"/>
        <v>0.17040816326530614</v>
      </c>
      <c r="BG7" s="68">
        <f t="shared" si="10"/>
        <v>0.18647959183673471</v>
      </c>
      <c r="BH7" s="68">
        <f>IF(OR(AA11="",AA11="Sem monitoramento"),"VAZIO",IFERROR(AA11/($AI7*24),"-"))</f>
        <v>0.20263605442176871</v>
      </c>
      <c r="BI7" s="68">
        <f>IF(OR(AB7="",AB7="Sem monitoramento"),"VAZIO",IFERROR(AB7/($AI7*24),"-"))</f>
        <v>6.1564625850340143E-2</v>
      </c>
      <c r="BJ7" s="68" t="e">
        <f>IF(OR(#REF!="",#REF!="Sem monitoramento"),"VAZIO",IFERROR(#REF!/($AI7*24),"-"))</f>
        <v>#REF!</v>
      </c>
      <c r="BK7" s="68">
        <f t="shared" ref="BK7:BK15" si="11">IF(OR(AD7="",AD7="Sem monitoramento"),"VAZIO",IFERROR(AD7/($AI7*24),"-"))</f>
        <v>0.18741496598639457</v>
      </c>
      <c r="BL7" s="68">
        <f t="shared" ref="BL7:BL15" si="12">IF(OR(AE7="",AE7="Sem monitoramento"),"VAZIO",IFERROR(AE7/($AI7*24),"-"))</f>
        <v>0.15799319727891156</v>
      </c>
      <c r="BM7" s="68">
        <f t="shared" ref="BM7:BM15" si="13">IF(OR(AF7="",AF7="Sem monitoramento"),"VAZIO",IFERROR(AF7/($AI7*24),"-"))</f>
        <v>0.19336734693877553</v>
      </c>
      <c r="BN7" s="68" t="e">
        <f>IF(OR(#REF!="",#REF!="Sem monitoramento"),"VAZIO",IFERROR(#REF!/($AI7*24),"-"))</f>
        <v>#REF!</v>
      </c>
      <c r="BO7" s="70">
        <f t="shared" si="6"/>
        <v>0.14674603174603174</v>
      </c>
      <c r="BP7" s="180">
        <f>'FCs estimados em PVsyst'!Y5</f>
        <v>0.17987528344671203</v>
      </c>
      <c r="BQ7" s="72">
        <f t="shared" si="7"/>
        <v>8.81388888888889</v>
      </c>
      <c r="BR7" s="73">
        <f t="shared" si="8"/>
        <v>-8.7018140589569165E-2</v>
      </c>
      <c r="BS7" s="74">
        <f t="shared" si="9"/>
        <v>-3.312925170068029E-2</v>
      </c>
      <c r="BT7" s="15" t="s">
        <v>9</v>
      </c>
      <c r="BU7" s="79" t="s">
        <v>109</v>
      </c>
      <c r="BV7" s="80">
        <f>COUNTIF(BS5:BS30,"&lt;-0,01")</f>
        <v>22</v>
      </c>
      <c r="BW7" s="2"/>
    </row>
    <row r="8" spans="2:75" x14ac:dyDescent="0.3">
      <c r="B8" s="771"/>
      <c r="C8" s="326" t="s">
        <v>10</v>
      </c>
      <c r="D8" s="223">
        <v>77.7</v>
      </c>
      <c r="E8" s="63">
        <v>100.4</v>
      </c>
      <c r="F8" s="63">
        <v>61.3</v>
      </c>
      <c r="G8" s="82">
        <v>130</v>
      </c>
      <c r="H8" s="63">
        <v>126.5</v>
      </c>
      <c r="I8" s="63">
        <v>99.9</v>
      </c>
      <c r="J8" s="63">
        <v>36.9</v>
      </c>
      <c r="K8" s="63">
        <v>47</v>
      </c>
      <c r="L8" s="283">
        <v>29.9</v>
      </c>
      <c r="M8" s="283">
        <v>98.6</v>
      </c>
      <c r="N8" s="283">
        <v>89.5</v>
      </c>
      <c r="O8" s="63">
        <v>82.5</v>
      </c>
      <c r="P8" s="283">
        <v>90.4</v>
      </c>
      <c r="Q8" s="283">
        <v>117.6</v>
      </c>
      <c r="R8" s="63">
        <v>106.3</v>
      </c>
      <c r="S8" s="63">
        <v>130.69999999999999</v>
      </c>
      <c r="T8" s="63">
        <v>132.19999999999999</v>
      </c>
      <c r="U8" s="63">
        <v>114.2</v>
      </c>
      <c r="V8" s="63">
        <v>90.9</v>
      </c>
      <c r="W8" s="283">
        <v>131.30000000000001</v>
      </c>
      <c r="X8" s="283">
        <v>113.1</v>
      </c>
      <c r="Y8" s="283">
        <v>115.5</v>
      </c>
      <c r="Z8" s="15">
        <v>126.4</v>
      </c>
      <c r="AA8" s="519">
        <v>58.2</v>
      </c>
      <c r="AB8" s="323">
        <v>41.9</v>
      </c>
      <c r="AC8" s="221">
        <v>109.2</v>
      </c>
      <c r="AD8" s="221">
        <v>126.4</v>
      </c>
      <c r="AE8" s="221">
        <v>106.7</v>
      </c>
      <c r="AF8" s="221">
        <v>130.4</v>
      </c>
      <c r="AG8" s="221">
        <v>127.8</v>
      </c>
      <c r="AH8" s="335">
        <f t="shared" si="0"/>
        <v>2949.4</v>
      </c>
      <c r="AI8" s="118">
        <v>33</v>
      </c>
      <c r="AJ8" s="121">
        <f t="shared" si="1"/>
        <v>4.2999438832772166E-3</v>
      </c>
      <c r="AK8" s="67">
        <f>IF(OR(D8="",D8="Sem monitoramento"),"VAZIO",IFERROR(D8/($AI8*24),"-"))</f>
        <v>9.8106060606060613E-2</v>
      </c>
      <c r="AL8" s="68">
        <f>IF(OR(E8="",E8="Sem monitoramento"),"VAZIO",IFERROR(E8/($AI8*24),"-"))</f>
        <v>0.12676767676767678</v>
      </c>
      <c r="AM8" s="68">
        <f>IF(OR(F8="",F8="Sem monitoramento"),"VAZIO",IFERROR(F8/($AI8*24),"-"))</f>
        <v>7.7398989898989898E-2</v>
      </c>
      <c r="AN8" s="68" t="e">
        <f>IF(OR(#REF!="",#REF!="Sem monitoramento"),"VAZIO",IFERROR(#REF!/($AI8*24),"-"))</f>
        <v>#REF!</v>
      </c>
      <c r="AO8" s="68">
        <f>IF(OR(H8="",H8="Sem monitoramento"),"VAZIO",IFERROR(H8/($AI8*24),"-"))</f>
        <v>0.15972222222222221</v>
      </c>
      <c r="AP8" s="68" t="e">
        <f>IF(OR(#REF!="",#REF!="Sem monitoramento"),"VAZIO",IFERROR(#REF!/($AI8*24),"-"))</f>
        <v>#REF!</v>
      </c>
      <c r="AQ8" s="68">
        <f t="shared" ref="AQ8:BH8" si="14">IF(OR(J8="",J8="Sem monitoramento"),"VAZIO",IFERROR(J8/($AI8*24),"-"))</f>
        <v>4.6590909090909093E-2</v>
      </c>
      <c r="AR8" s="68">
        <f t="shared" si="14"/>
        <v>5.9343434343434344E-2</v>
      </c>
      <c r="AS8" s="68">
        <f t="shared" si="14"/>
        <v>3.7752525252525253E-2</v>
      </c>
      <c r="AT8" s="68">
        <f t="shared" si="14"/>
        <v>0.12449494949494949</v>
      </c>
      <c r="AU8" s="68">
        <f t="shared" si="14"/>
        <v>0.11300505050505051</v>
      </c>
      <c r="AV8" s="68">
        <f t="shared" si="14"/>
        <v>0.10416666666666667</v>
      </c>
      <c r="AW8" s="68">
        <f t="shared" si="14"/>
        <v>0.11414141414141415</v>
      </c>
      <c r="AX8" s="68">
        <f t="shared" si="14"/>
        <v>0.14848484848484847</v>
      </c>
      <c r="AY8" s="68">
        <f t="shared" si="14"/>
        <v>0.13421717171717171</v>
      </c>
      <c r="AZ8" s="68">
        <f t="shared" si="14"/>
        <v>0.16502525252525252</v>
      </c>
      <c r="BA8" s="68">
        <f t="shared" si="14"/>
        <v>0.16691919191919191</v>
      </c>
      <c r="BB8" s="68">
        <f t="shared" si="14"/>
        <v>0.1441919191919192</v>
      </c>
      <c r="BC8" s="68">
        <f t="shared" si="14"/>
        <v>0.11477272727272728</v>
      </c>
      <c r="BD8" s="68">
        <f t="shared" si="14"/>
        <v>0.16578282828282831</v>
      </c>
      <c r="BE8" s="68">
        <f t="shared" si="14"/>
        <v>0.14280303030303029</v>
      </c>
      <c r="BF8" s="68">
        <f t="shared" si="14"/>
        <v>0.14583333333333334</v>
      </c>
      <c r="BG8" s="68">
        <f t="shared" si="14"/>
        <v>0.1595959595959596</v>
      </c>
      <c r="BH8" s="68">
        <f t="shared" si="14"/>
        <v>7.3484848484848486E-2</v>
      </c>
      <c r="BI8" s="68">
        <f>IF(OR(AB8="",AB8="Sem monitoramento"),"VAZIO",IFERROR(AB8/($AI8*24),"-"))</f>
        <v>5.2904040404040405E-2</v>
      </c>
      <c r="BJ8" s="68" t="e">
        <f>IF(OR(#REF!="",#REF!="Sem monitoramento"),"VAZIO",IFERROR(#REF!/($AI8*24),"-"))</f>
        <v>#REF!</v>
      </c>
      <c r="BK8" s="68">
        <f t="shared" si="11"/>
        <v>0.1595959595959596</v>
      </c>
      <c r="BL8" s="68">
        <f t="shared" si="12"/>
        <v>0.13472222222222222</v>
      </c>
      <c r="BM8" s="68">
        <f t="shared" si="13"/>
        <v>0.16464646464646465</v>
      </c>
      <c r="BN8" s="68" t="e">
        <f>IF(OR(#REF!="",#REF!="Sem monitoramento"),"VAZIO",IFERROR(#REF!/($AI8*24),"-"))</f>
        <v>#REF!</v>
      </c>
      <c r="BO8" s="70">
        <f t="shared" si="6"/>
        <v>0.12413299663299664</v>
      </c>
      <c r="BP8" s="180">
        <f>'FCs estimados em PVsyst'!Y6</f>
        <v>0.18501683501683502</v>
      </c>
      <c r="BQ8" s="72">
        <f t="shared" si="7"/>
        <v>6.1055555555555561</v>
      </c>
      <c r="BR8" s="73">
        <f t="shared" si="8"/>
        <v>-0.10761784511784513</v>
      </c>
      <c r="BS8" s="74">
        <f t="shared" si="9"/>
        <v>-6.0883838383838387E-2</v>
      </c>
      <c r="BT8" s="15" t="s">
        <v>10</v>
      </c>
      <c r="BU8" s="3"/>
      <c r="BV8" s="2"/>
      <c r="BW8" s="2"/>
    </row>
    <row r="9" spans="2:75" x14ac:dyDescent="0.3">
      <c r="B9" s="771"/>
      <c r="C9" s="326" t="s">
        <v>11</v>
      </c>
      <c r="D9" s="572">
        <v>28.6</v>
      </c>
      <c r="E9" s="63">
        <v>49.9</v>
      </c>
      <c r="F9" s="63">
        <v>26.1</v>
      </c>
      <c r="G9" s="161">
        <v>57.7</v>
      </c>
      <c r="H9" s="82">
        <v>56.7</v>
      </c>
      <c r="I9" s="308">
        <v>41.7</v>
      </c>
      <c r="J9" s="316">
        <v>13.8</v>
      </c>
      <c r="K9" s="316">
        <v>17.8</v>
      </c>
      <c r="L9" s="63">
        <v>12.8</v>
      </c>
      <c r="M9" s="63">
        <v>42.8</v>
      </c>
      <c r="N9" s="63">
        <v>41.7</v>
      </c>
      <c r="O9" s="63">
        <v>40.700000000000003</v>
      </c>
      <c r="P9" s="316">
        <v>46.5</v>
      </c>
      <c r="Q9" s="283">
        <v>54.1</v>
      </c>
      <c r="R9" s="308">
        <v>47.1</v>
      </c>
      <c r="S9" s="63">
        <v>59</v>
      </c>
      <c r="T9" s="63">
        <v>59.7</v>
      </c>
      <c r="U9" s="316">
        <v>51.5</v>
      </c>
      <c r="V9" s="63">
        <v>39.9</v>
      </c>
      <c r="W9" s="283">
        <v>50.1</v>
      </c>
      <c r="X9" s="63">
        <v>53</v>
      </c>
      <c r="Y9" s="63">
        <v>52</v>
      </c>
      <c r="Z9" s="148">
        <v>55.9</v>
      </c>
      <c r="AA9" s="18">
        <v>25.1</v>
      </c>
      <c r="AB9" s="323">
        <v>16.7</v>
      </c>
      <c r="AC9" s="392">
        <v>7.6</v>
      </c>
      <c r="AD9" s="15">
        <v>57.3</v>
      </c>
      <c r="AE9" s="15">
        <v>40.700000000000003</v>
      </c>
      <c r="AF9" s="15">
        <v>58.8</v>
      </c>
      <c r="AG9" s="15">
        <v>58</v>
      </c>
      <c r="AH9" s="335">
        <f t="shared" si="0"/>
        <v>1263.3</v>
      </c>
      <c r="AI9" s="118">
        <v>12</v>
      </c>
      <c r="AJ9" s="121">
        <f t="shared" si="1"/>
        <v>5.0347222222222225E-3</v>
      </c>
      <c r="AK9" s="67">
        <f>IF(OR(D10="",D10="Sem monitoramento"),"VAZIO",IFERROR(D10/($AI9*24),"-"))</f>
        <v>9.7916666666666666E-2</v>
      </c>
      <c r="AL9" s="68">
        <f>IF(OR(E9="",E9="Sem monitoramento"),"VAZIO",IFERROR(E9/($AI9*24),"-"))</f>
        <v>0.17326388888888888</v>
      </c>
      <c r="AM9" s="68">
        <f>IF(OR(F9="",F9="Sem monitoramento"),"VAZIO",IFERROR(F9/($AI9*24),"-"))</f>
        <v>9.0625000000000011E-2</v>
      </c>
      <c r="AN9" s="68">
        <f>IF(OR(G7="",G7="Sem monitoramento"),"VAZIO",IFERROR(G7/($AI9*24),"-"))</f>
        <v>0.79201388888888891</v>
      </c>
      <c r="AO9" s="68">
        <f>IF(OR(H9="",H9="Sem monitoramento"),"VAZIO",IFERROR(H9/($AI9*24),"-"))</f>
        <v>0.19687500000000002</v>
      </c>
      <c r="AP9" s="68">
        <f>IF(OR(I9="",I9="Sem monitoramento"),"VAZIO",IFERROR(I9/($AI9*24),"-"))</f>
        <v>0.14479166666666668</v>
      </c>
      <c r="AQ9" s="68">
        <f>IF(OR(J10="",J10="Sem monitoramento"),"VAZIO",IFERROR(J10/($AI9*24),"-"))</f>
        <v>5.0694444444444445E-2</v>
      </c>
      <c r="AR9" s="68">
        <f>IF(OR(K10="",K10="Sem monitoramento"),"VAZIO",IFERROR(K10/($AI9*24),"-"))</f>
        <v>6.0763888888888888E-2</v>
      </c>
      <c r="AS9" s="68">
        <f t="shared" ref="AS9:AV10" si="15">IF(OR(L9="",L9="Sem monitoramento"),"VAZIO",IFERROR(L9/($AI9*24),"-"))</f>
        <v>4.4444444444444446E-2</v>
      </c>
      <c r="AT9" s="68">
        <f t="shared" si="15"/>
        <v>0.14861111111111111</v>
      </c>
      <c r="AU9" s="68">
        <f t="shared" si="15"/>
        <v>0.14479166666666668</v>
      </c>
      <c r="AV9" s="68">
        <f t="shared" si="15"/>
        <v>0.14131944444444444</v>
      </c>
      <c r="AW9" s="68">
        <f>IF(OR(P10="",P10="Sem monitoramento"),"VAZIO",IFERROR(P10/($AI9*24),"-"))</f>
        <v>0.15104166666666666</v>
      </c>
      <c r="AX9" s="68">
        <f t="shared" ref="AX9:BA15" si="16">IF(OR(Q9="",Q9="Sem monitoramento"),"VAZIO",IFERROR(Q9/($AI9*24),"-"))</f>
        <v>0.18784722222222222</v>
      </c>
      <c r="AY9" s="68">
        <f t="shared" si="16"/>
        <v>0.16354166666666667</v>
      </c>
      <c r="AZ9" s="68">
        <f t="shared" si="16"/>
        <v>0.2048611111111111</v>
      </c>
      <c r="BA9" s="68">
        <f t="shared" si="16"/>
        <v>0.20729166666666668</v>
      </c>
      <c r="BB9" s="68">
        <f>IF(OR(U7="",U7="Sem monitoramento"),"VAZIO",IFERROR(U7/($AI9*24),"-"))</f>
        <v>0.69618055555555558</v>
      </c>
      <c r="BC9" s="68">
        <f t="shared" ref="BC9:BF10" si="17">IF(OR(V9="",V9="Sem monitoramento"),"VAZIO",IFERROR(V9/($AI9*24),"-"))</f>
        <v>0.13854166666666667</v>
      </c>
      <c r="BD9" s="68">
        <f t="shared" si="17"/>
        <v>0.17395833333333333</v>
      </c>
      <c r="BE9" s="68">
        <f t="shared" si="17"/>
        <v>0.18402777777777779</v>
      </c>
      <c r="BF9" s="68">
        <f t="shared" si="17"/>
        <v>0.18055555555555555</v>
      </c>
      <c r="BG9" s="68">
        <f>IF(OR(Z10="",Z10="Sem monitoramento"),"VAZIO",IFERROR(Z10/($AI9*24),"-"))</f>
        <v>0.17916666666666667</v>
      </c>
      <c r="BH9" s="68">
        <f>IF(OR(AA9="",AA9="Sem monitoramento"),"VAZIO",IFERROR(AA9/($AI9*24),"-"))</f>
        <v>8.7152777777777787E-2</v>
      </c>
      <c r="BI9" s="68">
        <f>IF(OR(AB9="",AB9="Sem monitoramento"),"VAZIO",IFERROR(AB9/($AI9*24),"-"))</f>
        <v>5.7986111111111106E-2</v>
      </c>
      <c r="BJ9" s="68">
        <f>IF(OR(AC7="",AC7="Sem monitoramento"),"VAZIO",IFERROR(AC7/($AI9*24),"-"))</f>
        <v>0.65555555555555556</v>
      </c>
      <c r="BK9" s="68">
        <f t="shared" si="11"/>
        <v>0.19895833333333332</v>
      </c>
      <c r="BL9" s="68">
        <f t="shared" si="12"/>
        <v>0.14131944444444444</v>
      </c>
      <c r="BM9" s="68">
        <f t="shared" si="13"/>
        <v>0.20416666666666666</v>
      </c>
      <c r="BN9" s="68">
        <f>IF(OR(AG7="",AG7="Sem monitoramento"),"VAZIO",IFERROR(AG7/($AI9*24),"-"))</f>
        <v>0.77604166666666663</v>
      </c>
      <c r="BO9" s="70">
        <f t="shared" si="6"/>
        <v>0.14621527777777776</v>
      </c>
      <c r="BP9" s="180">
        <f>'FCs estimados em PVsyst'!Y7</f>
        <v>0.18333333333333332</v>
      </c>
      <c r="BQ9" s="72">
        <f t="shared" si="7"/>
        <v>2.1999999999999997</v>
      </c>
      <c r="BR9" s="73">
        <f t="shared" si="8"/>
        <v>-9.2708333333333309E-2</v>
      </c>
      <c r="BS9" s="74">
        <f t="shared" si="9"/>
        <v>-3.7118055555555557E-2</v>
      </c>
      <c r="BT9" s="15" t="s">
        <v>11</v>
      </c>
      <c r="BU9" s="3"/>
      <c r="BV9" s="2"/>
      <c r="BW9" s="2"/>
    </row>
    <row r="10" spans="2:75" x14ac:dyDescent="0.3">
      <c r="B10" s="771"/>
      <c r="C10" s="326" t="s">
        <v>12</v>
      </c>
      <c r="D10" s="223">
        <v>28.2</v>
      </c>
      <c r="E10" s="63">
        <v>50.2</v>
      </c>
      <c r="F10" s="63">
        <v>27.3</v>
      </c>
      <c r="G10" s="161">
        <v>55.8</v>
      </c>
      <c r="H10" s="308">
        <v>55.5</v>
      </c>
      <c r="I10" s="519">
        <v>41.3</v>
      </c>
      <c r="J10" s="63">
        <v>14.6</v>
      </c>
      <c r="K10" s="283">
        <v>17.5</v>
      </c>
      <c r="L10" s="63">
        <v>5.3</v>
      </c>
      <c r="M10" s="63">
        <v>40.9</v>
      </c>
      <c r="N10" s="63">
        <v>39.5</v>
      </c>
      <c r="O10" s="63">
        <v>38.6</v>
      </c>
      <c r="P10" s="63">
        <v>43.5</v>
      </c>
      <c r="Q10" s="283">
        <v>51.7</v>
      </c>
      <c r="R10" s="308">
        <v>44.1</v>
      </c>
      <c r="S10" s="63">
        <v>55.5</v>
      </c>
      <c r="T10" s="63">
        <v>56.1</v>
      </c>
      <c r="U10" s="63">
        <v>48.2</v>
      </c>
      <c r="V10" s="63">
        <v>37</v>
      </c>
      <c r="W10" s="283">
        <v>56</v>
      </c>
      <c r="X10" s="63">
        <v>79.400000000000006</v>
      </c>
      <c r="Y10" s="63">
        <v>49.4</v>
      </c>
      <c r="Z10" s="15">
        <v>51.6</v>
      </c>
      <c r="AA10" s="18">
        <v>24.4</v>
      </c>
      <c r="AB10" s="323">
        <v>16.600000000000001</v>
      </c>
      <c r="AC10" s="392">
        <v>6.5</v>
      </c>
      <c r="AD10" s="15">
        <v>51</v>
      </c>
      <c r="AE10" s="15">
        <v>46.4</v>
      </c>
      <c r="AF10" s="15">
        <v>53</v>
      </c>
      <c r="AG10" s="15">
        <v>52</v>
      </c>
      <c r="AH10" s="335">
        <f t="shared" si="0"/>
        <v>1237.1000000000001</v>
      </c>
      <c r="AI10" s="118">
        <v>25</v>
      </c>
      <c r="AJ10" s="121">
        <f t="shared" si="1"/>
        <v>2.5277777777777777E-3</v>
      </c>
      <c r="AK10" s="67" t="e">
        <f>IF(OR(#REF!="",#REF!="Sem monitoramento"),"VAZIO",IFERROR(#REF!/($AI10*24),"-"))</f>
        <v>#REF!</v>
      </c>
      <c r="AL10" s="68">
        <f t="shared" ref="AL10:AO15" si="18">IF(OR(E10="",E10="Sem monitoramento"),"VAZIO",IFERROR(E10/($AI10*24),"-"))</f>
        <v>8.3666666666666667E-2</v>
      </c>
      <c r="AM10" s="68">
        <f t="shared" si="18"/>
        <v>4.5499999999999999E-2</v>
      </c>
      <c r="AN10" s="68">
        <f>IF(OR(G8="",G8="Sem monitoramento"),"VAZIO",IFERROR(G8/($AI10*24),"-"))</f>
        <v>0.21666666666666667</v>
      </c>
      <c r="AO10" s="68">
        <f t="shared" si="18"/>
        <v>9.2499999999999999E-2</v>
      </c>
      <c r="AP10" s="68">
        <f>IF(OR(I8="",I8="Sem monitoramento"),"VAZIO",IFERROR(I8/($AI10*24),"-"))</f>
        <v>0.16650000000000001</v>
      </c>
      <c r="AQ10" s="68" t="e">
        <f>IF(OR(#REF!="",#REF!="Sem monitoramento"),"VAZIO",IFERROR(#REF!/($AI10*24),"-"))</f>
        <v>#REF!</v>
      </c>
      <c r="AR10" s="68" t="e">
        <f>IF(OR(#REF!="",#REF!="Sem monitoramento"),"VAZIO",IFERROR(#REF!/($AI10*24),"-"))</f>
        <v>#REF!</v>
      </c>
      <c r="AS10" s="68">
        <f t="shared" si="15"/>
        <v>8.8333333333333337E-3</v>
      </c>
      <c r="AT10" s="68">
        <f t="shared" si="15"/>
        <v>6.8166666666666667E-2</v>
      </c>
      <c r="AU10" s="68">
        <f t="shared" si="15"/>
        <v>6.5833333333333327E-2</v>
      </c>
      <c r="AV10" s="68">
        <f t="shared" si="15"/>
        <v>6.433333333333334E-2</v>
      </c>
      <c r="AW10" s="68" t="e">
        <f>IF(OR(#REF!="",#REF!="Sem monitoramento"),"VAZIO",IFERROR(#REF!/($AI10*24),"-"))</f>
        <v>#REF!</v>
      </c>
      <c r="AX10" s="68">
        <f t="shared" si="16"/>
        <v>8.6166666666666669E-2</v>
      </c>
      <c r="AY10" s="68">
        <f t="shared" si="16"/>
        <v>7.3499999999999996E-2</v>
      </c>
      <c r="AZ10" s="68">
        <f t="shared" si="16"/>
        <v>9.2499999999999999E-2</v>
      </c>
      <c r="BA10" s="68">
        <f t="shared" si="16"/>
        <v>9.35E-2</v>
      </c>
      <c r="BB10" s="68">
        <f>IF(OR(U8="",U8="Sem monitoramento"),"VAZIO",IFERROR(U8/($AI10*24),"-"))</f>
        <v>0.19033333333333333</v>
      </c>
      <c r="BC10" s="68">
        <f t="shared" si="17"/>
        <v>6.1666666666666668E-2</v>
      </c>
      <c r="BD10" s="68">
        <f t="shared" si="17"/>
        <v>9.3333333333333338E-2</v>
      </c>
      <c r="BE10" s="68">
        <f t="shared" si="17"/>
        <v>0.13233333333333333</v>
      </c>
      <c r="BF10" s="68">
        <f t="shared" si="17"/>
        <v>8.2333333333333328E-2</v>
      </c>
      <c r="BG10" s="68" t="e">
        <f>IF(OR(#REF!="",#REF!="Sem monitoramento"),"VAZIO",IFERROR(#REF!/($AI10*24),"-"))</f>
        <v>#REF!</v>
      </c>
      <c r="BH10" s="68">
        <f>IF(OR(AA10="",AA10="Sem monitoramento"),"VAZIO",IFERROR(AA10/($AI10*24),"-"))</f>
        <v>4.0666666666666663E-2</v>
      </c>
      <c r="BI10" s="68">
        <f>IF(OR(AB10="",AB10="Sem monitoramento"),"VAZIO",IFERROR(AB10/($AI10*24),"-"))</f>
        <v>2.7666666666666669E-2</v>
      </c>
      <c r="BJ10" s="68">
        <f>IF(OR(AC8="",AC8="Sem monitoramento"),"VAZIO",IFERROR(AC8/($AI10*24),"-"))</f>
        <v>0.182</v>
      </c>
      <c r="BK10" s="68">
        <f t="shared" si="11"/>
        <v>8.5000000000000006E-2</v>
      </c>
      <c r="BL10" s="68">
        <f t="shared" si="12"/>
        <v>7.7333333333333337E-2</v>
      </c>
      <c r="BM10" s="68">
        <f t="shared" si="13"/>
        <v>8.8333333333333333E-2</v>
      </c>
      <c r="BN10" s="68">
        <f>IF(OR(AG8="",AG8="Sem monitoramento"),"VAZIO",IFERROR(AG8/($AI10*24),"-"))</f>
        <v>0.21299999999999999</v>
      </c>
      <c r="BO10" s="70">
        <f t="shared" si="6"/>
        <v>6.872777777777779E-2</v>
      </c>
      <c r="BP10" s="180">
        <f>'FCs estimados em PVsyst'!Y8</f>
        <v>0.185</v>
      </c>
      <c r="BQ10" s="72">
        <f t="shared" si="7"/>
        <v>4.625</v>
      </c>
      <c r="BR10" s="73">
        <f t="shared" si="8"/>
        <v>-0.13950000000000001</v>
      </c>
      <c r="BS10" s="74">
        <f t="shared" si="9"/>
        <v>-0.11627222222222221</v>
      </c>
      <c r="BT10" s="15" t="s">
        <v>12</v>
      </c>
      <c r="BU10" s="3"/>
      <c r="BV10" s="2"/>
      <c r="BW10" s="2"/>
    </row>
    <row r="11" spans="2:75" x14ac:dyDescent="0.3">
      <c r="B11" s="771"/>
      <c r="C11" s="327" t="s">
        <v>13</v>
      </c>
      <c r="D11" s="62">
        <v>172.5</v>
      </c>
      <c r="E11" s="63">
        <v>285.89999999999998</v>
      </c>
      <c r="F11" s="63">
        <v>169.4</v>
      </c>
      <c r="G11" s="63">
        <v>328.7</v>
      </c>
      <c r="H11" s="63">
        <v>349.1</v>
      </c>
      <c r="I11" s="283">
        <v>228</v>
      </c>
      <c r="J11" s="63">
        <v>54.4</v>
      </c>
      <c r="K11" s="283">
        <v>94.7</v>
      </c>
      <c r="L11" s="63">
        <f>1.6+26.8</f>
        <v>28.400000000000002</v>
      </c>
      <c r="M11" s="519">
        <v>308.10000000000002</v>
      </c>
      <c r="N11" s="63">
        <v>240.3</v>
      </c>
      <c r="O11" s="63">
        <v>344.3</v>
      </c>
      <c r="P11" s="63">
        <v>450.7</v>
      </c>
      <c r="Q11" s="283">
        <v>413.4</v>
      </c>
      <c r="R11" s="63">
        <v>434.7</v>
      </c>
      <c r="S11" s="63">
        <v>517.9</v>
      </c>
      <c r="T11" s="63">
        <v>485.7</v>
      </c>
      <c r="U11" s="63">
        <v>441.5</v>
      </c>
      <c r="V11" s="283">
        <v>341.1</v>
      </c>
      <c r="W11" s="519">
        <v>509.7</v>
      </c>
      <c r="X11" s="283">
        <v>473.7</v>
      </c>
      <c r="Y11" s="283">
        <v>445.4</v>
      </c>
      <c r="Z11" s="15">
        <v>489.8</v>
      </c>
      <c r="AA11" s="18">
        <v>238.3</v>
      </c>
      <c r="AB11" s="323">
        <v>220.8</v>
      </c>
      <c r="AC11" s="221">
        <v>368.8</v>
      </c>
      <c r="AD11" s="15">
        <v>497.1</v>
      </c>
      <c r="AE11" s="15">
        <v>343</v>
      </c>
      <c r="AF11" s="15">
        <v>505.5</v>
      </c>
      <c r="AG11" s="15">
        <v>503.4</v>
      </c>
      <c r="AH11" s="335">
        <f t="shared" si="0"/>
        <v>10284.299999999999</v>
      </c>
      <c r="AI11" s="118">
        <v>78</v>
      </c>
      <c r="AJ11" s="121">
        <f t="shared" si="1"/>
        <v>5.0273029439696108E-3</v>
      </c>
      <c r="AK11" s="67">
        <f>IF(OR(D11="",D11="Sem monitoramento"),"VAZIO",IFERROR(D11/($AI11*24),"-"))</f>
        <v>9.2147435897435903E-2</v>
      </c>
      <c r="AL11" s="68">
        <f t="shared" si="18"/>
        <v>0.15272435897435896</v>
      </c>
      <c r="AM11" s="68">
        <f t="shared" si="18"/>
        <v>9.0491452991452989E-2</v>
      </c>
      <c r="AN11" s="68">
        <f t="shared" si="18"/>
        <v>0.17558760683760682</v>
      </c>
      <c r="AO11" s="68">
        <f t="shared" si="18"/>
        <v>0.18648504273504274</v>
      </c>
      <c r="AP11" s="68">
        <f t="shared" ref="AP11:AS15" si="19">IF(OR(I11="",I11="Sem monitoramento"),"VAZIO",IFERROR(I11/($AI11*24),"-"))</f>
        <v>0.12179487179487179</v>
      </c>
      <c r="AQ11" s="68" t="e">
        <f>IF(OR(#REF!="",#REF!="Sem monitoramento"),"VAZIO",IFERROR(#REF!/($AI11*24),"-"))</f>
        <v>#REF!</v>
      </c>
      <c r="AR11" s="68">
        <f t="shared" si="19"/>
        <v>5.0587606837606838E-2</v>
      </c>
      <c r="AS11" s="68">
        <f t="shared" si="19"/>
        <v>1.5170940170940173E-2</v>
      </c>
      <c r="AT11" s="68">
        <f>IF(OR(M12="",M12="Sem monitoramento"),"VAZIO",IFERROR(M12/($AI11*24),"-"))</f>
        <v>0.11485042735042734</v>
      </c>
      <c r="AU11" s="68">
        <f t="shared" ref="AU11:AW15" si="20">IF(OR(N11="",N11="Sem monitoramento"),"VAZIO",IFERROR(N11/($AI11*24),"-"))</f>
        <v>0.12836538461538463</v>
      </c>
      <c r="AV11" s="68">
        <f t="shared" si="20"/>
        <v>0.18392094017094018</v>
      </c>
      <c r="AW11" s="68">
        <f t="shared" si="20"/>
        <v>0.24075854700854701</v>
      </c>
      <c r="AX11" s="68">
        <f t="shared" si="16"/>
        <v>0.22083333333333333</v>
      </c>
      <c r="AY11" s="68">
        <f t="shared" si="16"/>
        <v>0.23221153846153847</v>
      </c>
      <c r="AZ11" s="68">
        <f t="shared" si="16"/>
        <v>0.27665598290598287</v>
      </c>
      <c r="BA11" s="68">
        <f t="shared" si="16"/>
        <v>0.25945512820512817</v>
      </c>
      <c r="BB11" s="68">
        <f t="shared" ref="BB11:BC15" si="21">IF(OR(U11="",U11="Sem monitoramento"),"VAZIO",IFERROR(U11/($AI11*24),"-"))</f>
        <v>0.23584401709401709</v>
      </c>
      <c r="BC11" s="68">
        <f t="shared" si="21"/>
        <v>0.18221153846153848</v>
      </c>
      <c r="BD11" s="68">
        <f>IF(OR(W12="",W12="Sem monitoramento"),"VAZIO",IFERROR(W12/($AI11*24),"-"))</f>
        <v>0.20299145299145299</v>
      </c>
      <c r="BE11" s="68">
        <f>IF(OR(X11="",X11="Sem monitoramento"),"VAZIO",IFERROR(X11/($AI11*24),"-"))</f>
        <v>0.25304487179487178</v>
      </c>
      <c r="BF11" s="68">
        <f>IF(OR(Y11="",Y11="Sem monitoramento"),"VAZIO",IFERROR(Y11/($AI11*24),"-"))</f>
        <v>0.23792735042735041</v>
      </c>
      <c r="BG11" s="68">
        <f>IF(OR(Z11="",Z11="Sem monitoramento"),"VAZIO",IFERROR(Z11/($AI11*24),"-"))</f>
        <v>0.26164529914529916</v>
      </c>
      <c r="BH11" s="68" t="e">
        <f>IF(OR(#REF!="",#REF!="Sem monitoramento"),"VAZIO",IFERROR(#REF!/($AI11*24),"-"))</f>
        <v>#REF!</v>
      </c>
      <c r="BI11" s="68">
        <f>IF(OR(AB9="",AB9="Sem monitoramento"),"VAZIO",IFERROR(AB9/($AI11*24),"-"))</f>
        <v>8.9209401709401705E-3</v>
      </c>
      <c r="BJ11" s="68">
        <f>IF(OR(AC11="",AC11="Sem monitoramento"),"VAZIO",IFERROR(AC11/($AI11*24),"-"))</f>
        <v>0.197008547008547</v>
      </c>
      <c r="BK11" s="68">
        <f t="shared" si="11"/>
        <v>0.2655448717948718</v>
      </c>
      <c r="BL11" s="68">
        <f t="shared" si="12"/>
        <v>0.18322649572649571</v>
      </c>
      <c r="BM11" s="68">
        <f t="shared" si="13"/>
        <v>0.27003205128205127</v>
      </c>
      <c r="BN11" s="68">
        <f>IF(OR(AG11="",AG11="Sem monitoramento"),"VAZIO",IFERROR(AG11/($AI11*24),"-"))</f>
        <v>0.2689102564102564</v>
      </c>
      <c r="BO11" s="70">
        <f t="shared" si="6"/>
        <v>0.18312499999999998</v>
      </c>
      <c r="BP11" s="198">
        <f>BP20</f>
        <v>0.168125</v>
      </c>
      <c r="BQ11" s="72">
        <f t="shared" si="7"/>
        <v>13.11375</v>
      </c>
      <c r="BR11" s="73">
        <f t="shared" si="8"/>
        <v>-7.7633547008547008E-2</v>
      </c>
      <c r="BS11" s="74">
        <f t="shared" si="9"/>
        <v>1.4999999999999986E-2</v>
      </c>
      <c r="BT11" s="15" t="s">
        <v>13</v>
      </c>
      <c r="BU11" s="3"/>
      <c r="BV11" s="2"/>
      <c r="BW11" s="2"/>
    </row>
    <row r="12" spans="2:75" x14ac:dyDescent="0.3">
      <c r="B12" s="772"/>
      <c r="C12" s="326" t="s">
        <v>14</v>
      </c>
      <c r="D12" s="493">
        <v>102</v>
      </c>
      <c r="E12" s="308">
        <v>285</v>
      </c>
      <c r="F12" s="82">
        <v>185</v>
      </c>
      <c r="G12" s="82">
        <v>320</v>
      </c>
      <c r="H12" s="82">
        <v>330</v>
      </c>
      <c r="I12" s="308">
        <v>250</v>
      </c>
      <c r="J12" s="82">
        <v>82</v>
      </c>
      <c r="K12" s="308">
        <v>85</v>
      </c>
      <c r="L12" s="82">
        <v>28</v>
      </c>
      <c r="M12" s="283">
        <v>215</v>
      </c>
      <c r="N12" s="82">
        <v>200</v>
      </c>
      <c r="O12" s="82">
        <v>215</v>
      </c>
      <c r="P12" s="82">
        <v>245</v>
      </c>
      <c r="Q12" s="308">
        <v>315</v>
      </c>
      <c r="R12" s="308">
        <v>302</v>
      </c>
      <c r="S12" s="82">
        <v>376</v>
      </c>
      <c r="T12" s="82">
        <v>380</v>
      </c>
      <c r="U12" s="82">
        <v>285</v>
      </c>
      <c r="V12" s="82">
        <v>200</v>
      </c>
      <c r="W12" s="283">
        <v>380</v>
      </c>
      <c r="X12" s="82">
        <v>360</v>
      </c>
      <c r="Y12" s="63">
        <v>355</v>
      </c>
      <c r="Z12" s="16">
        <v>360</v>
      </c>
      <c r="AA12" s="17">
        <v>122</v>
      </c>
      <c r="AB12" s="324">
        <v>88</v>
      </c>
      <c r="AC12" s="392">
        <v>33</v>
      </c>
      <c r="AD12" s="16">
        <v>375</v>
      </c>
      <c r="AE12" s="16">
        <v>202</v>
      </c>
      <c r="AF12" s="16">
        <v>380</v>
      </c>
      <c r="AG12" s="16">
        <v>365</v>
      </c>
      <c r="AH12" s="335">
        <f t="shared" si="0"/>
        <v>7420</v>
      </c>
      <c r="AI12" s="123">
        <v>61</v>
      </c>
      <c r="AJ12" s="121" t="s">
        <v>31</v>
      </c>
      <c r="AK12" s="67">
        <f>IF(OR(D12="",D12="Sem monitoramento"),"VAZIO",IFERROR(D12/($AI12*24),"-"))</f>
        <v>6.9672131147540978E-2</v>
      </c>
      <c r="AL12" s="68">
        <f t="shared" si="18"/>
        <v>0.19467213114754098</v>
      </c>
      <c r="AM12" s="68">
        <f t="shared" si="18"/>
        <v>0.12636612021857924</v>
      </c>
      <c r="AN12" s="68">
        <f t="shared" si="18"/>
        <v>0.21857923497267759</v>
      </c>
      <c r="AO12" s="68">
        <f t="shared" si="18"/>
        <v>0.22540983606557377</v>
      </c>
      <c r="AP12" s="68">
        <f t="shared" si="19"/>
        <v>0.17076502732240437</v>
      </c>
      <c r="AQ12" s="68">
        <f t="shared" si="19"/>
        <v>5.6010928961748634E-2</v>
      </c>
      <c r="AR12" s="68">
        <f t="shared" si="19"/>
        <v>5.8060109289617488E-2</v>
      </c>
      <c r="AS12" s="68">
        <f t="shared" si="19"/>
        <v>1.912568306010929E-2</v>
      </c>
      <c r="AT12" s="68">
        <f>IF(OR(M13="",M13="Sem monitoramento"),"VAZIO",IFERROR(M13/($AI12*24),"-"))</f>
        <v>0.21010928961748634</v>
      </c>
      <c r="AU12" s="68">
        <f t="shared" si="20"/>
        <v>0.13661202185792351</v>
      </c>
      <c r="AV12" s="68">
        <f t="shared" si="20"/>
        <v>0.14685792349726776</v>
      </c>
      <c r="AW12" s="68">
        <f t="shared" si="20"/>
        <v>0.16734972677595628</v>
      </c>
      <c r="AX12" s="68">
        <f t="shared" si="16"/>
        <v>0.2151639344262295</v>
      </c>
      <c r="AY12" s="68">
        <f t="shared" si="16"/>
        <v>0.20628415300546449</v>
      </c>
      <c r="AZ12" s="68">
        <f t="shared" si="16"/>
        <v>0.25683060109289618</v>
      </c>
      <c r="BA12" s="68">
        <f t="shared" si="16"/>
        <v>0.25956284153005466</v>
      </c>
      <c r="BB12" s="68">
        <f t="shared" si="21"/>
        <v>0.19467213114754098</v>
      </c>
      <c r="BC12" s="68">
        <f t="shared" si="21"/>
        <v>0.13661202185792351</v>
      </c>
      <c r="BD12" s="68" t="e">
        <f>IF(OR(#REF!="",#REF!="Sem monitoramento"),"VAZIO",IFERROR(#REF!/($AI12*24),"-"))</f>
        <v>#REF!</v>
      </c>
      <c r="BE12" s="68">
        <f>IF(OR(X12="",X12="Sem monitoramento"),"VAZIO",IFERROR(X12/($AI12*24),"-"))</f>
        <v>0.24590163934426229</v>
      </c>
      <c r="BF12" s="68" t="e">
        <f>IF(OR(#REF!="",#REF!="Sem monitoramento"),"VAZIO",IFERROR(#REF!/($AI12*24),"-"))</f>
        <v>#REF!</v>
      </c>
      <c r="BG12" s="68">
        <f t="shared" ref="BG12:BI14" si="22">IF(OR(Z12="",Z12="Sem monitoramento"),"VAZIO",IFERROR(Z12/($AI12*24),"-"))</f>
        <v>0.24590163934426229</v>
      </c>
      <c r="BH12" s="68">
        <f t="shared" si="22"/>
        <v>8.3333333333333329E-2</v>
      </c>
      <c r="BI12" s="68">
        <f t="shared" si="22"/>
        <v>6.0109289617486336E-2</v>
      </c>
      <c r="BJ12" s="68">
        <f>IF(OR(AC12="",AC12="Sem monitoramento"),"VAZIO",IFERROR(AC12/($AI12*24),"-"))</f>
        <v>2.2540983606557378E-2</v>
      </c>
      <c r="BK12" s="68">
        <f t="shared" si="11"/>
        <v>0.25614754098360654</v>
      </c>
      <c r="BL12" s="68">
        <f t="shared" si="12"/>
        <v>0.13797814207650272</v>
      </c>
      <c r="BM12" s="68">
        <f t="shared" si="13"/>
        <v>0.25956284153005466</v>
      </c>
      <c r="BN12" s="68">
        <f>IF(OR(AG12="",AG12="Sem monitoramento"),"VAZIO",IFERROR(AG12/($AI12*24),"-"))</f>
        <v>0.24931693989071038</v>
      </c>
      <c r="BO12" s="70">
        <f t="shared" si="6"/>
        <v>0.16894353369763207</v>
      </c>
      <c r="BP12" s="180">
        <f>'FCs estimados em PVsyst'!Y10</f>
        <v>0.18465391621129326</v>
      </c>
      <c r="BQ12" s="72" t="s">
        <v>31</v>
      </c>
      <c r="BR12" s="73" t="s">
        <v>31</v>
      </c>
      <c r="BS12" s="74">
        <f t="shared" si="9"/>
        <v>-1.5710382513661192E-2</v>
      </c>
      <c r="BT12" s="15" t="s">
        <v>14</v>
      </c>
      <c r="BU12" s="3"/>
      <c r="BV12" s="2"/>
      <c r="BW12" s="2"/>
    </row>
    <row r="13" spans="2:75" x14ac:dyDescent="0.3">
      <c r="B13" s="773" t="s">
        <v>16</v>
      </c>
      <c r="C13" s="328" t="s">
        <v>17</v>
      </c>
      <c r="D13" s="223">
        <v>195.8</v>
      </c>
      <c r="E13" s="283">
        <v>397.7</v>
      </c>
      <c r="F13" s="283">
        <v>221.2</v>
      </c>
      <c r="G13" s="283">
        <v>440.7</v>
      </c>
      <c r="H13" s="283">
        <v>451.7</v>
      </c>
      <c r="I13" s="283">
        <v>346</v>
      </c>
      <c r="J13" s="63">
        <v>129.30000000000001</v>
      </c>
      <c r="K13" s="283">
        <v>138</v>
      </c>
      <c r="L13" s="63">
        <v>48.3</v>
      </c>
      <c r="M13" s="82">
        <v>307.60000000000002</v>
      </c>
      <c r="N13" s="283">
        <v>288.8</v>
      </c>
      <c r="O13" s="63">
        <v>301.10000000000002</v>
      </c>
      <c r="P13" s="63">
        <v>358.3</v>
      </c>
      <c r="Q13" s="283">
        <v>442.2</v>
      </c>
      <c r="R13" s="308">
        <v>388.9</v>
      </c>
      <c r="S13" s="63">
        <v>456</v>
      </c>
      <c r="T13" s="63">
        <v>458.7</v>
      </c>
      <c r="U13" s="63">
        <v>359.5</v>
      </c>
      <c r="V13" s="63">
        <v>279.3</v>
      </c>
      <c r="W13" s="283">
        <v>457.8</v>
      </c>
      <c r="X13" s="63">
        <v>429.5</v>
      </c>
      <c r="Y13" s="519">
        <v>429.6</v>
      </c>
      <c r="Z13" s="15">
        <v>425.1</v>
      </c>
      <c r="AA13" s="18">
        <v>209.8</v>
      </c>
      <c r="AB13" s="323">
        <v>155.80000000000001</v>
      </c>
      <c r="AC13" s="392">
        <v>54.4</v>
      </c>
      <c r="AD13" s="15">
        <v>445.1</v>
      </c>
      <c r="AE13" s="15">
        <v>279.7</v>
      </c>
      <c r="AF13" s="15">
        <v>450.8</v>
      </c>
      <c r="AG13" s="15">
        <v>448.2</v>
      </c>
      <c r="AH13" s="335">
        <f t="shared" si="0"/>
        <v>9794.9000000000015</v>
      </c>
      <c r="AI13" s="118">
        <v>100</v>
      </c>
      <c r="AJ13" s="121">
        <f>F13/(AI13*432)</f>
        <v>5.1203703703703697E-3</v>
      </c>
      <c r="AK13" s="67">
        <f>IF(OR(D13="",D13="Sem monitoramento"),"VAZIO",IFERROR(D13/($AI13*24),"-"))</f>
        <v>8.1583333333333341E-2</v>
      </c>
      <c r="AL13" s="68">
        <f t="shared" si="18"/>
        <v>0.16570833333333332</v>
      </c>
      <c r="AM13" s="68">
        <f t="shared" si="18"/>
        <v>9.2166666666666661E-2</v>
      </c>
      <c r="AN13" s="68">
        <f t="shared" si="18"/>
        <v>0.18362499999999998</v>
      </c>
      <c r="AO13" s="68">
        <f t="shared" si="18"/>
        <v>0.18820833333333334</v>
      </c>
      <c r="AP13" s="68">
        <f t="shared" si="19"/>
        <v>0.14416666666666667</v>
      </c>
      <c r="AQ13" s="68">
        <f t="shared" si="19"/>
        <v>5.3875000000000006E-2</v>
      </c>
      <c r="AR13" s="68">
        <f t="shared" si="19"/>
        <v>5.7500000000000002E-2</v>
      </c>
      <c r="AS13" s="68">
        <f t="shared" si="19"/>
        <v>2.0125000000000001E-2</v>
      </c>
      <c r="AT13" s="68" t="e">
        <f>IF(OR(#REF!="",#REF!="Sem monitoramento"),"VAZIO",IFERROR(#REF!/($AI13*24),"-"))</f>
        <v>#REF!</v>
      </c>
      <c r="AU13" s="68">
        <f t="shared" si="20"/>
        <v>0.12033333333333333</v>
      </c>
      <c r="AV13" s="68">
        <f t="shared" si="20"/>
        <v>0.12545833333333334</v>
      </c>
      <c r="AW13" s="68">
        <f t="shared" si="20"/>
        <v>0.14929166666666668</v>
      </c>
      <c r="AX13" s="68">
        <f t="shared" si="16"/>
        <v>0.18425</v>
      </c>
      <c r="AY13" s="68">
        <f t="shared" si="16"/>
        <v>0.16204166666666667</v>
      </c>
      <c r="AZ13" s="68">
        <f t="shared" si="16"/>
        <v>0.19</v>
      </c>
      <c r="BA13" s="68">
        <f t="shared" si="16"/>
        <v>0.19112499999999999</v>
      </c>
      <c r="BB13" s="68">
        <f t="shared" si="21"/>
        <v>0.14979166666666666</v>
      </c>
      <c r="BC13" s="68">
        <f t="shared" si="21"/>
        <v>0.11637500000000001</v>
      </c>
      <c r="BD13" s="68">
        <f>IF(OR(W13="",W13="Sem monitoramento"),"VAZIO",IFERROR(W13/($AI13*24),"-"))</f>
        <v>0.19075</v>
      </c>
      <c r="BE13" s="68">
        <f>IF(OR(X13="",X13="Sem monitoramento"),"VAZIO",IFERROR(X13/($AI13*24),"-"))</f>
        <v>0.17895833333333333</v>
      </c>
      <c r="BF13" s="68">
        <f>IF(OR(Y12="",Y12="Sem monitoramento"),"VAZIO",IFERROR(Y12/($AI13*24),"-"))</f>
        <v>0.14791666666666667</v>
      </c>
      <c r="BG13" s="68">
        <f t="shared" si="22"/>
        <v>0.177125</v>
      </c>
      <c r="BH13" s="68">
        <f t="shared" si="22"/>
        <v>8.741666666666667E-2</v>
      </c>
      <c r="BI13" s="68">
        <f t="shared" si="22"/>
        <v>6.4916666666666678E-2</v>
      </c>
      <c r="BJ13" s="68">
        <f>IF(OR(AC13="",AC13="Sem monitoramento"),"VAZIO",IFERROR(AC13/($AI13*24),"-"))</f>
        <v>2.2666666666666665E-2</v>
      </c>
      <c r="BK13" s="68">
        <f t="shared" si="11"/>
        <v>0.18545833333333334</v>
      </c>
      <c r="BL13" s="68">
        <f t="shared" si="12"/>
        <v>0.11654166666666667</v>
      </c>
      <c r="BM13" s="68">
        <f t="shared" si="13"/>
        <v>0.18783333333333332</v>
      </c>
      <c r="BN13" s="68">
        <f>IF(OR(AG13="",AG13="Sem monitoramento"),"VAZIO",IFERROR(AG13/($AI13*24),"-"))</f>
        <v>0.18675</v>
      </c>
      <c r="BO13" s="70">
        <f t="shared" si="6"/>
        <v>0.1360402777777778</v>
      </c>
      <c r="BP13" s="198">
        <f>BP20</f>
        <v>0.168125</v>
      </c>
      <c r="BQ13" s="72">
        <f t="shared" ref="BQ13:BQ31" si="23">AI13*BP13</f>
        <v>16.8125</v>
      </c>
      <c r="BR13" s="73">
        <f t="shared" ref="BR13:BR31" si="24">AM13-BP13</f>
        <v>-7.5958333333333336E-2</v>
      </c>
      <c r="BS13" s="74">
        <f t="shared" si="9"/>
        <v>-3.2084722222222195E-2</v>
      </c>
      <c r="BT13" s="15" t="s">
        <v>17</v>
      </c>
      <c r="BU13" s="3"/>
      <c r="BV13" s="2"/>
      <c r="BW13" s="2"/>
    </row>
    <row r="14" spans="2:75" x14ac:dyDescent="0.3">
      <c r="B14" s="771"/>
      <c r="C14" s="326" t="s">
        <v>18</v>
      </c>
      <c r="D14" s="223">
        <v>223.7</v>
      </c>
      <c r="E14" s="283">
        <v>393.1</v>
      </c>
      <c r="F14" s="283">
        <v>238.4</v>
      </c>
      <c r="G14" s="283">
        <v>446.7</v>
      </c>
      <c r="H14" s="283">
        <v>441.2</v>
      </c>
      <c r="I14" s="283">
        <v>366.7</v>
      </c>
      <c r="J14" s="283">
        <v>177.6</v>
      </c>
      <c r="K14" s="283">
        <v>175</v>
      </c>
      <c r="L14" s="283">
        <v>117.9</v>
      </c>
      <c r="M14" s="283">
        <v>117.9</v>
      </c>
      <c r="N14" s="63">
        <v>273.60000000000002</v>
      </c>
      <c r="O14" s="63">
        <v>301.60000000000002</v>
      </c>
      <c r="P14" s="63">
        <v>408.4</v>
      </c>
      <c r="Q14" s="283">
        <v>373.1</v>
      </c>
      <c r="R14" s="63">
        <v>387.2</v>
      </c>
      <c r="S14" s="63">
        <v>458.4</v>
      </c>
      <c r="T14" s="63">
        <v>434.3</v>
      </c>
      <c r="U14" s="63">
        <v>384</v>
      </c>
      <c r="V14" s="283">
        <v>300.39999999999998</v>
      </c>
      <c r="W14" s="283">
        <v>452.7</v>
      </c>
      <c r="X14" s="63">
        <v>419.2</v>
      </c>
      <c r="Y14" s="63">
        <v>397.6</v>
      </c>
      <c r="Z14" s="15">
        <v>429.3</v>
      </c>
      <c r="AA14" s="18">
        <v>210.5</v>
      </c>
      <c r="AB14" s="323">
        <v>198.5</v>
      </c>
      <c r="AC14" s="221">
        <v>317.10000000000002</v>
      </c>
      <c r="AD14" s="15">
        <v>439.7</v>
      </c>
      <c r="AE14" s="15">
        <v>306.2</v>
      </c>
      <c r="AF14" s="15">
        <v>447.5</v>
      </c>
      <c r="AG14" s="15">
        <v>448.1</v>
      </c>
      <c r="AH14" s="335">
        <f t="shared" si="0"/>
        <v>10085.6</v>
      </c>
      <c r="AI14" s="118">
        <v>100</v>
      </c>
      <c r="AJ14" s="121">
        <f>F14/(AI14*432)</f>
        <v>5.518518518518519E-3</v>
      </c>
      <c r="AK14" s="67">
        <f>IF(OR(D14="",D14="Sem monitoramento"),"VAZIO",IFERROR(D14/($AI14*24),"-"))</f>
        <v>9.3208333333333324E-2</v>
      </c>
      <c r="AL14" s="68">
        <f t="shared" si="18"/>
        <v>0.16379166666666667</v>
      </c>
      <c r="AM14" s="68">
        <f t="shared" si="18"/>
        <v>9.9333333333333329E-2</v>
      </c>
      <c r="AN14" s="68">
        <f t="shared" si="18"/>
        <v>0.18612499999999998</v>
      </c>
      <c r="AO14" s="68">
        <f t="shared" si="18"/>
        <v>0.18383333333333332</v>
      </c>
      <c r="AP14" s="68">
        <f t="shared" si="19"/>
        <v>0.15279166666666666</v>
      </c>
      <c r="AQ14" s="68">
        <f t="shared" si="19"/>
        <v>7.3999999999999996E-2</v>
      </c>
      <c r="AR14" s="68">
        <f t="shared" si="19"/>
        <v>7.2916666666666671E-2</v>
      </c>
      <c r="AS14" s="68">
        <f t="shared" si="19"/>
        <v>4.9125000000000002E-2</v>
      </c>
      <c r="AT14" s="68">
        <f>IF(OR(M14="",M14="Sem monitoramento"),"VAZIO",IFERROR(M14/($AI14*24),"-"))</f>
        <v>4.9125000000000002E-2</v>
      </c>
      <c r="AU14" s="68">
        <f t="shared" si="20"/>
        <v>0.114</v>
      </c>
      <c r="AV14" s="68">
        <f t="shared" si="20"/>
        <v>0.12566666666666668</v>
      </c>
      <c r="AW14" s="68">
        <f t="shared" si="20"/>
        <v>0.17016666666666666</v>
      </c>
      <c r="AX14" s="68">
        <f t="shared" si="16"/>
        <v>0.15545833333333334</v>
      </c>
      <c r="AY14" s="68">
        <f t="shared" si="16"/>
        <v>0.16133333333333333</v>
      </c>
      <c r="AZ14" s="68">
        <f t="shared" si="16"/>
        <v>0.191</v>
      </c>
      <c r="BA14" s="68">
        <f t="shared" si="16"/>
        <v>0.18095833333333333</v>
      </c>
      <c r="BB14" s="68">
        <f t="shared" si="21"/>
        <v>0.16</v>
      </c>
      <c r="BC14" s="68">
        <f t="shared" si="21"/>
        <v>0.12516666666666665</v>
      </c>
      <c r="BD14" s="68">
        <f>IF(OR(W14="",W14="Sem monitoramento"),"VAZIO",IFERROR(W14/($AI14*24),"-"))</f>
        <v>0.18862499999999999</v>
      </c>
      <c r="BE14" s="68">
        <f>IF(OR(X14="",X14="Sem monitoramento"),"VAZIO",IFERROR(X14/($AI14*24),"-"))</f>
        <v>0.17466666666666666</v>
      </c>
      <c r="BF14" s="68">
        <f>IF(OR(Y14="",Y14="Sem monitoramento"),"VAZIO",IFERROR(Y14/($AI14*24),"-"))</f>
        <v>0.16566666666666668</v>
      </c>
      <c r="BG14" s="68">
        <f t="shared" si="22"/>
        <v>0.17887500000000001</v>
      </c>
      <c r="BH14" s="68">
        <f t="shared" si="22"/>
        <v>8.7708333333333333E-2</v>
      </c>
      <c r="BI14" s="68">
        <f t="shared" si="22"/>
        <v>8.2708333333333328E-2</v>
      </c>
      <c r="BJ14" s="68">
        <f>IF(OR(AC14="",AC14="Sem monitoramento"),"VAZIO",IFERROR(AC14/($AI14*24),"-"))</f>
        <v>0.13212500000000002</v>
      </c>
      <c r="BK14" s="68">
        <f t="shared" si="11"/>
        <v>0.18320833333333333</v>
      </c>
      <c r="BL14" s="68">
        <f t="shared" si="12"/>
        <v>0.12758333333333333</v>
      </c>
      <c r="BM14" s="68">
        <f t="shared" si="13"/>
        <v>0.18645833333333334</v>
      </c>
      <c r="BN14" s="68">
        <f>IF(OR(AG14="",AG14="Sem monitoramento"),"VAZIO",IFERROR(AG14/($AI14*24),"-"))</f>
        <v>0.18670833333333334</v>
      </c>
      <c r="BO14" s="70">
        <f t="shared" si="6"/>
        <v>0.14007777777777777</v>
      </c>
      <c r="BP14" s="198">
        <f>$BP$20</f>
        <v>0.168125</v>
      </c>
      <c r="BQ14" s="72">
        <f t="shared" si="23"/>
        <v>16.8125</v>
      </c>
      <c r="BR14" s="73">
        <f t="shared" si="24"/>
        <v>-6.8791666666666668E-2</v>
      </c>
      <c r="BS14" s="74">
        <f t="shared" si="9"/>
        <v>-2.8047222222222223E-2</v>
      </c>
      <c r="BT14" s="15" t="s">
        <v>18</v>
      </c>
      <c r="BU14" s="3"/>
      <c r="BV14" s="2"/>
      <c r="BW14" s="2"/>
    </row>
    <row r="15" spans="2:75" x14ac:dyDescent="0.3">
      <c r="B15" s="771"/>
      <c r="C15" s="326" t="s">
        <v>110</v>
      </c>
      <c r="D15" s="62">
        <v>24.4</v>
      </c>
      <c r="E15" s="63">
        <v>42</v>
      </c>
      <c r="F15" s="63">
        <v>24.6</v>
      </c>
      <c r="G15" s="63">
        <v>48.5</v>
      </c>
      <c r="H15" s="63">
        <v>47.3</v>
      </c>
      <c r="I15" s="283">
        <v>38.5</v>
      </c>
      <c r="J15" s="283">
        <v>18.2</v>
      </c>
      <c r="K15" s="283">
        <v>18.399999999999999</v>
      </c>
      <c r="L15" s="283">
        <v>11.7</v>
      </c>
      <c r="M15" s="283">
        <v>24.1</v>
      </c>
      <c r="N15" s="283">
        <v>63.6</v>
      </c>
      <c r="O15" s="283">
        <v>72.900000000000006</v>
      </c>
      <c r="P15" s="283">
        <v>95.8</v>
      </c>
      <c r="Q15" s="283">
        <v>86.6</v>
      </c>
      <c r="R15" s="283">
        <v>86.9</v>
      </c>
      <c r="S15" s="283">
        <v>104.8</v>
      </c>
      <c r="T15" s="283">
        <v>100</v>
      </c>
      <c r="U15" s="283">
        <v>88.7</v>
      </c>
      <c r="V15" s="283">
        <v>70.099999999999994</v>
      </c>
      <c r="W15" s="283">
        <v>103.1</v>
      </c>
      <c r="X15" s="63">
        <v>95.9</v>
      </c>
      <c r="Y15" s="63">
        <v>88.1</v>
      </c>
      <c r="Z15" s="15">
        <v>97.5</v>
      </c>
      <c r="AA15" s="18">
        <v>49.6</v>
      </c>
      <c r="AB15" s="323">
        <v>45.9</v>
      </c>
      <c r="AC15" s="221">
        <v>73.099999999999994</v>
      </c>
      <c r="AD15" s="221">
        <v>99.9</v>
      </c>
      <c r="AE15" s="15">
        <v>70</v>
      </c>
      <c r="AF15" s="15">
        <v>102</v>
      </c>
      <c r="AG15" s="15">
        <v>101.7</v>
      </c>
      <c r="AH15" s="335">
        <f t="shared" si="0"/>
        <v>1993.8999999999999</v>
      </c>
      <c r="AI15" s="118">
        <v>29</v>
      </c>
      <c r="AJ15" s="121">
        <f>F15/(AI15*432)</f>
        <v>1.9636015325670501E-3</v>
      </c>
      <c r="AK15" s="67">
        <f>IF(OR(D15="",D15="Sem monitoramento"),"VAZIO",IFERROR(D15/($AI15*24),"-"))</f>
        <v>3.5057471264367812E-2</v>
      </c>
      <c r="AL15" s="68">
        <f t="shared" si="18"/>
        <v>6.0344827586206899E-2</v>
      </c>
      <c r="AM15" s="68">
        <f t="shared" si="18"/>
        <v>3.5344827586206898E-2</v>
      </c>
      <c r="AN15" s="68">
        <f t="shared" si="18"/>
        <v>6.9683908045977017E-2</v>
      </c>
      <c r="AO15" s="68">
        <f t="shared" si="18"/>
        <v>6.795977011494253E-2</v>
      </c>
      <c r="AP15" s="68">
        <f t="shared" si="19"/>
        <v>5.531609195402299E-2</v>
      </c>
      <c r="AQ15" s="68">
        <f t="shared" si="19"/>
        <v>2.614942528735632E-2</v>
      </c>
      <c r="AR15" s="68">
        <f t="shared" si="19"/>
        <v>2.6436781609195402E-2</v>
      </c>
      <c r="AS15" s="68">
        <f t="shared" si="19"/>
        <v>1.6810344827586206E-2</v>
      </c>
      <c r="AT15" s="68">
        <f>IF(OR(M15="",M15="Sem monitoramento"),"VAZIO",IFERROR(M15/($AI15*24),"-"))</f>
        <v>3.4626436781609198E-2</v>
      </c>
      <c r="AU15" s="68">
        <f t="shared" si="20"/>
        <v>9.1379310344827588E-2</v>
      </c>
      <c r="AV15" s="68">
        <f t="shared" si="20"/>
        <v>0.10474137931034484</v>
      </c>
      <c r="AW15" s="68">
        <f t="shared" si="20"/>
        <v>0.13764367816091955</v>
      </c>
      <c r="AX15" s="68">
        <f t="shared" si="16"/>
        <v>0.12442528735632183</v>
      </c>
      <c r="AY15" s="68">
        <f t="shared" si="16"/>
        <v>0.12485632183908046</v>
      </c>
      <c r="AZ15" s="68">
        <f t="shared" si="16"/>
        <v>0.15057471264367817</v>
      </c>
      <c r="BA15" s="68">
        <f t="shared" si="16"/>
        <v>0.14367816091954022</v>
      </c>
      <c r="BB15" s="68">
        <f t="shared" si="21"/>
        <v>0.12744252873563219</v>
      </c>
      <c r="BC15" s="68">
        <f t="shared" si="21"/>
        <v>0.1007183908045977</v>
      </c>
      <c r="BD15" s="68">
        <f>IF(OR(W15="",W15="Sem monitoramento"),"VAZIO",IFERROR(W15/($AI15*24),"-"))</f>
        <v>0.14813218390804597</v>
      </c>
      <c r="BE15" s="68">
        <f>IF(OR(X15="",X15="Sem monitoramento"),"VAZIO",IFERROR(X15/($AI15*24),"-"))</f>
        <v>0.13778735632183908</v>
      </c>
      <c r="BF15" s="68">
        <f>IF(OR(Y17="",Y17="Sem monitoramento"),"VAZIO",IFERROR(Y17/($AI15*24),"-"))</f>
        <v>0.6044540229885057</v>
      </c>
      <c r="BG15" s="68">
        <f>IF(OR(Z17="",Z17="Sem monitoramento"),"VAZIO",IFERROR(Z17/($AI15*24),"-"))</f>
        <v>0.66752873563218396</v>
      </c>
      <c r="BH15" s="68">
        <f>IF(OR(AA15="",AA15="Sem monitoramento"),"VAZIO",IFERROR(AA15/($AI15*24),"-"))</f>
        <v>7.1264367816091953E-2</v>
      </c>
      <c r="BI15" s="68">
        <f>IF(OR(AB15="",AB15="Sem monitoramento"),"VAZIO",IFERROR(AB15/($AI15*24),"-"))</f>
        <v>6.5948275862068959E-2</v>
      </c>
      <c r="BJ15" s="68">
        <f>IF(OR(AC15="",AC15="Sem monitoramento"),"VAZIO",IFERROR(AC15/($AI15*24),"-"))</f>
        <v>0.1050287356321839</v>
      </c>
      <c r="BK15" s="68">
        <f t="shared" si="11"/>
        <v>0.14353448275862069</v>
      </c>
      <c r="BL15" s="68">
        <f t="shared" si="12"/>
        <v>0.10057471264367816</v>
      </c>
      <c r="BM15" s="68">
        <f t="shared" si="13"/>
        <v>0.14655172413793102</v>
      </c>
      <c r="BN15" s="68">
        <f>IF(OR(AG15="",AG15="Sem monitoramento"),"VAZIO",IFERROR(AG15/($AI15*24),"-"))</f>
        <v>0.14612068965517241</v>
      </c>
      <c r="BO15" s="70">
        <f t="shared" si="6"/>
        <v>9.5493295019157085E-2</v>
      </c>
      <c r="BP15" s="180">
        <f>'FCs estimados em PVsyst'!Y13</f>
        <v>0.1850095785440613</v>
      </c>
      <c r="BQ15" s="72">
        <f t="shared" si="23"/>
        <v>5.365277777777778</v>
      </c>
      <c r="BR15" s="73">
        <f t="shared" si="24"/>
        <v>-0.14966475095785442</v>
      </c>
      <c r="BS15" s="74">
        <f t="shared" si="9"/>
        <v>-8.9516283524904219E-2</v>
      </c>
      <c r="BT15" s="15" t="s">
        <v>110</v>
      </c>
      <c r="BU15" s="3"/>
      <c r="BV15" s="2"/>
      <c r="BW15" s="2"/>
    </row>
    <row r="16" spans="2:75" x14ac:dyDescent="0.3">
      <c r="B16" s="771"/>
      <c r="C16" s="326" t="s">
        <v>20</v>
      </c>
      <c r="D16" s="62">
        <v>266.3</v>
      </c>
      <c r="E16" s="63">
        <v>388.5</v>
      </c>
      <c r="F16" s="63">
        <v>174</v>
      </c>
      <c r="G16" s="63">
        <v>499.7</v>
      </c>
      <c r="H16" s="63">
        <v>473.6</v>
      </c>
      <c r="I16" s="283">
        <v>379</v>
      </c>
      <c r="J16" s="283">
        <v>201.5</v>
      </c>
      <c r="K16" s="283">
        <v>187.2</v>
      </c>
      <c r="L16" s="283">
        <v>140</v>
      </c>
      <c r="M16" s="283">
        <v>425.3</v>
      </c>
      <c r="N16" s="283">
        <v>244.5</v>
      </c>
      <c r="O16" s="283">
        <v>264</v>
      </c>
      <c r="P16" s="283">
        <v>402.6</v>
      </c>
      <c r="Q16" s="283">
        <v>414.9</v>
      </c>
      <c r="R16" s="283">
        <v>405.6</v>
      </c>
      <c r="S16" s="283">
        <v>497.5</v>
      </c>
      <c r="T16" s="283">
        <v>484.9</v>
      </c>
      <c r="U16" s="283">
        <v>488.6</v>
      </c>
      <c r="V16" s="283">
        <v>382.3</v>
      </c>
      <c r="W16" s="283">
        <v>449.8</v>
      </c>
      <c r="X16" s="63">
        <v>473.2</v>
      </c>
      <c r="Y16" s="63">
        <v>411.7</v>
      </c>
      <c r="Z16" s="31">
        <v>450.3</v>
      </c>
      <c r="AA16" s="18">
        <v>258.60000000000002</v>
      </c>
      <c r="AB16" s="323">
        <v>222.3</v>
      </c>
      <c r="AC16" s="221">
        <v>354.8</v>
      </c>
      <c r="AD16" s="221">
        <v>477.7</v>
      </c>
      <c r="AE16" s="15">
        <v>376.7</v>
      </c>
      <c r="AF16" s="15">
        <v>491</v>
      </c>
      <c r="AG16" s="15">
        <v>485.4</v>
      </c>
      <c r="AH16" s="335">
        <f t="shared" si="0"/>
        <v>11171.5</v>
      </c>
      <c r="AI16" s="118"/>
      <c r="AJ16" s="121"/>
      <c r="AK16" s="67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70"/>
      <c r="BP16" s="180"/>
      <c r="BQ16" s="72"/>
      <c r="BR16" s="73"/>
      <c r="BS16" s="74"/>
      <c r="BT16" s="15"/>
      <c r="BU16" s="3"/>
      <c r="BV16" s="2"/>
      <c r="BW16" s="2"/>
    </row>
    <row r="17" spans="2:75" x14ac:dyDescent="0.3">
      <c r="B17" s="774"/>
      <c r="C17" s="722" t="s">
        <v>1078</v>
      </c>
      <c r="D17" s="62">
        <v>275.5</v>
      </c>
      <c r="E17" s="283">
        <v>405.8</v>
      </c>
      <c r="F17" s="283">
        <v>214.7</v>
      </c>
      <c r="G17" s="283">
        <v>479</v>
      </c>
      <c r="H17" s="63">
        <v>468.5</v>
      </c>
      <c r="I17" s="63">
        <v>334.2</v>
      </c>
      <c r="J17" s="283">
        <v>139.80000000000001</v>
      </c>
      <c r="K17" s="283">
        <v>177.7</v>
      </c>
      <c r="L17" s="63">
        <v>55.2</v>
      </c>
      <c r="M17" s="63">
        <v>382.4</v>
      </c>
      <c r="N17" s="63">
        <v>362.3</v>
      </c>
      <c r="O17" s="63">
        <v>360.5</v>
      </c>
      <c r="P17" s="283">
        <v>368.1</v>
      </c>
      <c r="Q17" s="283">
        <v>449.1</v>
      </c>
      <c r="R17" s="283">
        <v>390.2</v>
      </c>
      <c r="S17" s="283">
        <v>471.5</v>
      </c>
      <c r="T17" s="141">
        <v>484.4</v>
      </c>
      <c r="U17" s="283">
        <v>456.8</v>
      </c>
      <c r="V17" s="283">
        <v>363.3</v>
      </c>
      <c r="W17" s="283">
        <f>159.3+165.7+152.1</f>
        <v>477.1</v>
      </c>
      <c r="X17" s="63">
        <v>426.7</v>
      </c>
      <c r="Y17" s="63">
        <v>420.7</v>
      </c>
      <c r="Z17" s="15">
        <v>464.6</v>
      </c>
      <c r="AA17" s="61">
        <v>223.9</v>
      </c>
      <c r="AB17" s="323">
        <v>169</v>
      </c>
      <c r="AC17" s="15">
        <v>74.2</v>
      </c>
      <c r="AD17" s="15">
        <v>461.7</v>
      </c>
      <c r="AE17" s="15">
        <v>356.3</v>
      </c>
      <c r="AF17" s="15">
        <v>473.1</v>
      </c>
      <c r="AG17" s="221">
        <v>470.9</v>
      </c>
      <c r="AH17" s="335">
        <f t="shared" si="0"/>
        <v>10657.2</v>
      </c>
      <c r="AI17" s="118">
        <v>100</v>
      </c>
      <c r="AJ17" s="121">
        <f t="shared" ref="AJ17:AJ31" si="25">F17/(AI17*432)</f>
        <v>4.9699074074074073E-3</v>
      </c>
      <c r="AK17" s="67">
        <f t="shared" ref="AK17:AZ17" si="26">IF(OR(D17="",D17="Sem monitoramento"),"VAZIO",IFERROR(D17/($AI17*24),"-"))</f>
        <v>0.11479166666666667</v>
      </c>
      <c r="AL17" s="68">
        <f t="shared" si="26"/>
        <v>0.16908333333333334</v>
      </c>
      <c r="AM17" s="68">
        <f t="shared" si="26"/>
        <v>8.9458333333333334E-2</v>
      </c>
      <c r="AN17" s="68">
        <f t="shared" si="26"/>
        <v>0.19958333333333333</v>
      </c>
      <c r="AO17" s="68">
        <f t="shared" si="26"/>
        <v>0.19520833333333334</v>
      </c>
      <c r="AP17" s="68">
        <f t="shared" si="26"/>
        <v>0.13924999999999998</v>
      </c>
      <c r="AQ17" s="68">
        <f t="shared" si="26"/>
        <v>5.8250000000000003E-2</v>
      </c>
      <c r="AR17" s="68">
        <f t="shared" si="26"/>
        <v>7.4041666666666658E-2</v>
      </c>
      <c r="AS17" s="68">
        <f t="shared" si="26"/>
        <v>2.3E-2</v>
      </c>
      <c r="AT17" s="68">
        <f t="shared" si="26"/>
        <v>0.15933333333333333</v>
      </c>
      <c r="AU17" s="68">
        <f t="shared" si="26"/>
        <v>0.15095833333333333</v>
      </c>
      <c r="AV17" s="68">
        <f t="shared" si="26"/>
        <v>0.15020833333333333</v>
      </c>
      <c r="AW17" s="68">
        <f t="shared" si="26"/>
        <v>0.15337500000000001</v>
      </c>
      <c r="AX17" s="68">
        <f t="shared" si="26"/>
        <v>0.18712500000000001</v>
      </c>
      <c r="AY17" s="68">
        <f t="shared" si="26"/>
        <v>0.16258333333333333</v>
      </c>
      <c r="AZ17" s="68">
        <f t="shared" si="26"/>
        <v>0.19645833333333335</v>
      </c>
      <c r="BA17" s="68">
        <f>IF(OR(T14="",T14="Sem monitoramento"),"VAZIO",IFERROR(T14/($AI17*24),"-"))</f>
        <v>0.18095833333333333</v>
      </c>
      <c r="BB17" s="68">
        <f t="shared" ref="BB17:BE19" si="27">IF(OR(U17="",U17="Sem monitoramento"),"VAZIO",IFERROR(U17/($AI17*24),"-"))</f>
        <v>0.19033333333333333</v>
      </c>
      <c r="BC17" s="68">
        <f t="shared" si="27"/>
        <v>0.15137500000000001</v>
      </c>
      <c r="BD17" s="68">
        <f t="shared" si="27"/>
        <v>0.19879166666666667</v>
      </c>
      <c r="BE17" s="68">
        <f t="shared" si="27"/>
        <v>0.17779166666666665</v>
      </c>
      <c r="BF17" s="68" t="e">
        <f>IF(OR(#REF!="",#REF!="Sem monitoramento"),"VAZIO",IFERROR(#REF!/($AI17*24),"-"))</f>
        <v>#REF!</v>
      </c>
      <c r="BG17" s="68" t="e">
        <f>IF(OR(#REF!="",#REF!="Sem monitoramento"),"VAZIO",IFERROR(#REF!/($AI17*24),"-"))</f>
        <v>#REF!</v>
      </c>
      <c r="BH17" s="68">
        <f t="shared" ref="BH17:BN17" si="28">IF(OR(AA17="",AA17="Sem monitoramento"),"VAZIO",IFERROR(AA17/($AI17*24),"-"))</f>
        <v>9.3291666666666676E-2</v>
      </c>
      <c r="BI17" s="68">
        <f t="shared" si="28"/>
        <v>7.0416666666666669E-2</v>
      </c>
      <c r="BJ17" s="68">
        <f t="shared" si="28"/>
        <v>3.0916666666666669E-2</v>
      </c>
      <c r="BK17" s="68">
        <f t="shared" si="28"/>
        <v>0.19237499999999999</v>
      </c>
      <c r="BL17" s="68">
        <f t="shared" si="28"/>
        <v>0.14845833333333333</v>
      </c>
      <c r="BM17" s="68">
        <f t="shared" si="28"/>
        <v>0.19712500000000002</v>
      </c>
      <c r="BN17" s="68">
        <f t="shared" si="28"/>
        <v>0.19620833333333332</v>
      </c>
      <c r="BO17" s="70">
        <f t="shared" ref="BO17:BO32" si="29">AH17/(AI17*(COUNTA(D17:AG17)*24))</f>
        <v>0.14801666666666669</v>
      </c>
      <c r="BP17" s="180">
        <f>'FCs estimados em PVsyst'!Y14</f>
        <v>0.16425000000000001</v>
      </c>
      <c r="BQ17" s="72">
        <f t="shared" si="23"/>
        <v>16.425000000000001</v>
      </c>
      <c r="BR17" s="73">
        <f t="shared" si="24"/>
        <v>-7.4791666666666673E-2</v>
      </c>
      <c r="BS17" s="74">
        <f t="shared" si="9"/>
        <v>-1.6233333333333322E-2</v>
      </c>
      <c r="BT17" s="15" t="s">
        <v>20</v>
      </c>
      <c r="BU17" s="3"/>
      <c r="BV17" s="2"/>
      <c r="BW17" s="2"/>
    </row>
    <row r="18" spans="2:75" x14ac:dyDescent="0.3">
      <c r="B18" s="775" t="s">
        <v>21</v>
      </c>
      <c r="C18" s="326" t="s">
        <v>22</v>
      </c>
      <c r="D18" s="223">
        <v>216.9</v>
      </c>
      <c r="E18" s="63">
        <v>431.6</v>
      </c>
      <c r="F18" s="308">
        <v>210.8</v>
      </c>
      <c r="G18" s="283">
        <v>480</v>
      </c>
      <c r="H18" s="283">
        <v>472.1</v>
      </c>
      <c r="I18" s="82">
        <v>407.9</v>
      </c>
      <c r="J18" s="82">
        <v>145.4</v>
      </c>
      <c r="K18" s="63">
        <v>191.6</v>
      </c>
      <c r="L18" s="63">
        <v>145.30000000000001</v>
      </c>
      <c r="M18" s="63">
        <v>361.1</v>
      </c>
      <c r="N18" s="480">
        <v>381.7</v>
      </c>
      <c r="O18" s="283">
        <v>344.6</v>
      </c>
      <c r="P18" s="519">
        <v>370.2</v>
      </c>
      <c r="Q18" s="282">
        <v>188.1</v>
      </c>
      <c r="R18" s="63">
        <v>400.3</v>
      </c>
      <c r="S18" s="283">
        <v>482.1</v>
      </c>
      <c r="T18" s="63">
        <v>475.1</v>
      </c>
      <c r="U18" s="63">
        <v>427.5</v>
      </c>
      <c r="V18" s="63">
        <v>331.5</v>
      </c>
      <c r="W18" s="283">
        <v>484.4</v>
      </c>
      <c r="X18" s="283">
        <v>467.8</v>
      </c>
      <c r="Y18" s="519">
        <v>437.6</v>
      </c>
      <c r="Z18" s="15">
        <v>455.3</v>
      </c>
      <c r="AA18" s="18">
        <v>264.3</v>
      </c>
      <c r="AB18" s="20">
        <v>211.5</v>
      </c>
      <c r="AC18" s="221">
        <v>404.6</v>
      </c>
      <c r="AD18" s="354">
        <v>211.6</v>
      </c>
      <c r="AE18" s="15">
        <v>375.5</v>
      </c>
      <c r="AF18" s="354">
        <v>142</v>
      </c>
      <c r="AG18" s="15">
        <v>451</v>
      </c>
      <c r="AH18" s="335">
        <f t="shared" si="0"/>
        <v>10369.400000000001</v>
      </c>
      <c r="AI18" s="118">
        <v>100</v>
      </c>
      <c r="AJ18" s="122">
        <f t="shared" si="25"/>
        <v>4.8796296296296296E-3</v>
      </c>
      <c r="AK18" s="67">
        <f t="shared" ref="AK18:AQ24" si="30">IF(OR(D18="",D18="Sem monitoramento"),"VAZIO",IFERROR(D18/($AI18*24),"-"))</f>
        <v>9.0374999999999997E-2</v>
      </c>
      <c r="AL18" s="68">
        <f t="shared" si="30"/>
        <v>0.17983333333333335</v>
      </c>
      <c r="AM18" s="68">
        <f t="shared" si="30"/>
        <v>8.7833333333333333E-2</v>
      </c>
      <c r="AN18" s="68">
        <f t="shared" si="30"/>
        <v>0.2</v>
      </c>
      <c r="AO18" s="68">
        <f t="shared" si="30"/>
        <v>0.19670833333333335</v>
      </c>
      <c r="AP18" s="68">
        <f t="shared" si="30"/>
        <v>0.16995833333333332</v>
      </c>
      <c r="AQ18" s="68">
        <f t="shared" si="30"/>
        <v>6.0583333333333336E-2</v>
      </c>
      <c r="AR18" s="68" t="e">
        <f>IF(OR(#REF!="",#REF!="Sem monitoramento"),"VAZIO",IFERROR(#REF!/($AI18*24),"-"))</f>
        <v>#REF!</v>
      </c>
      <c r="AS18" s="68" t="e">
        <f>IF(OR(#REF!="",#REF!="Sem monitoramento"),"VAZIO",IFERROR(#REF!/($AI18*24),"-"))</f>
        <v>#REF!</v>
      </c>
      <c r="AT18" s="68">
        <f>IF(OR(M18="",M18="Sem monitoramento"),"VAZIO",IFERROR(M18/($AI18*24),"-"))</f>
        <v>0.15045833333333333</v>
      </c>
      <c r="AU18" s="68">
        <f>IF(OR(N19="",N19="Sem monitoramento"),"VAZIO",IFERROR(N19/($AI18*24),"-"))</f>
        <v>0.15616666666666668</v>
      </c>
      <c r="AV18" s="68">
        <f t="shared" ref="AV18:BA18" si="31">IF(OR(O18="",O18="Sem monitoramento"),"VAZIO",IFERROR(O18/($AI18*24),"-"))</f>
        <v>0.14358333333333334</v>
      </c>
      <c r="AW18" s="68">
        <f>IF(OR(Q18="",Q18="Sem monitoramento"),"VAZIO",IFERROR(Q18/($AI18*24),"-"))</f>
        <v>7.8375E-2</v>
      </c>
      <c r="AX18" s="68" t="e">
        <f>IF(OR(#REF!="",#REF!="Sem monitoramento"),"VAZIO",IFERROR(#REF!/($AI18*24),"-"))</f>
        <v>#REF!</v>
      </c>
      <c r="AY18" s="68">
        <f t="shared" si="31"/>
        <v>0.16679166666666667</v>
      </c>
      <c r="AZ18" s="68">
        <f t="shared" si="31"/>
        <v>0.200875</v>
      </c>
      <c r="BA18" s="68">
        <f t="shared" si="31"/>
        <v>0.19795833333333335</v>
      </c>
      <c r="BB18" s="68">
        <f t="shared" si="27"/>
        <v>0.17812500000000001</v>
      </c>
      <c r="BC18" s="68">
        <f t="shared" si="27"/>
        <v>0.138125</v>
      </c>
      <c r="BD18" s="68">
        <f t="shared" si="27"/>
        <v>0.20183333333333334</v>
      </c>
      <c r="BE18" s="68">
        <f t="shared" si="27"/>
        <v>0.19491666666666668</v>
      </c>
      <c r="BF18" s="68" t="e">
        <f>IF(OR(#REF!="",#REF!="Sem monitoramento"),"VAZIO",IFERROR(#REF!/($AI18*24),"-"))</f>
        <v>#REF!</v>
      </c>
      <c r="BG18" s="68">
        <f t="shared" ref="BG18:BH25" si="32">IF(OR(Z18="",Z18="Sem monitoramento"),"VAZIO",IFERROR(Z18/($AI18*24),"-"))</f>
        <v>0.18970833333333334</v>
      </c>
      <c r="BH18" s="68">
        <f t="shared" si="32"/>
        <v>0.110125</v>
      </c>
      <c r="BI18" s="68" t="e">
        <f>IF(OR(#REF!="",#REF!="Sem monitoramento"),"VAZIO",IFERROR(#REF!/($AI18*24),"-"))</f>
        <v>#REF!</v>
      </c>
      <c r="BJ18" s="68">
        <f t="shared" ref="BJ18:BN20" si="33">IF(OR(AC18="",AC18="Sem monitoramento"),"VAZIO",IFERROR(AC18/($AI18*24),"-"))</f>
        <v>0.16858333333333334</v>
      </c>
      <c r="BK18" s="68">
        <f t="shared" si="33"/>
        <v>8.8166666666666671E-2</v>
      </c>
      <c r="BL18" s="68">
        <f t="shared" si="33"/>
        <v>0.15645833333333334</v>
      </c>
      <c r="BM18" s="68">
        <f t="shared" si="33"/>
        <v>5.9166666666666666E-2</v>
      </c>
      <c r="BN18" s="68">
        <f t="shared" si="33"/>
        <v>0.18791666666666668</v>
      </c>
      <c r="BO18" s="70">
        <f t="shared" si="29"/>
        <v>0.14401944444444448</v>
      </c>
      <c r="BP18" s="198">
        <f>$BP$20</f>
        <v>0.168125</v>
      </c>
      <c r="BQ18" s="90">
        <f t="shared" si="23"/>
        <v>16.8125</v>
      </c>
      <c r="BR18" s="73">
        <f t="shared" si="24"/>
        <v>-8.0291666666666664E-2</v>
      </c>
      <c r="BS18" s="74">
        <f t="shared" si="9"/>
        <v>-2.4105555555555519E-2</v>
      </c>
      <c r="BT18" s="15" t="s">
        <v>22</v>
      </c>
      <c r="BU18" s="3"/>
      <c r="BV18" s="2"/>
      <c r="BW18" s="2"/>
    </row>
    <row r="19" spans="2:75" x14ac:dyDescent="0.3">
      <c r="B19" s="775"/>
      <c r="C19" s="326" t="s">
        <v>23</v>
      </c>
      <c r="D19" s="223">
        <v>219.9</v>
      </c>
      <c r="E19" s="63">
        <v>404.3</v>
      </c>
      <c r="F19" s="308">
        <v>207.1</v>
      </c>
      <c r="G19" s="283">
        <v>455.8</v>
      </c>
      <c r="H19" s="63">
        <v>444.1</v>
      </c>
      <c r="I19" s="63">
        <v>385.4</v>
      </c>
      <c r="J19" s="63">
        <v>140.19999999999999</v>
      </c>
      <c r="K19" s="63">
        <v>190.8</v>
      </c>
      <c r="L19" s="316">
        <v>148.4</v>
      </c>
      <c r="M19" s="316">
        <v>348.9</v>
      </c>
      <c r="N19" s="283">
        <v>374.8</v>
      </c>
      <c r="O19" s="283">
        <v>329.4</v>
      </c>
      <c r="P19" s="519">
        <v>344.7</v>
      </c>
      <c r="Q19" s="282">
        <v>165.1</v>
      </c>
      <c r="R19" s="63">
        <v>382.3</v>
      </c>
      <c r="S19" s="283">
        <v>453.7</v>
      </c>
      <c r="T19" s="63">
        <v>451.6</v>
      </c>
      <c r="U19" s="283">
        <v>414.4</v>
      </c>
      <c r="V19" s="283">
        <v>333.6</v>
      </c>
      <c r="W19" s="283">
        <v>459.8</v>
      </c>
      <c r="X19" s="283">
        <v>443.5</v>
      </c>
      <c r="Y19" s="283">
        <v>411.9</v>
      </c>
      <c r="Z19" s="221">
        <v>434.2</v>
      </c>
      <c r="AA19" s="18">
        <v>251.8</v>
      </c>
      <c r="AB19" s="628">
        <v>208.3</v>
      </c>
      <c r="AC19" s="221">
        <v>401.8</v>
      </c>
      <c r="AD19" s="354">
        <v>188.3</v>
      </c>
      <c r="AE19" s="15">
        <v>373.4</v>
      </c>
      <c r="AF19" s="354">
        <v>137.69999999999999</v>
      </c>
      <c r="AG19" s="15">
        <v>449.6</v>
      </c>
      <c r="AH19" s="335">
        <f t="shared" si="0"/>
        <v>9954.7999999999993</v>
      </c>
      <c r="AI19" s="118">
        <v>100</v>
      </c>
      <c r="AJ19" s="122">
        <f t="shared" si="25"/>
        <v>4.7939814814814815E-3</v>
      </c>
      <c r="AK19" s="67">
        <f t="shared" si="30"/>
        <v>9.1624999999999998E-2</v>
      </c>
      <c r="AL19" s="68">
        <f t="shared" si="30"/>
        <v>0.16845833333333335</v>
      </c>
      <c r="AM19" s="68">
        <f t="shared" si="30"/>
        <v>8.6291666666666669E-2</v>
      </c>
      <c r="AN19" s="68">
        <f t="shared" si="30"/>
        <v>0.18991666666666668</v>
      </c>
      <c r="AO19" s="68">
        <f t="shared" si="30"/>
        <v>0.18504166666666669</v>
      </c>
      <c r="AP19" s="68">
        <f t="shared" si="30"/>
        <v>0.16058333333333333</v>
      </c>
      <c r="AQ19" s="68">
        <f t="shared" si="30"/>
        <v>5.8416666666666665E-2</v>
      </c>
      <c r="AR19" s="68">
        <f>IF(OR(K19="",K19="Sem monitoramento"),"VAZIO",IFERROR(K19/($AI19*24),"-"))</f>
        <v>7.9500000000000001E-2</v>
      </c>
      <c r="AS19" s="68">
        <f>IF(OR(L18="",L18="Sem monitoramento"),"VAZIO",IFERROR(L18/($AI19*24),"-"))</f>
        <v>6.0541666666666674E-2</v>
      </c>
      <c r="AT19" s="68">
        <f>IF(OR(M20="",M20="Sem monitoramento"),"VAZIO",IFERROR(M20/($AI19*24),"-"))</f>
        <v>0.11654166666666667</v>
      </c>
      <c r="AU19" s="68" t="e">
        <f>IF(OR(#REF!="",#REF!="Sem monitoramento"),"VAZIO",IFERROR(#REF!/($AI19*24),"-"))</f>
        <v>#REF!</v>
      </c>
      <c r="AV19" s="68">
        <f t="shared" ref="AV19:AW23" si="34">IF(OR(O19="",O19="Sem monitoramento"),"VAZIO",IFERROR(O19/($AI19*24),"-"))</f>
        <v>0.13724999999999998</v>
      </c>
      <c r="AW19" s="68">
        <f>IF(OR(Q19="",Q19="Sem monitoramento"),"VAZIO",IFERROR(Q19/($AI19*24),"-"))</f>
        <v>6.8791666666666668E-2</v>
      </c>
      <c r="AX19" s="68">
        <f>IF(OR(Q20="",Q20="Sem monitoramento"),"VAZIO",IFERROR(Q20/($AI19*24),"-"))</f>
        <v>0.129</v>
      </c>
      <c r="AY19" s="68" t="e">
        <f>IF(OR(#REF!="",#REF!="Sem monitoramento"),"VAZIO",IFERROR(#REF!/($AI19*24),"-"))</f>
        <v>#REF!</v>
      </c>
      <c r="AZ19" s="68">
        <f>IF(OR(S19="",S19="Sem monitoramento"),"VAZIO",IFERROR(S19/($AI19*24),"-"))</f>
        <v>0.18904166666666666</v>
      </c>
      <c r="BA19" s="68">
        <f>IF(OR(T19="",T19="Sem monitoramento"),"VAZIO",IFERROR(T19/($AI19*24),"-"))</f>
        <v>0.18816666666666668</v>
      </c>
      <c r="BB19" s="68">
        <f t="shared" si="27"/>
        <v>0.17266666666666666</v>
      </c>
      <c r="BC19" s="68">
        <f t="shared" si="27"/>
        <v>0.13900000000000001</v>
      </c>
      <c r="BD19" s="68">
        <f t="shared" si="27"/>
        <v>0.19158333333333333</v>
      </c>
      <c r="BE19" s="68">
        <f t="shared" si="27"/>
        <v>0.18479166666666666</v>
      </c>
      <c r="BF19" s="68">
        <f>IF(OR(Y19="",Y19="Sem monitoramento"),"VAZIO",IFERROR(Y19/($AI19*24),"-"))</f>
        <v>0.171625</v>
      </c>
      <c r="BG19" s="68">
        <f t="shared" si="32"/>
        <v>0.18091666666666667</v>
      </c>
      <c r="BH19" s="68">
        <f t="shared" si="32"/>
        <v>0.10491666666666667</v>
      </c>
      <c r="BI19" s="68">
        <f>IF(OR(AB18="",AB18="Sem monitoramento"),"VAZIO",IFERROR(AB18/($AI19*24),"-"))</f>
        <v>8.8124999999999995E-2</v>
      </c>
      <c r="BJ19" s="68">
        <f t="shared" si="33"/>
        <v>0.16741666666666666</v>
      </c>
      <c r="BK19" s="68">
        <f t="shared" si="33"/>
        <v>7.8458333333333338E-2</v>
      </c>
      <c r="BL19" s="68">
        <f t="shared" si="33"/>
        <v>0.15558333333333332</v>
      </c>
      <c r="BM19" s="68">
        <f t="shared" si="33"/>
        <v>5.7374999999999995E-2</v>
      </c>
      <c r="BN19" s="68">
        <f t="shared" si="33"/>
        <v>0.18733333333333335</v>
      </c>
      <c r="BO19" s="70">
        <f t="shared" si="29"/>
        <v>0.13826111111111111</v>
      </c>
      <c r="BP19" s="198">
        <f>$BP$20</f>
        <v>0.168125</v>
      </c>
      <c r="BQ19" s="90">
        <f t="shared" si="23"/>
        <v>16.8125</v>
      </c>
      <c r="BR19" s="73">
        <f t="shared" si="24"/>
        <v>-8.1833333333333327E-2</v>
      </c>
      <c r="BS19" s="74">
        <f t="shared" si="9"/>
        <v>-2.9863888888888884E-2</v>
      </c>
      <c r="BT19" s="15" t="s">
        <v>23</v>
      </c>
      <c r="BU19" s="3"/>
      <c r="BV19" s="2"/>
      <c r="BW19" s="2"/>
    </row>
    <row r="20" spans="2:75" x14ac:dyDescent="0.3">
      <c r="B20" s="775"/>
      <c r="C20" s="326" t="s">
        <v>24</v>
      </c>
      <c r="D20" s="223">
        <v>163.19999999999999</v>
      </c>
      <c r="E20" s="63">
        <v>365.8</v>
      </c>
      <c r="F20" s="283">
        <v>154.80000000000001</v>
      </c>
      <c r="G20" s="283">
        <v>372.3</v>
      </c>
      <c r="H20" s="283">
        <v>370</v>
      </c>
      <c r="I20" s="63">
        <v>319</v>
      </c>
      <c r="J20" s="283">
        <v>111</v>
      </c>
      <c r="K20" s="63">
        <v>144.19999999999999</v>
      </c>
      <c r="L20" s="63">
        <v>109.3</v>
      </c>
      <c r="M20" s="283">
        <v>279.7</v>
      </c>
      <c r="N20" s="283">
        <v>303.3</v>
      </c>
      <c r="O20" s="283">
        <v>267.8</v>
      </c>
      <c r="P20" s="283">
        <v>345.8</v>
      </c>
      <c r="Q20" s="283">
        <v>309.60000000000002</v>
      </c>
      <c r="R20" s="63">
        <v>316.60000000000002</v>
      </c>
      <c r="S20" s="63">
        <v>374.5</v>
      </c>
      <c r="T20" s="63">
        <v>368.4</v>
      </c>
      <c r="U20" s="63">
        <v>348.9</v>
      </c>
      <c r="V20" s="283">
        <v>263.8</v>
      </c>
      <c r="W20" s="283">
        <v>371.5</v>
      </c>
      <c r="X20" s="316">
        <v>364</v>
      </c>
      <c r="Y20" s="283">
        <v>344.2</v>
      </c>
      <c r="Z20" s="63">
        <v>452.8</v>
      </c>
      <c r="AA20" s="18">
        <v>211</v>
      </c>
      <c r="AB20" s="323">
        <v>156.19999999999999</v>
      </c>
      <c r="AC20" s="15">
        <v>317.89999999999998</v>
      </c>
      <c r="AD20" s="283">
        <v>360.2</v>
      </c>
      <c r="AE20" s="221">
        <v>317</v>
      </c>
      <c r="AF20" s="15">
        <v>360.2</v>
      </c>
      <c r="AG20" s="15">
        <v>365.9</v>
      </c>
      <c r="AH20" s="335">
        <f t="shared" si="0"/>
        <v>8908.8999999999978</v>
      </c>
      <c r="AI20" s="118">
        <v>80</v>
      </c>
      <c r="AJ20" s="121">
        <f t="shared" si="25"/>
        <v>4.4791666666666669E-3</v>
      </c>
      <c r="AK20" s="67">
        <f t="shared" si="30"/>
        <v>8.4999999999999992E-2</v>
      </c>
      <c r="AL20" s="68">
        <f t="shared" si="30"/>
        <v>0.19052083333333333</v>
      </c>
      <c r="AM20" s="68">
        <f t="shared" si="30"/>
        <v>8.0625000000000002E-2</v>
      </c>
      <c r="AN20" s="68">
        <f t="shared" si="30"/>
        <v>0.19390625</v>
      </c>
      <c r="AO20" s="68">
        <f t="shared" si="30"/>
        <v>0.19270833333333334</v>
      </c>
      <c r="AP20" s="68">
        <f t="shared" si="30"/>
        <v>0.16614583333333333</v>
      </c>
      <c r="AQ20" s="68">
        <f t="shared" si="30"/>
        <v>5.7812500000000003E-2</v>
      </c>
      <c r="AR20" s="68">
        <f>IF(OR(K20="",K20="Sem monitoramento"),"VAZIO",IFERROR(K20/($AI20*24),"-"))</f>
        <v>7.5104166666666666E-2</v>
      </c>
      <c r="AS20" s="68">
        <f>IF(OR(L22="",L22="Sem monitoramento"),"VAZIO",IFERROR(L22/($AI20*24),"-"))</f>
        <v>5.1874999999999998E-2</v>
      </c>
      <c r="AT20" s="68" t="e">
        <f>IF(OR(#REF!="",#REF!="Sem monitoramento"),"VAZIO",IFERROR(#REF!/($AI20*24),"-"))</f>
        <v>#REF!</v>
      </c>
      <c r="AU20" s="68">
        <f>IF(OR(N20="",N20="Sem monitoramento"),"VAZIO",IFERROR(N20/($AI20*24),"-"))</f>
        <v>0.15796875000000002</v>
      </c>
      <c r="AV20" s="68">
        <f t="shared" si="34"/>
        <v>0.13947916666666668</v>
      </c>
      <c r="AW20" s="68">
        <f t="shared" si="34"/>
        <v>0.18010416666666668</v>
      </c>
      <c r="AX20" s="68" t="e">
        <f>IF(OR(#REF!="",#REF!="Sem monitoramento"),"VAZIO",IFERROR(#REF!/($AI20*24),"-"))</f>
        <v>#REF!</v>
      </c>
      <c r="AY20" s="68">
        <f>IF(OR(R20="",R20="Sem monitoramento"),"VAZIO",IFERROR(R20/($AI20*24),"-"))</f>
        <v>0.16489583333333335</v>
      </c>
      <c r="AZ20" s="68">
        <f>IF(OR(S20="",S20="Sem monitoramento"),"VAZIO",IFERROR(S20/($AI20*24),"-"))</f>
        <v>0.19505208333333332</v>
      </c>
      <c r="BA20" s="68">
        <f>IF(OR(T20="",T20="Sem monitoramento"),"VAZIO",IFERROR(T20/($AI20*24),"-"))</f>
        <v>0.19187499999999999</v>
      </c>
      <c r="BB20" s="68">
        <f t="shared" ref="BB20:BB25" si="35">IF(OR(U20="",U20="Sem monitoramento"),"VAZIO",IFERROR(U20/($AI20*24),"-"))</f>
        <v>0.18171874999999998</v>
      </c>
      <c r="BC20" s="68" t="e">
        <f>IF(OR(#REF!="",#REF!="Sem monitoramento"),"VAZIO",IFERROR(#REF!/($AI20*24),"-"))</f>
        <v>#REF!</v>
      </c>
      <c r="BD20" s="68">
        <f>IF(OR(W20="",W20="Sem monitoramento"),"VAZIO",IFERROR(W20/($AI20*24),"-"))</f>
        <v>0.19348958333333333</v>
      </c>
      <c r="BE20" s="68">
        <f>IF(OR(X22="",X22="Sem monitoramento"),"VAZIO",IFERROR(X22/($AI20*24),"-"))</f>
        <v>0.17541666666666667</v>
      </c>
      <c r="BF20" s="68" t="e">
        <f>IF(OR(#REF!="",#REF!="Sem monitoramento"),"VAZIO",IFERROR(#REF!/($AI20*24),"-"))</f>
        <v>#REF!</v>
      </c>
      <c r="BG20" s="68">
        <f t="shared" si="32"/>
        <v>0.23583333333333334</v>
      </c>
      <c r="BH20" s="68">
        <f t="shared" si="32"/>
        <v>0.10989583333333333</v>
      </c>
      <c r="BI20" s="68">
        <f>IF(OR(AB20="",AB20="Sem monitoramento"),"VAZIO",IFERROR(AB20/($AI20*24),"-"))</f>
        <v>8.1354166666666658E-2</v>
      </c>
      <c r="BJ20" s="68">
        <f t="shared" si="33"/>
        <v>0.16557291666666665</v>
      </c>
      <c r="BK20" s="68">
        <f t="shared" si="33"/>
        <v>0.18760416666666666</v>
      </c>
      <c r="BL20" s="68">
        <f t="shared" si="33"/>
        <v>0.16510416666666666</v>
      </c>
      <c r="BM20" s="68">
        <f t="shared" si="33"/>
        <v>0.18760416666666666</v>
      </c>
      <c r="BN20" s="68">
        <f t="shared" si="33"/>
        <v>0.19057291666666665</v>
      </c>
      <c r="BO20" s="70">
        <f t="shared" si="29"/>
        <v>0.15466840277777774</v>
      </c>
      <c r="BP20" s="180">
        <f>'FCs estimados em PVsyst'!Y17</f>
        <v>0.168125</v>
      </c>
      <c r="BQ20" s="72">
        <f t="shared" si="23"/>
        <v>13.45</v>
      </c>
      <c r="BR20" s="73">
        <f t="shared" si="24"/>
        <v>-8.7499999999999994E-2</v>
      </c>
      <c r="BS20" s="74">
        <f t="shared" si="9"/>
        <v>-1.3456597222222255E-2</v>
      </c>
      <c r="BT20" s="15" t="s">
        <v>24</v>
      </c>
      <c r="BU20" s="3"/>
      <c r="BV20" s="2"/>
      <c r="BW20" s="2"/>
    </row>
    <row r="21" spans="2:75" x14ac:dyDescent="0.3">
      <c r="B21" s="775"/>
      <c r="C21" s="326" t="s">
        <v>25</v>
      </c>
      <c r="D21" s="223">
        <v>201.4</v>
      </c>
      <c r="E21" s="63">
        <v>478.9</v>
      </c>
      <c r="F21" s="283">
        <v>199.1</v>
      </c>
      <c r="G21" s="63">
        <v>487.5</v>
      </c>
      <c r="H21" s="283">
        <v>487.4</v>
      </c>
      <c r="I21" s="63">
        <v>425</v>
      </c>
      <c r="J21" s="283">
        <v>147.5</v>
      </c>
      <c r="K21" s="316">
        <v>176.7</v>
      </c>
      <c r="L21" s="63">
        <v>134.80000000000001</v>
      </c>
      <c r="M21" s="63">
        <v>341.5</v>
      </c>
      <c r="N21" s="519">
        <v>370</v>
      </c>
      <c r="O21" s="283">
        <v>353.9</v>
      </c>
      <c r="P21" s="283">
        <v>433.1</v>
      </c>
      <c r="Q21" s="283">
        <v>484.5</v>
      </c>
      <c r="R21" s="316">
        <v>418.3</v>
      </c>
      <c r="S21" s="63">
        <v>490.2</v>
      </c>
      <c r="T21" s="283">
        <v>484.9</v>
      </c>
      <c r="U21" s="63">
        <v>446.6</v>
      </c>
      <c r="V21" s="519">
        <v>332.2</v>
      </c>
      <c r="W21" s="519">
        <v>483.2</v>
      </c>
      <c r="X21" s="283">
        <v>477.2</v>
      </c>
      <c r="Y21" s="283">
        <v>458.4</v>
      </c>
      <c r="Z21" s="316">
        <v>456.4</v>
      </c>
      <c r="AA21" s="18">
        <v>281.2</v>
      </c>
      <c r="AB21" s="323">
        <v>200.6</v>
      </c>
      <c r="AC21" s="283">
        <v>388.7</v>
      </c>
      <c r="AD21" s="283">
        <v>471.8</v>
      </c>
      <c r="AE21" s="283">
        <v>408.6</v>
      </c>
      <c r="AF21" s="283">
        <v>463.9</v>
      </c>
      <c r="AG21" s="283">
        <v>478.7</v>
      </c>
      <c r="AH21" s="335">
        <f t="shared" si="0"/>
        <v>11462.2</v>
      </c>
      <c r="AI21" s="118">
        <v>100</v>
      </c>
      <c r="AJ21" s="121">
        <f t="shared" si="25"/>
        <v>4.6087962962962957E-3</v>
      </c>
      <c r="AK21" s="67">
        <f t="shared" si="30"/>
        <v>8.3916666666666667E-2</v>
      </c>
      <c r="AL21" s="68">
        <f t="shared" si="30"/>
        <v>0.19954166666666664</v>
      </c>
      <c r="AM21" s="68">
        <f t="shared" si="30"/>
        <v>8.2958333333333328E-2</v>
      </c>
      <c r="AN21" s="68">
        <f t="shared" si="30"/>
        <v>0.203125</v>
      </c>
      <c r="AO21" s="68">
        <f t="shared" si="30"/>
        <v>0.20308333333333331</v>
      </c>
      <c r="AP21" s="68">
        <f t="shared" si="30"/>
        <v>0.17708333333333334</v>
      </c>
      <c r="AQ21" s="68">
        <f t="shared" si="30"/>
        <v>6.145833333333333E-2</v>
      </c>
      <c r="AR21" s="68">
        <f>IF(OR(K18="",K18="Sem monitoramento"),"VAZIO",IFERROR(K18/($AI21*24),"-"))</f>
        <v>7.9833333333333326E-2</v>
      </c>
      <c r="AS21" s="68">
        <f>IF(OR(L21="",L21="Sem monitoramento"),"VAZIO",IFERROR(L21/($AI21*24),"-"))</f>
        <v>5.616666666666667E-2</v>
      </c>
      <c r="AT21" s="68">
        <f>IF(OR(M21="",M21="Sem monitoramento"),"VAZIO",IFERROR(M21/($AI21*24),"-"))</f>
        <v>0.14229166666666668</v>
      </c>
      <c r="AU21" s="68">
        <f>IF(OR(N22="",N22="Sem monitoramento"),"VAZIO",IFERROR(N22/($AI21*24),"-"))</f>
        <v>0.11749999999999999</v>
      </c>
      <c r="AV21" s="68">
        <f t="shared" si="34"/>
        <v>0.14745833333333333</v>
      </c>
      <c r="AW21" s="68">
        <f t="shared" si="34"/>
        <v>0.18045833333333333</v>
      </c>
      <c r="AX21" s="68">
        <f t="shared" ref="AX21:AX32" si="36">IF(OR(Q21="",Q21="Sem monitoramento"),"VAZIO",IFERROR(Q21/($AI21*24),"-"))</f>
        <v>0.201875</v>
      </c>
      <c r="AY21" s="68">
        <f>IF(OR(R19="",R19="Sem monitoramento"),"VAZIO",IFERROR(R19/($AI21*24),"-"))</f>
        <v>0.15929166666666666</v>
      </c>
      <c r="AZ21" s="68">
        <f>IF(OR(S22="",S22="Sem monitoramento"),"VAZIO",IFERROR(S22/($AI21*24),"-"))</f>
        <v>0.144375</v>
      </c>
      <c r="BA21" s="68" t="e">
        <f>IF(OR(#REF!="",#REF!="Sem monitoramento"),"VAZIO",IFERROR(#REF!/($AI21*24),"-"))</f>
        <v>#REF!</v>
      </c>
      <c r="BB21" s="68">
        <f t="shared" si="35"/>
        <v>0.18608333333333335</v>
      </c>
      <c r="BC21" s="68">
        <f>IF(OR(V20="",V20="Sem monitoramento"),"VAZIO",IFERROR(V20/($AI21*24),"-"))</f>
        <v>0.10991666666666668</v>
      </c>
      <c r="BD21" s="68">
        <f>IF(OR(W22="",W22="Sem monitoramento"),"VAZIO",IFERROR(W22/($AI21*24),"-"))</f>
        <v>0.14270833333333333</v>
      </c>
      <c r="BE21" s="68">
        <f>IF(OR(X23="",X23="Sem monitoramento"),"VAZIO",IFERROR(X23/($AI21*24),"-"))</f>
        <v>0.19125</v>
      </c>
      <c r="BF21" s="68">
        <f>IF(OR(Y19="",Y19="Sem monitoramento"),"VAZIO",IFERROR(Y19/($AI21*24),"-"))</f>
        <v>0.171625</v>
      </c>
      <c r="BG21" s="68">
        <f t="shared" si="32"/>
        <v>0.19016666666666665</v>
      </c>
      <c r="BH21" s="68">
        <f t="shared" si="32"/>
        <v>0.11716666666666666</v>
      </c>
      <c r="BI21" s="68">
        <f>IF(OR(AB21="",AB21="Sem monitoramento"),"VAZIO",IFERROR(AB21/($AI21*24),"-"))</f>
        <v>8.3583333333333329E-2</v>
      </c>
      <c r="BJ21" s="68">
        <f t="shared" ref="BJ21:BJ32" si="37">IF(OR(AC21="",AC21="Sem monitoramento"),"VAZIO",IFERROR(AC21/($AI21*24),"-"))</f>
        <v>0.16195833333333332</v>
      </c>
      <c r="BK21" s="68">
        <f>IF(OR(AD22="",AD22="Sem monitoramento"),"VAZIO",IFERROR(AD22/($AI21*24),"-"))</f>
        <v>0.137875</v>
      </c>
      <c r="BL21" s="68">
        <f t="shared" ref="BL21:BN22" si="38">IF(OR(AE21="",AE21="Sem monitoramento"),"VAZIO",IFERROR(AE21/($AI21*24),"-"))</f>
        <v>0.17025000000000001</v>
      </c>
      <c r="BM21" s="68">
        <f t="shared" si="38"/>
        <v>0.19329166666666667</v>
      </c>
      <c r="BN21" s="68">
        <f t="shared" si="38"/>
        <v>0.19945833333333332</v>
      </c>
      <c r="BO21" s="70">
        <f t="shared" si="29"/>
        <v>0.15919722222222224</v>
      </c>
      <c r="BP21" s="198">
        <f t="shared" ref="BP21:BP31" si="39">$BP$20</f>
        <v>0.168125</v>
      </c>
      <c r="BQ21" s="72">
        <f t="shared" si="23"/>
        <v>16.8125</v>
      </c>
      <c r="BR21" s="73">
        <f t="shared" si="24"/>
        <v>-8.5166666666666668E-2</v>
      </c>
      <c r="BS21" s="74">
        <f t="shared" si="9"/>
        <v>-8.9277777777777567E-3</v>
      </c>
      <c r="BT21" s="15" t="s">
        <v>25</v>
      </c>
      <c r="BU21" s="3"/>
      <c r="BV21" s="2"/>
      <c r="BW21" s="2"/>
    </row>
    <row r="22" spans="2:75" x14ac:dyDescent="0.3">
      <c r="B22" s="775"/>
      <c r="C22" s="326" t="s">
        <v>26</v>
      </c>
      <c r="D22" s="223">
        <v>149.69999999999999</v>
      </c>
      <c r="E22" s="283">
        <v>351.5</v>
      </c>
      <c r="F22" s="283">
        <v>150.69999999999999</v>
      </c>
      <c r="G22" s="283">
        <v>345.2</v>
      </c>
      <c r="H22" s="283">
        <v>347.6</v>
      </c>
      <c r="I22" s="63">
        <v>308.7</v>
      </c>
      <c r="J22" s="283">
        <v>114.3</v>
      </c>
      <c r="K22" s="63">
        <v>127.7</v>
      </c>
      <c r="L22" s="283">
        <v>99.6</v>
      </c>
      <c r="M22" s="316">
        <v>267.10000000000002</v>
      </c>
      <c r="N22" s="283">
        <v>282</v>
      </c>
      <c r="O22" s="283">
        <v>259.3</v>
      </c>
      <c r="P22" s="63">
        <v>339.7</v>
      </c>
      <c r="Q22" s="283">
        <v>350</v>
      </c>
      <c r="R22" s="63">
        <v>304.89999999999998</v>
      </c>
      <c r="S22" s="63">
        <v>346.5</v>
      </c>
      <c r="T22" s="316">
        <v>346.8</v>
      </c>
      <c r="U22" s="283">
        <v>326.3</v>
      </c>
      <c r="V22" s="283">
        <v>240.6</v>
      </c>
      <c r="W22" s="283">
        <v>342.5</v>
      </c>
      <c r="X22" s="283">
        <v>336.8</v>
      </c>
      <c r="Y22" s="283">
        <v>326.3</v>
      </c>
      <c r="Z22" s="63">
        <v>323.3</v>
      </c>
      <c r="AA22" s="320">
        <v>207.9</v>
      </c>
      <c r="AB22" s="323">
        <v>151.6</v>
      </c>
      <c r="AC22" s="221">
        <v>277.5</v>
      </c>
      <c r="AD22" s="283">
        <v>330.9</v>
      </c>
      <c r="AE22" s="221">
        <v>295.5</v>
      </c>
      <c r="AF22" s="221">
        <v>329</v>
      </c>
      <c r="AG22" s="221">
        <v>334.1</v>
      </c>
      <c r="AH22" s="335">
        <f t="shared" si="0"/>
        <v>8313.6</v>
      </c>
      <c r="AI22" s="118">
        <v>100</v>
      </c>
      <c r="AJ22" s="121">
        <f t="shared" si="25"/>
        <v>3.4884259259259256E-3</v>
      </c>
      <c r="AK22" s="67">
        <f t="shared" si="30"/>
        <v>6.2374999999999993E-2</v>
      </c>
      <c r="AL22" s="68">
        <f t="shared" si="30"/>
        <v>0.14645833333333333</v>
      </c>
      <c r="AM22" s="68">
        <f t="shared" si="30"/>
        <v>6.2791666666666662E-2</v>
      </c>
      <c r="AN22" s="68">
        <f t="shared" si="30"/>
        <v>0.14383333333333334</v>
      </c>
      <c r="AO22" s="68">
        <f t="shared" si="30"/>
        <v>0.14483333333333334</v>
      </c>
      <c r="AP22" s="68">
        <f t="shared" si="30"/>
        <v>0.12862499999999999</v>
      </c>
      <c r="AQ22" s="68">
        <f t="shared" si="30"/>
        <v>4.7625000000000001E-2</v>
      </c>
      <c r="AR22" s="68">
        <f t="shared" ref="AR22:AR32" si="40">IF(OR(K22="",K22="Sem monitoramento"),"VAZIO",IFERROR(K22/($AI22*24),"-"))</f>
        <v>5.3208333333333337E-2</v>
      </c>
      <c r="AS22" s="68">
        <f t="shared" ref="AS22:AS32" si="41">IF(OR(L22="",L22="Sem monitoramento"),"VAZIO",IFERROR(L22/($AI22*24),"-"))</f>
        <v>4.1499999999999995E-2</v>
      </c>
      <c r="AT22" s="68">
        <f>IF(OR(M20="",M20="Sem monitoramento"),"VAZIO",IFERROR(M20/($AI22*24),"-"))</f>
        <v>0.11654166666666667</v>
      </c>
      <c r="AU22" s="68">
        <f>IF(OR(N23="",N23="Sem monitoramento"),"VAZIO",IFERROR(N23/($AI22*24),"-"))</f>
        <v>0.137375</v>
      </c>
      <c r="AV22" s="68">
        <f t="shared" si="34"/>
        <v>0.10804166666666667</v>
      </c>
      <c r="AW22" s="68">
        <f t="shared" si="34"/>
        <v>0.14154166666666665</v>
      </c>
      <c r="AX22" s="68">
        <f t="shared" si="36"/>
        <v>0.14583333333333334</v>
      </c>
      <c r="AY22" s="68">
        <f t="shared" ref="AY22:AY32" si="42">IF(OR(R22="",R22="Sem monitoramento"),"VAZIO",IFERROR(R22/($AI22*24),"-"))</f>
        <v>0.12704166666666666</v>
      </c>
      <c r="AZ22" s="68">
        <f>IF(OR(S23="",S23="Sem monitoramento"),"VAZIO",IFERROR(S23/($AI22*24),"-"))</f>
        <v>0.19525000000000001</v>
      </c>
      <c r="BA22" s="68">
        <f>IF(OR(T21="",T21="Sem monitoramento"),"VAZIO",IFERROR(T21/($AI22*24),"-"))</f>
        <v>0.20204166666666665</v>
      </c>
      <c r="BB22" s="68">
        <f t="shared" si="35"/>
        <v>0.13595833333333335</v>
      </c>
      <c r="BC22" s="68">
        <f>IF(OR(V22="",V22="Sem monitoramento"),"VAZIO",IFERROR(V22/($AI22*24),"-"))</f>
        <v>0.10024999999999999</v>
      </c>
      <c r="BD22" s="68" t="e">
        <f>IF(OR(#REF!="",#REF!="Sem monitoramento"),"VAZIO",IFERROR(#REF!/($AI22*24),"-"))</f>
        <v>#REF!</v>
      </c>
      <c r="BE22" s="68">
        <f>IF(OR(X24="",X24="Sem monitoramento"),"VAZIO",IFERROR(X24/($AI22*24),"-"))</f>
        <v>0.17516666666666666</v>
      </c>
      <c r="BF22" s="68">
        <f>IF(OR(Y22="",Y22="Sem monitoramento"),"VAZIO",IFERROR(Y22/($AI22*24),"-"))</f>
        <v>0.13595833333333335</v>
      </c>
      <c r="BG22" s="68">
        <f t="shared" si="32"/>
        <v>0.13470833333333335</v>
      </c>
      <c r="BH22" s="68">
        <f t="shared" si="32"/>
        <v>8.6625000000000008E-2</v>
      </c>
      <c r="BI22" s="68">
        <f>IF(OR(AB21="",AB21="Sem monitoramento"),"VAZIO",IFERROR(AB21/($AI22*24),"-"))</f>
        <v>8.3583333333333329E-2</v>
      </c>
      <c r="BJ22" s="68">
        <f t="shared" si="37"/>
        <v>0.11562500000000001</v>
      </c>
      <c r="BK22" s="68" t="e">
        <f>IF(OR(#REF!="",#REF!="Sem monitoramento"),"VAZIO",IFERROR(#REF!/($AI22*24),"-"))</f>
        <v>#REF!</v>
      </c>
      <c r="BL22" s="68">
        <f t="shared" si="38"/>
        <v>0.123125</v>
      </c>
      <c r="BM22" s="68">
        <f t="shared" si="38"/>
        <v>0.13708333333333333</v>
      </c>
      <c r="BN22" s="68">
        <f t="shared" si="38"/>
        <v>0.13920833333333335</v>
      </c>
      <c r="BO22" s="70">
        <f t="shared" si="29"/>
        <v>0.11546666666666668</v>
      </c>
      <c r="BP22" s="198">
        <f t="shared" si="39"/>
        <v>0.168125</v>
      </c>
      <c r="BQ22" s="72">
        <f t="shared" si="23"/>
        <v>16.8125</v>
      </c>
      <c r="BR22" s="73">
        <f t="shared" si="24"/>
        <v>-0.10533333333333333</v>
      </c>
      <c r="BS22" s="74">
        <f t="shared" si="9"/>
        <v>-5.2658333333333321E-2</v>
      </c>
      <c r="BT22" s="15" t="s">
        <v>26</v>
      </c>
      <c r="BU22" s="3"/>
      <c r="BV22" s="2"/>
      <c r="BW22" s="2"/>
    </row>
    <row r="23" spans="2:75" x14ac:dyDescent="0.3">
      <c r="B23" s="775"/>
      <c r="C23" s="326" t="s">
        <v>28</v>
      </c>
      <c r="D23" s="223">
        <v>222.3</v>
      </c>
      <c r="E23" s="283">
        <v>424</v>
      </c>
      <c r="F23" s="283">
        <v>290.8</v>
      </c>
      <c r="G23" s="283">
        <v>436.2</v>
      </c>
      <c r="H23" s="283">
        <v>454.7</v>
      </c>
      <c r="I23" s="283">
        <v>343.1</v>
      </c>
      <c r="J23" s="283">
        <v>203.2</v>
      </c>
      <c r="K23" s="63">
        <v>182.5</v>
      </c>
      <c r="L23" s="63">
        <v>131.30000000000001</v>
      </c>
      <c r="M23" s="63">
        <v>412.1</v>
      </c>
      <c r="N23" s="63">
        <v>329.7</v>
      </c>
      <c r="O23" s="283">
        <v>319.8</v>
      </c>
      <c r="P23" s="283">
        <v>428.4</v>
      </c>
      <c r="Q23" s="283">
        <v>389.8</v>
      </c>
      <c r="R23" s="283">
        <v>404.8</v>
      </c>
      <c r="S23" s="283">
        <v>468.6</v>
      </c>
      <c r="T23" s="63">
        <v>457.4</v>
      </c>
      <c r="U23" s="63">
        <v>431.6</v>
      </c>
      <c r="V23" s="283">
        <v>362.4</v>
      </c>
      <c r="W23" s="283">
        <v>461.9</v>
      </c>
      <c r="X23" s="63">
        <v>459</v>
      </c>
      <c r="Y23" s="519">
        <v>390.5</v>
      </c>
      <c r="Z23" s="15">
        <v>438.2</v>
      </c>
      <c r="AA23" s="18">
        <v>234.4</v>
      </c>
      <c r="AB23" s="20">
        <v>200.5</v>
      </c>
      <c r="AC23" s="15">
        <v>321.5</v>
      </c>
      <c r="AD23" s="221">
        <v>447</v>
      </c>
      <c r="AE23" s="15">
        <v>309.5</v>
      </c>
      <c r="AF23" s="15">
        <v>468.9</v>
      </c>
      <c r="AG23" s="15">
        <v>458.4</v>
      </c>
      <c r="AH23" s="335">
        <f t="shared" si="0"/>
        <v>10882.499999999998</v>
      </c>
      <c r="AI23" s="118">
        <v>100</v>
      </c>
      <c r="AJ23" s="121">
        <f t="shared" si="25"/>
        <v>6.7314814814814815E-3</v>
      </c>
      <c r="AK23" s="67">
        <f t="shared" si="30"/>
        <v>9.2624999999999999E-2</v>
      </c>
      <c r="AL23" s="68">
        <f t="shared" si="30"/>
        <v>0.17666666666666667</v>
      </c>
      <c r="AM23" s="68">
        <f t="shared" si="30"/>
        <v>0.12116666666666667</v>
      </c>
      <c r="AN23" s="68">
        <f t="shared" si="30"/>
        <v>0.18174999999999999</v>
      </c>
      <c r="AO23" s="68">
        <f t="shared" si="30"/>
        <v>0.18945833333333334</v>
      </c>
      <c r="AP23" s="68">
        <f t="shared" si="30"/>
        <v>0.14295833333333335</v>
      </c>
      <c r="AQ23" s="68">
        <f t="shared" si="30"/>
        <v>8.4666666666666668E-2</v>
      </c>
      <c r="AR23" s="68">
        <f t="shared" si="40"/>
        <v>7.604166666666666E-2</v>
      </c>
      <c r="AS23" s="68">
        <f t="shared" si="41"/>
        <v>5.4708333333333338E-2</v>
      </c>
      <c r="AT23" s="68" t="e">
        <f>IF(OR(#REF!="",#REF!="Sem monitoramento"),"VAZIO",IFERROR(#REF!/($AI23*24),"-"))</f>
        <v>#REF!</v>
      </c>
      <c r="AU23" s="68">
        <f>IF(OR(N23="",N23="Sem monitoramento"),"VAZIO",IFERROR(N23/($AI23*24),"-"))</f>
        <v>0.137375</v>
      </c>
      <c r="AV23" s="68">
        <f t="shared" si="34"/>
        <v>0.13325000000000001</v>
      </c>
      <c r="AW23" s="68">
        <f t="shared" si="34"/>
        <v>0.17849999999999999</v>
      </c>
      <c r="AX23" s="68">
        <f t="shared" si="36"/>
        <v>0.16241666666666668</v>
      </c>
      <c r="AY23" s="68">
        <f t="shared" si="42"/>
        <v>0.16866666666666666</v>
      </c>
      <c r="AZ23" s="68">
        <f>IF(OR(S23="",S23="Sem monitoramento"),"VAZIO",IFERROR(S23/($AI23*24),"-"))</f>
        <v>0.19525000000000001</v>
      </c>
      <c r="BA23" s="68">
        <f>IF(OR(T23="",T23="Sem monitoramento"),"VAZIO",IFERROR(T23/($AI23*24),"-"))</f>
        <v>0.19058333333333333</v>
      </c>
      <c r="BB23" s="68">
        <f t="shared" si="35"/>
        <v>0.17983333333333335</v>
      </c>
      <c r="BC23" s="68">
        <f>IF(OR(V23="",V23="Sem monitoramento"),"VAZIO",IFERROR(V23/($AI23*24),"-"))</f>
        <v>0.151</v>
      </c>
      <c r="BD23" s="68">
        <f>IF(OR(W23="",W23="Sem monitoramento"),"VAZIO",IFERROR(W23/($AI23*24),"-"))</f>
        <v>0.19245833333333331</v>
      </c>
      <c r="BE23" s="68">
        <f>IF(OR(X23="",X23="Sem monitoramento"),"VAZIO",IFERROR(X23/($AI23*24),"-"))</f>
        <v>0.19125</v>
      </c>
      <c r="BF23" s="68">
        <f>IF(OR(Y20="",Y20="Sem monitoramento"),"VAZIO",IFERROR(Y20/($AI23*24),"-"))</f>
        <v>0.14341666666666666</v>
      </c>
      <c r="BG23" s="68">
        <f t="shared" si="32"/>
        <v>0.18258333333333332</v>
      </c>
      <c r="BH23" s="68">
        <f t="shared" si="32"/>
        <v>9.7666666666666666E-2</v>
      </c>
      <c r="BI23" s="68">
        <f>IF(OR(AB22="",AB22="Sem monitoramento"),"VAZIO",IFERROR(AB22/($AI23*24),"-"))</f>
        <v>6.3166666666666663E-2</v>
      </c>
      <c r="BJ23" s="68">
        <f t="shared" si="37"/>
        <v>0.13395833333333335</v>
      </c>
      <c r="BK23" s="68">
        <f>IF(OR(AD23="",AD23="Sem monitoramento"),"VAZIO",IFERROR(AD23/($AI23*24),"-"))</f>
        <v>0.18625</v>
      </c>
      <c r="BL23" s="68">
        <f>IF(OR(AE23="",AE23="Sem monitoramento"),"VAZIO",IFERROR(AE23/($AI23*24),"-"))</f>
        <v>0.12895833333333334</v>
      </c>
      <c r="BM23" s="68">
        <f>IF(OR(AF23="",AF23="Sem monitoramento"),"VAZIO",IFERROR(AF23/($AI23*24),"-"))</f>
        <v>0.19537499999999999</v>
      </c>
      <c r="BN23" s="68">
        <f>IF(OR(AG24="",AG24="Sem monitoramento"),"VAZIO",IFERROR(AG24/($AI23*24),"-"))</f>
        <v>0.17599999999999999</v>
      </c>
      <c r="BO23" s="70">
        <f t="shared" si="29"/>
        <v>0.15114583333333331</v>
      </c>
      <c r="BP23" s="198">
        <f t="shared" si="39"/>
        <v>0.168125</v>
      </c>
      <c r="BQ23" s="72">
        <f t="shared" si="23"/>
        <v>16.8125</v>
      </c>
      <c r="BR23" s="73">
        <f t="shared" si="24"/>
        <v>-4.6958333333333324E-2</v>
      </c>
      <c r="BS23" s="74">
        <f t="shared" si="9"/>
        <v>-1.6979166666666684E-2</v>
      </c>
      <c r="BT23" s="15" t="s">
        <v>27</v>
      </c>
      <c r="BU23" s="3"/>
      <c r="BV23" s="2"/>
      <c r="BW23" s="2"/>
    </row>
    <row r="24" spans="2:75" x14ac:dyDescent="0.3">
      <c r="B24" s="775"/>
      <c r="C24" s="326" t="s">
        <v>29</v>
      </c>
      <c r="D24" s="223">
        <v>201.2</v>
      </c>
      <c r="E24" s="63">
        <v>390.6</v>
      </c>
      <c r="F24" s="283">
        <v>265.2</v>
      </c>
      <c r="G24" s="63">
        <v>397.2</v>
      </c>
      <c r="H24" s="283">
        <v>416.9</v>
      </c>
      <c r="I24" s="63">
        <v>315.60000000000002</v>
      </c>
      <c r="J24" s="63">
        <v>183.5</v>
      </c>
      <c r="K24" s="63">
        <v>164.4</v>
      </c>
      <c r="L24" s="63">
        <v>117.7</v>
      </c>
      <c r="M24" s="316">
        <v>380.3</v>
      </c>
      <c r="N24" s="519">
        <v>302.5</v>
      </c>
      <c r="O24" s="519">
        <v>295.2</v>
      </c>
      <c r="P24" s="283">
        <v>400</v>
      </c>
      <c r="Q24" s="283">
        <v>355.8</v>
      </c>
      <c r="R24" s="63">
        <v>370.6</v>
      </c>
      <c r="S24" s="63">
        <v>428.8</v>
      </c>
      <c r="T24" s="316">
        <v>416.5</v>
      </c>
      <c r="U24" s="63">
        <v>395.9</v>
      </c>
      <c r="V24" s="283">
        <v>332.9</v>
      </c>
      <c r="W24" s="283">
        <v>421.5</v>
      </c>
      <c r="X24" s="63">
        <v>420.4</v>
      </c>
      <c r="Y24" s="63">
        <v>356.2</v>
      </c>
      <c r="Z24" s="15">
        <v>400.6</v>
      </c>
      <c r="AA24" s="18">
        <v>213.4</v>
      </c>
      <c r="AB24" s="20">
        <v>181.3</v>
      </c>
      <c r="AC24" s="15">
        <v>292.39999999999998</v>
      </c>
      <c r="AD24" s="519">
        <v>410.2</v>
      </c>
      <c r="AE24" s="15">
        <v>281.89999999999998</v>
      </c>
      <c r="AF24" s="15">
        <v>431.1</v>
      </c>
      <c r="AG24" s="15">
        <v>422.4</v>
      </c>
      <c r="AH24" s="335">
        <f t="shared" si="0"/>
        <v>9962.1999999999989</v>
      </c>
      <c r="AI24" s="118">
        <v>100</v>
      </c>
      <c r="AJ24" s="121">
        <f t="shared" si="25"/>
        <v>6.138888888888889E-3</v>
      </c>
      <c r="AK24" s="67">
        <f t="shared" si="30"/>
        <v>8.3833333333333329E-2</v>
      </c>
      <c r="AL24" s="68">
        <f t="shared" si="30"/>
        <v>0.16275000000000001</v>
      </c>
      <c r="AM24" s="68">
        <f t="shared" si="30"/>
        <v>0.1105</v>
      </c>
      <c r="AN24" s="68">
        <f t="shared" si="30"/>
        <v>0.16550000000000001</v>
      </c>
      <c r="AO24" s="68">
        <f t="shared" si="30"/>
        <v>0.17370833333333333</v>
      </c>
      <c r="AP24" s="68">
        <f t="shared" si="30"/>
        <v>0.13150000000000001</v>
      </c>
      <c r="AQ24" s="68">
        <f t="shared" si="30"/>
        <v>7.6458333333333336E-2</v>
      </c>
      <c r="AR24" s="68">
        <f t="shared" si="40"/>
        <v>6.8500000000000005E-2</v>
      </c>
      <c r="AS24" s="68">
        <f t="shared" si="41"/>
        <v>4.9041666666666671E-2</v>
      </c>
      <c r="AT24" s="68">
        <f>IF(OR(M23="",M23="Sem monitoramento"),"VAZIO",IFERROR(M23/($AI24*24),"-"))</f>
        <v>0.17170833333333335</v>
      </c>
      <c r="AU24" s="68">
        <f>IF(OR(N25="",N25="Sem monitoramento"),"VAZIO",IFERROR(N25/($AI24*24),"-"))</f>
        <v>0.4893333333333334</v>
      </c>
      <c r="AV24" s="68">
        <f>IF(OR(O21="",O21="Sem monitoramento"),"VAZIO",IFERROR(O21/($AI24*24),"-"))</f>
        <v>0.14745833333333333</v>
      </c>
      <c r="AW24" s="68">
        <f t="shared" ref="AW24:AW32" si="43">IF(OR(P24="",P24="Sem monitoramento"),"VAZIO",IFERROR(P24/($AI24*24),"-"))</f>
        <v>0.16666666666666666</v>
      </c>
      <c r="AX24" s="68">
        <f t="shared" si="36"/>
        <v>0.14824999999999999</v>
      </c>
      <c r="AY24" s="68">
        <f t="shared" si="42"/>
        <v>0.15441666666666667</v>
      </c>
      <c r="AZ24" s="68">
        <f t="shared" ref="AZ24:AZ32" si="44">IF(OR(S24="",S24="Sem monitoramento"),"VAZIO",IFERROR(S24/($AI24*24),"-"))</f>
        <v>0.17866666666666667</v>
      </c>
      <c r="BA24" s="68" t="e">
        <f>IF(OR(#REF!="",#REF!="Sem monitoramento"),"VAZIO",IFERROR(#REF!/($AI24*24),"-"))</f>
        <v>#REF!</v>
      </c>
      <c r="BB24" s="68">
        <f t="shared" si="35"/>
        <v>0.16495833333333332</v>
      </c>
      <c r="BC24" s="68">
        <f>IF(OR(V24="",V24="Sem monitoramento"),"VAZIO",IFERROR(V24/($AI24*24),"-"))</f>
        <v>0.13870833333333332</v>
      </c>
      <c r="BD24" s="68" t="e">
        <f>IF(OR(#REF!="",#REF!="Sem monitoramento"),"VAZIO",IFERROR(#REF!/($AI24*24),"-"))</f>
        <v>#REF!</v>
      </c>
      <c r="BE24" s="68">
        <f>IF(OR(X24="",X24="Sem monitoramento"),"VAZIO",IFERROR(X24/($AI24*24),"-"))</f>
        <v>0.17516666666666666</v>
      </c>
      <c r="BF24" s="68">
        <f>IF(OR(Y24="",Y24="Sem monitoramento"),"VAZIO",IFERROR(Y24/($AI24*24),"-"))</f>
        <v>0.14841666666666667</v>
      </c>
      <c r="BG24" s="68">
        <f t="shared" si="32"/>
        <v>0.16691666666666669</v>
      </c>
      <c r="BH24" s="68">
        <f t="shared" si="32"/>
        <v>8.8916666666666672E-2</v>
      </c>
      <c r="BI24" s="68">
        <f t="shared" ref="BI24:BI32" si="45">IF(OR(AB24="",AB24="Sem monitoramento"),"VAZIO",IFERROR(AB24/($AI24*24),"-"))</f>
        <v>7.5541666666666674E-2</v>
      </c>
      <c r="BJ24" s="68">
        <f t="shared" si="37"/>
        <v>0.12183333333333332</v>
      </c>
      <c r="BK24" s="68">
        <f>IF(OR(AD25="",AD25="Sem monitoramento"),"VAZIO",IFERROR(AD25/($AI24*24),"-"))</f>
        <v>0.66249999999999998</v>
      </c>
      <c r="BL24" s="68">
        <f t="shared" ref="BL24:BM28" si="46">IF(OR(AE24="",AE24="Sem monitoramento"),"VAZIO",IFERROR(AE24/($AI24*24),"-"))</f>
        <v>0.11745833333333332</v>
      </c>
      <c r="BM24" s="68">
        <f t="shared" si="46"/>
        <v>0.17962500000000001</v>
      </c>
      <c r="BN24" s="68" t="e">
        <f>IF(OR(#REF!="",#REF!="Sem monitoramento"),"VAZIO",IFERROR(#REF!/($AI24*24),"-"))</f>
        <v>#REF!</v>
      </c>
      <c r="BO24" s="70">
        <f t="shared" si="29"/>
        <v>0.13836388888888887</v>
      </c>
      <c r="BP24" s="198">
        <f t="shared" si="39"/>
        <v>0.168125</v>
      </c>
      <c r="BQ24" s="72">
        <f t="shared" si="23"/>
        <v>16.8125</v>
      </c>
      <c r="BR24" s="73">
        <f t="shared" si="24"/>
        <v>-5.7624999999999996E-2</v>
      </c>
      <c r="BS24" s="74">
        <f t="shared" si="9"/>
        <v>-2.9761111111111127E-2</v>
      </c>
      <c r="BT24" s="15" t="s">
        <v>28</v>
      </c>
      <c r="BU24" s="3"/>
      <c r="BV24" s="2"/>
      <c r="BW24" s="2"/>
    </row>
    <row r="25" spans="2:75" x14ac:dyDescent="0.3">
      <c r="B25" s="775"/>
      <c r="C25" s="326" t="s">
        <v>30</v>
      </c>
      <c r="D25" s="223">
        <v>774.2</v>
      </c>
      <c r="E25" s="63">
        <v>1508.4</v>
      </c>
      <c r="F25" s="283">
        <v>1030</v>
      </c>
      <c r="G25" s="63">
        <v>1539</v>
      </c>
      <c r="H25" s="283">
        <v>1613.2</v>
      </c>
      <c r="I25" s="63">
        <v>1229</v>
      </c>
      <c r="J25" s="316">
        <v>712.4</v>
      </c>
      <c r="K25" s="63">
        <v>636.5</v>
      </c>
      <c r="L25" s="63">
        <v>458.2</v>
      </c>
      <c r="M25" s="63">
        <v>1468.8</v>
      </c>
      <c r="N25" s="63">
        <v>1174.4000000000001</v>
      </c>
      <c r="O25" s="283">
        <v>1149</v>
      </c>
      <c r="P25" s="283">
        <v>1529</v>
      </c>
      <c r="Q25" s="283">
        <v>1380</v>
      </c>
      <c r="R25" s="63">
        <v>1431.9</v>
      </c>
      <c r="S25" s="63">
        <v>1669.3</v>
      </c>
      <c r="T25" s="63">
        <f>598.6+436.3+574.1</f>
        <v>1609</v>
      </c>
      <c r="U25" s="63">
        <v>1528.6</v>
      </c>
      <c r="V25" s="283">
        <v>1282.8</v>
      </c>
      <c r="W25" s="316">
        <v>1639</v>
      </c>
      <c r="X25" s="316">
        <v>1629</v>
      </c>
      <c r="Y25" s="63">
        <v>1380</v>
      </c>
      <c r="Z25" s="15">
        <v>1549</v>
      </c>
      <c r="AA25" s="18">
        <v>828.2</v>
      </c>
      <c r="AB25" s="323">
        <v>707.3</v>
      </c>
      <c r="AC25" s="221">
        <v>1132.5</v>
      </c>
      <c r="AD25" s="15">
        <v>1590</v>
      </c>
      <c r="AE25" s="15">
        <v>1099</v>
      </c>
      <c r="AF25" s="15">
        <v>1669</v>
      </c>
      <c r="AG25" s="15">
        <v>1648</v>
      </c>
      <c r="AH25" s="335">
        <f t="shared" si="0"/>
        <v>38594.699999999997</v>
      </c>
      <c r="AI25" s="118">
        <v>383</v>
      </c>
      <c r="AJ25" s="121">
        <f t="shared" si="25"/>
        <v>6.2252199980659508E-3</v>
      </c>
      <c r="AK25" s="67">
        <f t="shared" ref="AK25:AP26" si="47">IF(OR(D25="",D25="Sem monitoramento"),"VAZIO",IFERROR(D25/($AI25*24),"-"))</f>
        <v>8.4225413402959096E-2</v>
      </c>
      <c r="AL25" s="68">
        <f t="shared" si="47"/>
        <v>0.16409921671018277</v>
      </c>
      <c r="AM25" s="68">
        <f t="shared" si="47"/>
        <v>0.11205395996518712</v>
      </c>
      <c r="AN25" s="68">
        <f t="shared" si="47"/>
        <v>0.16742819843342036</v>
      </c>
      <c r="AO25" s="68">
        <f t="shared" si="47"/>
        <v>0.17550043516100958</v>
      </c>
      <c r="AP25" s="68">
        <f t="shared" si="47"/>
        <v>0.13370322019147085</v>
      </c>
      <c r="AQ25" s="68">
        <f>IF(OR(J30="",J30="Sem monitoramento"),"VAZIO",IFERROR(J30/($AI25*24),"-"))</f>
        <v>9.2580504786771104E-3</v>
      </c>
      <c r="AR25" s="68">
        <f t="shared" si="40"/>
        <v>6.9244995648389901E-2</v>
      </c>
      <c r="AS25" s="68">
        <f t="shared" si="41"/>
        <v>4.984769364664926E-2</v>
      </c>
      <c r="AT25" s="68">
        <f t="shared" ref="AT25:AT32" si="48">IF(OR(M25="",M25="Sem monitoramento"),"VAZIO",IFERROR(M25/($AI25*24),"-"))</f>
        <v>0.15979112271540469</v>
      </c>
      <c r="AU25" s="68" t="e">
        <f>IF(OR(#REF!="",#REF!="Sem monitoramento"),"VAZIO",IFERROR(#REF!/($AI25*24),"-"))</f>
        <v>#REF!</v>
      </c>
      <c r="AV25" s="68">
        <f t="shared" ref="AV25:AV32" si="49">IF(OR(O25="",O25="Sem monitoramento"),"VAZIO",IFERROR(O25/($AI25*24),"-"))</f>
        <v>0.125</v>
      </c>
      <c r="AW25" s="68">
        <f t="shared" si="43"/>
        <v>0.16634029590948651</v>
      </c>
      <c r="AX25" s="68">
        <f t="shared" si="36"/>
        <v>0.15013054830287206</v>
      </c>
      <c r="AY25" s="68">
        <f t="shared" si="42"/>
        <v>0.15577676240208879</v>
      </c>
      <c r="AZ25" s="68">
        <f t="shared" si="44"/>
        <v>0.18160356832027849</v>
      </c>
      <c r="BA25" s="68">
        <f>IF(OR(T25="",T25="Sem monitoramento"),"VAZIO",IFERROR(T25/($AI25*24),"-"))</f>
        <v>0.17504351610095736</v>
      </c>
      <c r="BB25" s="68">
        <f t="shared" si="35"/>
        <v>0.16629677980852914</v>
      </c>
      <c r="BC25" s="68" t="e">
        <f>IF(OR(#REF!="",#REF!="Sem monitoramento"),"VAZIO",IFERROR(#REF!/($AI25*24),"-"))</f>
        <v>#REF!</v>
      </c>
      <c r="BD25" s="68" t="e">
        <f>IF(OR(#REF!="",#REF!="Sem monitoramento"),"VAZIO",IFERROR(#REF!/($AI25*24),"-"))</f>
        <v>#REF!</v>
      </c>
      <c r="BE25" s="68" t="e">
        <f>IF(OR(#REF!="",#REF!="Sem monitoramento"),"VAZIO",IFERROR(#REF!/($AI25*24),"-"))</f>
        <v>#REF!</v>
      </c>
      <c r="BF25" s="68">
        <f t="shared" ref="BF25:BF32" si="50">IF(OR(Y25="",Y25="Sem monitoramento"),"VAZIO",IFERROR(Y25/($AI25*24),"-"))</f>
        <v>0.15013054830287206</v>
      </c>
      <c r="BG25" s="68">
        <f t="shared" si="32"/>
        <v>0.16851610095735423</v>
      </c>
      <c r="BH25" s="68">
        <f t="shared" si="32"/>
        <v>9.0100087032201917E-2</v>
      </c>
      <c r="BI25" s="68">
        <f t="shared" si="45"/>
        <v>7.6947345517841603E-2</v>
      </c>
      <c r="BJ25" s="68">
        <f t="shared" si="37"/>
        <v>0.12320496083550914</v>
      </c>
      <c r="BK25" s="68" t="e">
        <f>IF(OR(#REF!="",#REF!="Sem monitoramento"),"VAZIO",IFERROR(#REF!/($AI25*24),"-"))</f>
        <v>#REF!</v>
      </c>
      <c r="BL25" s="68">
        <f t="shared" si="46"/>
        <v>0.11956048738033072</v>
      </c>
      <c r="BM25" s="68">
        <f t="shared" si="46"/>
        <v>0.18157093124456047</v>
      </c>
      <c r="BN25" s="68">
        <f>IF(OR(AG25="",AG25="Sem monitoramento"),"VAZIO",IFERROR(AG25/($AI25*24),"-"))</f>
        <v>0.17928633594429938</v>
      </c>
      <c r="BO25" s="70">
        <f t="shared" si="29"/>
        <v>0.13995757180156657</v>
      </c>
      <c r="BP25" s="198">
        <f t="shared" si="39"/>
        <v>0.168125</v>
      </c>
      <c r="BQ25" s="72">
        <f>AI25*BP25</f>
        <v>64.391874999999999</v>
      </c>
      <c r="BR25" s="73">
        <f t="shared" si="24"/>
        <v>-5.6071040034812877E-2</v>
      </c>
      <c r="BS25" s="74">
        <f t="shared" si="9"/>
        <v>-2.8167428198433431E-2</v>
      </c>
      <c r="BT25" s="15" t="s">
        <v>29</v>
      </c>
      <c r="BU25" s="3"/>
      <c r="BV25" s="2"/>
      <c r="BW25" s="2"/>
    </row>
    <row r="26" spans="2:75" x14ac:dyDescent="0.3">
      <c r="B26" s="775"/>
      <c r="C26" s="326" t="s">
        <v>111</v>
      </c>
      <c r="D26" s="223">
        <v>394.8</v>
      </c>
      <c r="E26" s="63">
        <v>394.8</v>
      </c>
      <c r="F26" s="63">
        <v>405</v>
      </c>
      <c r="G26" s="63">
        <v>431.5</v>
      </c>
      <c r="H26" s="63">
        <v>502</v>
      </c>
      <c r="I26" s="63">
        <v>311.8</v>
      </c>
      <c r="J26" s="63">
        <v>151</v>
      </c>
      <c r="K26" s="63">
        <v>277.3</v>
      </c>
      <c r="L26" s="63">
        <v>88.4</v>
      </c>
      <c r="M26" s="63">
        <v>471.7</v>
      </c>
      <c r="N26" s="63">
        <v>399.1</v>
      </c>
      <c r="O26" s="63">
        <v>229.3</v>
      </c>
      <c r="P26" s="63">
        <v>448.9</v>
      </c>
      <c r="Q26" s="283">
        <v>448.1</v>
      </c>
      <c r="R26" s="63">
        <v>464.5</v>
      </c>
      <c r="S26" s="63">
        <v>545.4</v>
      </c>
      <c r="T26" s="316">
        <v>554.1</v>
      </c>
      <c r="U26" s="511">
        <v>550.6</v>
      </c>
      <c r="V26" s="283">
        <v>528.70000000000005</v>
      </c>
      <c r="W26" s="283">
        <v>488.2</v>
      </c>
      <c r="X26" s="63">
        <v>483.5</v>
      </c>
      <c r="Y26" s="63">
        <v>313.8</v>
      </c>
      <c r="Z26" s="148">
        <v>340</v>
      </c>
      <c r="AA26" s="18">
        <v>109.8</v>
      </c>
      <c r="AB26" s="20">
        <v>500.4</v>
      </c>
      <c r="AC26" s="15">
        <v>470.1</v>
      </c>
      <c r="AD26" s="15">
        <v>470.1</v>
      </c>
      <c r="AE26" s="15">
        <v>505</v>
      </c>
      <c r="AF26" s="15">
        <v>501</v>
      </c>
      <c r="AG26" s="15">
        <v>534.6</v>
      </c>
      <c r="AH26" s="335">
        <f t="shared" si="0"/>
        <v>12313.5</v>
      </c>
      <c r="AI26" s="118">
        <v>100</v>
      </c>
      <c r="AJ26" s="121">
        <f t="shared" si="25"/>
        <v>9.3749999999999997E-3</v>
      </c>
      <c r="AK26" s="67">
        <f t="shared" si="47"/>
        <v>0.16450000000000001</v>
      </c>
      <c r="AL26" s="68">
        <f t="shared" si="47"/>
        <v>0.16450000000000001</v>
      </c>
      <c r="AM26" s="68">
        <f t="shared" si="47"/>
        <v>0.16875000000000001</v>
      </c>
      <c r="AN26" s="68">
        <f t="shared" si="47"/>
        <v>0.17979166666666666</v>
      </c>
      <c r="AO26" s="68">
        <f t="shared" si="47"/>
        <v>0.20916666666666667</v>
      </c>
      <c r="AP26" s="68">
        <f t="shared" si="47"/>
        <v>0.12991666666666668</v>
      </c>
      <c r="AQ26" s="68">
        <f>IF(OR(J26="",J26="Sem monitoramento"),"VAZIO",IFERROR(J26/($AI26*24),"-"))</f>
        <v>6.2916666666666662E-2</v>
      </c>
      <c r="AR26" s="68">
        <f t="shared" si="40"/>
        <v>0.11554166666666667</v>
      </c>
      <c r="AS26" s="68">
        <f t="shared" si="41"/>
        <v>3.6833333333333336E-2</v>
      </c>
      <c r="AT26" s="68">
        <f t="shared" si="48"/>
        <v>0.19654166666666667</v>
      </c>
      <c r="AU26" s="68" t="e">
        <f>IF(OR(#REF!="",#REF!="Sem monitoramento"),"VAZIO",IFERROR(#REF!/($AI26*24),"-"))</f>
        <v>#REF!</v>
      </c>
      <c r="AV26" s="68">
        <f t="shared" si="49"/>
        <v>9.5541666666666678E-2</v>
      </c>
      <c r="AW26" s="68">
        <f t="shared" si="43"/>
        <v>0.18704166666666666</v>
      </c>
      <c r="AX26" s="68">
        <f t="shared" si="36"/>
        <v>0.18670833333333334</v>
      </c>
      <c r="AY26" s="68">
        <f t="shared" si="42"/>
        <v>0.19354166666666667</v>
      </c>
      <c r="AZ26" s="68">
        <f t="shared" si="44"/>
        <v>0.22724999999999998</v>
      </c>
      <c r="BA26" s="68">
        <f>IF(OR(T27="",T27="Sem monitoramento"),"VAZIO",IFERROR(T27/($AI26*24),"-"))</f>
        <v>0.17887500000000001</v>
      </c>
      <c r="BB26" s="68">
        <f>IF(OR(U27="",U27="Sem monitoramento"),"VAZIO",IFERROR(U27/($AI26*24),"-"))</f>
        <v>0.192</v>
      </c>
      <c r="BC26" s="68">
        <f t="shared" ref="BC26:BC32" si="51">IF(OR(V26="",V26="Sem monitoramento"),"VAZIO",IFERROR(V26/($AI26*24),"-"))</f>
        <v>0.22029166666666669</v>
      </c>
      <c r="BD26" s="68" t="e">
        <f>IF(OR(#REF!="",#REF!="Sem monitoramento"),"VAZIO",IFERROR(#REF!/($AI26*24),"-"))</f>
        <v>#REF!</v>
      </c>
      <c r="BE26" s="68">
        <f>IF(OR(X26="",X26="Sem monitoramento"),"VAZIO",IFERROR(X26/($AI26*24),"-"))</f>
        <v>0.20145833333333332</v>
      </c>
      <c r="BF26" s="68">
        <f t="shared" si="50"/>
        <v>0.13075000000000001</v>
      </c>
      <c r="BG26" s="68">
        <f>IF(OR(Z27="",Z27="Sem monitoramento"),"VAZIO",IFERROR(Z27/($AI26*24),"-"))</f>
        <v>0.16870833333333332</v>
      </c>
      <c r="BH26" s="68">
        <f>IF(OR(AA26="",AA26="Sem monitoramento"),"VAZIO",IFERROR(AA26/($AI26*24),"-"))</f>
        <v>4.5749999999999999E-2</v>
      </c>
      <c r="BI26" s="68">
        <f t="shared" si="45"/>
        <v>0.20849999999999999</v>
      </c>
      <c r="BJ26" s="68">
        <f t="shared" si="37"/>
        <v>0.19587500000000002</v>
      </c>
      <c r="BK26" s="68">
        <f t="shared" ref="BK26:BK32" si="52">IF(OR(AD26="",AD26="Sem monitoramento"),"VAZIO",IFERROR(AD26/($AI26*24),"-"))</f>
        <v>0.19587500000000002</v>
      </c>
      <c r="BL26" s="68">
        <f t="shared" si="46"/>
        <v>0.21041666666666667</v>
      </c>
      <c r="BM26" s="68">
        <f t="shared" si="46"/>
        <v>0.20874999999999999</v>
      </c>
      <c r="BN26" s="68">
        <f>IF(OR(AG26="",AG26="Sem monitoramento"),"VAZIO",IFERROR(AG26/($AI26*24),"-"))</f>
        <v>0.22275</v>
      </c>
      <c r="BO26" s="70">
        <f t="shared" si="29"/>
        <v>0.17102083333333334</v>
      </c>
      <c r="BP26" s="198">
        <f t="shared" si="39"/>
        <v>0.168125</v>
      </c>
      <c r="BQ26" s="72">
        <f t="shared" si="23"/>
        <v>16.8125</v>
      </c>
      <c r="BR26" s="73">
        <f t="shared" si="24"/>
        <v>6.2500000000001443E-4</v>
      </c>
      <c r="BS26" s="74">
        <f t="shared" si="9"/>
        <v>2.8958333333333475E-3</v>
      </c>
      <c r="BT26" s="15" t="s">
        <v>30</v>
      </c>
      <c r="BU26" s="3"/>
      <c r="BV26" s="2"/>
      <c r="BW26" s="2"/>
    </row>
    <row r="27" spans="2:75" x14ac:dyDescent="0.3">
      <c r="B27" s="775"/>
      <c r="C27" s="326" t="s">
        <v>32</v>
      </c>
      <c r="D27" s="62">
        <v>267.89999999999998</v>
      </c>
      <c r="E27" s="283">
        <v>430.8</v>
      </c>
      <c r="F27" s="63">
        <v>249.4</v>
      </c>
      <c r="G27" s="63">
        <v>457.2</v>
      </c>
      <c r="H27" s="63">
        <v>438.6</v>
      </c>
      <c r="I27" s="283">
        <v>277.39999999999998</v>
      </c>
      <c r="J27" s="63">
        <v>286.3</v>
      </c>
      <c r="K27" s="63">
        <v>248</v>
      </c>
      <c r="L27" s="63">
        <v>66.5</v>
      </c>
      <c r="M27" s="283">
        <v>317.2</v>
      </c>
      <c r="N27" s="519">
        <v>242</v>
      </c>
      <c r="O27" s="63">
        <v>215.2</v>
      </c>
      <c r="P27" s="63">
        <v>414.7</v>
      </c>
      <c r="Q27" s="283">
        <v>377.3</v>
      </c>
      <c r="R27" s="283">
        <v>397</v>
      </c>
      <c r="S27" s="63">
        <v>461.4</v>
      </c>
      <c r="T27" s="63">
        <v>429.3</v>
      </c>
      <c r="U27" s="63">
        <v>460.8</v>
      </c>
      <c r="V27" s="283">
        <v>399.7</v>
      </c>
      <c r="W27" s="283">
        <v>416</v>
      </c>
      <c r="X27" s="63">
        <v>423.8</v>
      </c>
      <c r="Y27" s="63">
        <v>354.7</v>
      </c>
      <c r="Z27" s="221">
        <v>404.9</v>
      </c>
      <c r="AA27" s="320">
        <v>216.1</v>
      </c>
      <c r="AB27" s="323">
        <v>298.7</v>
      </c>
      <c r="AC27" s="15">
        <v>433.1</v>
      </c>
      <c r="AD27" s="221">
        <v>400.7</v>
      </c>
      <c r="AE27" s="15">
        <v>374.2</v>
      </c>
      <c r="AF27" s="283">
        <v>459.3</v>
      </c>
      <c r="AG27" s="283">
        <v>454.2</v>
      </c>
      <c r="AH27" s="335">
        <f t="shared" si="0"/>
        <v>10672.400000000001</v>
      </c>
      <c r="AI27" s="118">
        <v>100</v>
      </c>
      <c r="AJ27" s="121">
        <f t="shared" si="25"/>
        <v>5.7731481481481479E-3</v>
      </c>
      <c r="AK27" s="67">
        <f t="shared" ref="AK27:AN28" si="53">IF(OR(D27="",D27="Sem monitoramento"),"VAZIO",IFERROR(D27/($AI27*24),"-"))</f>
        <v>0.11162499999999999</v>
      </c>
      <c r="AL27" s="68">
        <f t="shared" si="53"/>
        <v>0.17949999999999999</v>
      </c>
      <c r="AM27" s="68">
        <f t="shared" si="53"/>
        <v>0.10391666666666667</v>
      </c>
      <c r="AN27" s="68">
        <f t="shared" si="53"/>
        <v>0.1905</v>
      </c>
      <c r="AO27" s="68" t="e">
        <f>IF(OR(#REF!="",#REF!="Sem monitoramento"),"VAZIO",IFERROR(#REF!/($AI27*24),"-"))</f>
        <v>#REF!</v>
      </c>
      <c r="AP27" s="68">
        <f t="shared" ref="AP27:AP32" si="54">IF(OR(I27="",I27="Sem monitoramento"),"VAZIO",IFERROR(I27/($AI27*24),"-"))</f>
        <v>0.11558333333333333</v>
      </c>
      <c r="AQ27" s="68">
        <f>IF(OR(J27="",J27="Sem monitoramento"),"VAZIO",IFERROR(J27/($AI27*24),"-"))</f>
        <v>0.11929166666666667</v>
      </c>
      <c r="AR27" s="68">
        <f t="shared" si="40"/>
        <v>0.10333333333333333</v>
      </c>
      <c r="AS27" s="68">
        <f t="shared" si="41"/>
        <v>2.7708333333333335E-2</v>
      </c>
      <c r="AT27" s="68">
        <f t="shared" si="48"/>
        <v>0.13216666666666665</v>
      </c>
      <c r="AU27" s="68">
        <f>IF(OR(N26="",N26="Sem monitoramento"),"VAZIO",IFERROR(N26/($AI27*24),"-"))</f>
        <v>0.16629166666666667</v>
      </c>
      <c r="AV27" s="68">
        <f t="shared" si="49"/>
        <v>8.9666666666666658E-2</v>
      </c>
      <c r="AW27" s="68">
        <f t="shared" si="43"/>
        <v>0.17279166666666665</v>
      </c>
      <c r="AX27" s="68">
        <f t="shared" si="36"/>
        <v>0.15720833333333334</v>
      </c>
      <c r="AY27" s="68">
        <f t="shared" si="42"/>
        <v>0.16541666666666666</v>
      </c>
      <c r="AZ27" s="68">
        <f t="shared" si="44"/>
        <v>0.19225</v>
      </c>
      <c r="BA27" s="68" t="e">
        <f>IF(OR(#REF!="",#REF!="Sem monitoramento"),"VAZIO",IFERROR(#REF!/($AI27*24),"-"))</f>
        <v>#REF!</v>
      </c>
      <c r="BB27" s="68" t="e">
        <f>IF(OR(#REF!="",#REF!="Sem monitoramento"),"VAZIO",IFERROR(#REF!/($AI27*24),"-"))</f>
        <v>#REF!</v>
      </c>
      <c r="BC27" s="68">
        <f t="shared" si="51"/>
        <v>0.16654166666666667</v>
      </c>
      <c r="BD27" s="68">
        <f>IF(OR(W26="",W26="Sem monitoramento"),"VAZIO",IFERROR(W26/($AI27*24),"-"))</f>
        <v>0.20341666666666666</v>
      </c>
      <c r="BE27" s="68">
        <f>IF(OR(X27="",X27="Sem monitoramento"),"VAZIO",IFERROR(X27/($AI27*24),"-"))</f>
        <v>0.17658333333333334</v>
      </c>
      <c r="BF27" s="68">
        <f t="shared" si="50"/>
        <v>0.14779166666666665</v>
      </c>
      <c r="BG27" s="68" t="e">
        <f>IF(OR(#REF!="",#REF!="Sem monitoramento"),"VAZIO",IFERROR(#REF!/($AI27*24),"-"))</f>
        <v>#REF!</v>
      </c>
      <c r="BH27" s="68">
        <f>IF(OR(AA27="",AA27="Sem monitoramento"),"VAZIO",IFERROR(AA27/($AI27*24),"-"))</f>
        <v>9.0041666666666659E-2</v>
      </c>
      <c r="BI27" s="68">
        <f t="shared" si="45"/>
        <v>0.12445833333333332</v>
      </c>
      <c r="BJ27" s="68">
        <f t="shared" si="37"/>
        <v>0.18045833333333333</v>
      </c>
      <c r="BK27" s="68">
        <f t="shared" si="52"/>
        <v>0.16695833333333332</v>
      </c>
      <c r="BL27" s="68">
        <f t="shared" si="46"/>
        <v>0.15591666666666668</v>
      </c>
      <c r="BM27" s="68">
        <f t="shared" si="46"/>
        <v>0.19137500000000002</v>
      </c>
      <c r="BN27" s="68">
        <f>IF(OR(AG27="",AG27="Sem monitoramento"),"VAZIO",IFERROR(AG27/($AI27*24),"-"))</f>
        <v>0.18925</v>
      </c>
      <c r="BO27" s="70">
        <f t="shared" si="29"/>
        <v>0.14822777777777779</v>
      </c>
      <c r="BP27" s="198">
        <f t="shared" si="39"/>
        <v>0.168125</v>
      </c>
      <c r="BQ27" s="72">
        <f t="shared" si="23"/>
        <v>16.8125</v>
      </c>
      <c r="BR27" s="73">
        <f t="shared" si="24"/>
        <v>-6.4208333333333326E-2</v>
      </c>
      <c r="BS27" s="74">
        <f t="shared" si="9"/>
        <v>-1.9897222222222205E-2</v>
      </c>
      <c r="BT27" s="15" t="s">
        <v>111</v>
      </c>
      <c r="BU27" s="3"/>
      <c r="BV27" s="2"/>
      <c r="BW27" s="2"/>
    </row>
    <row r="28" spans="2:75" x14ac:dyDescent="0.3">
      <c r="B28" s="775"/>
      <c r="C28" s="326" t="s">
        <v>288</v>
      </c>
      <c r="D28" s="223">
        <v>253.1</v>
      </c>
      <c r="E28" s="63">
        <v>268.7</v>
      </c>
      <c r="F28" s="63">
        <v>201.4</v>
      </c>
      <c r="G28" s="308">
        <v>313.7</v>
      </c>
      <c r="H28" s="283">
        <v>296.60000000000002</v>
      </c>
      <c r="I28" s="519">
        <v>213.5</v>
      </c>
      <c r="J28" s="283">
        <v>132.69999999999999</v>
      </c>
      <c r="K28" s="283">
        <v>188</v>
      </c>
      <c r="L28" s="283">
        <v>43.9</v>
      </c>
      <c r="M28" s="283">
        <v>214.5</v>
      </c>
      <c r="N28" s="283">
        <v>233.7</v>
      </c>
      <c r="O28" s="283">
        <v>167.6</v>
      </c>
      <c r="P28" s="63">
        <v>256.8</v>
      </c>
      <c r="Q28" s="283">
        <v>275.39999999999998</v>
      </c>
      <c r="R28" s="283">
        <v>293.10000000000002</v>
      </c>
      <c r="S28" s="63">
        <v>323.60000000000002</v>
      </c>
      <c r="T28" s="283">
        <v>329.4</v>
      </c>
      <c r="U28" s="283">
        <v>329.2</v>
      </c>
      <c r="V28" s="283">
        <v>315.5</v>
      </c>
      <c r="W28" s="283">
        <v>294.39999999999998</v>
      </c>
      <c r="X28" s="283">
        <v>310.5</v>
      </c>
      <c r="Y28" s="283">
        <v>251.7</v>
      </c>
      <c r="Z28" s="221">
        <v>298.8</v>
      </c>
      <c r="AA28" s="283">
        <v>83.6</v>
      </c>
      <c r="AB28" s="323">
        <v>303.10000000000002</v>
      </c>
      <c r="AC28" s="283">
        <v>447.6</v>
      </c>
      <c r="AD28" s="283">
        <v>337.2</v>
      </c>
      <c r="AE28" s="283">
        <v>348.3</v>
      </c>
      <c r="AF28" s="283">
        <v>429.8</v>
      </c>
      <c r="AG28" s="283">
        <v>403.9</v>
      </c>
      <c r="AH28" s="335">
        <f t="shared" si="0"/>
        <v>8159.3000000000011</v>
      </c>
      <c r="AI28" s="118">
        <v>100</v>
      </c>
      <c r="AJ28" s="121">
        <f t="shared" si="25"/>
        <v>4.6620370370370375E-3</v>
      </c>
      <c r="AK28" s="67">
        <f t="shared" si="53"/>
        <v>0.10545833333333333</v>
      </c>
      <c r="AL28" s="68">
        <f t="shared" si="53"/>
        <v>0.11195833333333333</v>
      </c>
      <c r="AM28" s="68">
        <f t="shared" si="53"/>
        <v>8.3916666666666667E-2</v>
      </c>
      <c r="AN28" s="68">
        <f t="shared" si="53"/>
        <v>0.13070833333333332</v>
      </c>
      <c r="AO28" s="68">
        <f>IF(OR(H27="",H27="Sem monitoramento"),"VAZIO",IFERROR(H27/($AI28*24),"-"))</f>
        <v>0.18275</v>
      </c>
      <c r="AP28" s="68">
        <f t="shared" si="54"/>
        <v>8.8958333333333334E-2</v>
      </c>
      <c r="AQ28" s="68">
        <f>IF(OR(J28="",J28="Sem monitoramento"),"VAZIO",IFERROR(J28/($AI28*24),"-"))</f>
        <v>5.5291666666666663E-2</v>
      </c>
      <c r="AR28" s="68">
        <f t="shared" si="40"/>
        <v>7.8333333333333338E-2</v>
      </c>
      <c r="AS28" s="68">
        <f t="shared" si="41"/>
        <v>1.8291666666666664E-2</v>
      </c>
      <c r="AT28" s="68">
        <f t="shared" si="48"/>
        <v>8.9374999999999996E-2</v>
      </c>
      <c r="AU28" s="68">
        <f>IF(OR(N28="",N28="Sem monitoramento"),"VAZIO",IFERROR(N28/($AI28*24),"-"))</f>
        <v>9.7374999999999989E-2</v>
      </c>
      <c r="AV28" s="68">
        <f t="shared" si="49"/>
        <v>6.9833333333333331E-2</v>
      </c>
      <c r="AW28" s="68">
        <f t="shared" si="43"/>
        <v>0.107</v>
      </c>
      <c r="AX28" s="68">
        <f t="shared" si="36"/>
        <v>0.11474999999999999</v>
      </c>
      <c r="AY28" s="68">
        <f t="shared" si="42"/>
        <v>0.12212500000000001</v>
      </c>
      <c r="AZ28" s="68">
        <f t="shared" si="44"/>
        <v>0.13483333333333333</v>
      </c>
      <c r="BA28" s="68">
        <f t="shared" ref="BA28:BB32" si="55">IF(OR(T28="",T28="Sem monitoramento"),"VAZIO",IFERROR(T28/($AI28*24),"-"))</f>
        <v>0.13724999999999998</v>
      </c>
      <c r="BB28" s="68">
        <f t="shared" si="55"/>
        <v>0.13716666666666666</v>
      </c>
      <c r="BC28" s="68">
        <f t="shared" si="51"/>
        <v>0.13145833333333334</v>
      </c>
      <c r="BD28" s="68">
        <f>IF(OR(W28="",W28="Sem monitoramento"),"VAZIO",IFERROR(W28/($AI28*24),"-"))</f>
        <v>0.12266666666666666</v>
      </c>
      <c r="BE28" s="68">
        <f>IF(OR(X28="",X28="Sem monitoramento"),"VAZIO",IFERROR(X28/($AI28*24),"-"))</f>
        <v>0.12937499999999999</v>
      </c>
      <c r="BF28" s="68">
        <f t="shared" si="50"/>
        <v>0.104875</v>
      </c>
      <c r="BG28" s="68">
        <f>IF(OR(Z28="",Z28="Sem monitoramento"),"VAZIO",IFERROR(Z28/($AI28*24),"-"))</f>
        <v>0.1245</v>
      </c>
      <c r="BH28" s="68" t="e">
        <f>IF(OR(#REF!="",#REF!="Sem monitoramento"),"VAZIO",IFERROR(#REF!/($AI28*24),"-"))</f>
        <v>#REF!</v>
      </c>
      <c r="BI28" s="68">
        <f t="shared" si="45"/>
        <v>0.12629166666666666</v>
      </c>
      <c r="BJ28" s="68">
        <f t="shared" si="37"/>
        <v>0.1865</v>
      </c>
      <c r="BK28" s="68">
        <f t="shared" si="52"/>
        <v>0.14049999999999999</v>
      </c>
      <c r="BL28" s="68">
        <f t="shared" si="46"/>
        <v>0.145125</v>
      </c>
      <c r="BM28" s="68">
        <f t="shared" si="46"/>
        <v>0.17908333333333334</v>
      </c>
      <c r="BN28" s="68">
        <f>IF(OR(AG28="",AG28="Sem monitoramento"),"VAZIO",IFERROR(AG28/($AI28*24),"-"))</f>
        <v>0.16829166666666664</v>
      </c>
      <c r="BO28" s="70">
        <f t="shared" si="29"/>
        <v>0.11332361111111112</v>
      </c>
      <c r="BP28" s="198">
        <f t="shared" si="39"/>
        <v>0.168125</v>
      </c>
      <c r="BQ28" s="72">
        <f t="shared" si="23"/>
        <v>16.8125</v>
      </c>
      <c r="BR28" s="73">
        <f t="shared" si="24"/>
        <v>-8.4208333333333329E-2</v>
      </c>
      <c r="BS28" s="74">
        <f t="shared" si="9"/>
        <v>-5.4801388888888872E-2</v>
      </c>
      <c r="BT28" s="15" t="s">
        <v>32</v>
      </c>
      <c r="BU28" s="3"/>
      <c r="BV28" s="2"/>
      <c r="BW28" s="2"/>
    </row>
    <row r="29" spans="2:75" x14ac:dyDescent="0.3">
      <c r="B29" s="775"/>
      <c r="C29" s="326" t="s">
        <v>112</v>
      </c>
      <c r="D29" s="223">
        <v>245.3</v>
      </c>
      <c r="E29" s="223">
        <v>252.7</v>
      </c>
      <c r="F29" s="63">
        <v>235.3</v>
      </c>
      <c r="G29" s="308">
        <v>351.9</v>
      </c>
      <c r="H29" s="283">
        <v>341</v>
      </c>
      <c r="I29" s="283">
        <v>217.5</v>
      </c>
      <c r="J29" s="283">
        <v>124.3</v>
      </c>
      <c r="K29" s="283">
        <v>214.3</v>
      </c>
      <c r="L29" s="283">
        <v>43.8</v>
      </c>
      <c r="M29" s="63">
        <v>206.4</v>
      </c>
      <c r="N29" s="63">
        <v>226.6</v>
      </c>
      <c r="O29" s="283">
        <v>157.80000000000001</v>
      </c>
      <c r="P29" s="283">
        <v>270.2</v>
      </c>
      <c r="Q29" s="283">
        <v>300.3</v>
      </c>
      <c r="R29" s="283">
        <v>308.7</v>
      </c>
      <c r="S29" s="283">
        <v>357.4</v>
      </c>
      <c r="T29" s="283">
        <v>363.7</v>
      </c>
      <c r="U29" s="283">
        <v>352.7</v>
      </c>
      <c r="V29" s="283">
        <v>347</v>
      </c>
      <c r="W29" s="283">
        <v>319.3</v>
      </c>
      <c r="X29" s="283">
        <v>347.3</v>
      </c>
      <c r="Y29" s="283">
        <v>257.39999999999998</v>
      </c>
      <c r="Z29" s="283">
        <v>314.5</v>
      </c>
      <c r="AA29" s="561">
        <v>82.1</v>
      </c>
      <c r="AB29" s="323">
        <v>247.9</v>
      </c>
      <c r="AC29" s="283">
        <v>344.3</v>
      </c>
      <c r="AD29" s="283">
        <v>308.8</v>
      </c>
      <c r="AE29" s="221">
        <v>253.5</v>
      </c>
      <c r="AF29" s="221">
        <v>368.5</v>
      </c>
      <c r="AG29" s="221">
        <v>368.5</v>
      </c>
      <c r="AH29" s="335">
        <f t="shared" si="0"/>
        <v>8129</v>
      </c>
      <c r="AI29" s="301">
        <v>100</v>
      </c>
      <c r="AJ29" s="121">
        <f t="shared" si="25"/>
        <v>5.4467592592592597E-3</v>
      </c>
      <c r="AK29" s="302" t="e">
        <f>IF(OR(#REF!="",#REF!="Sem monitoramento"),"VAZIO",IFERROR(#REF!/($AI29*24),"-"))</f>
        <v>#REF!</v>
      </c>
      <c r="AL29" s="303" t="e">
        <f>IF(OR(#REF!="",#REF!="Sem monitoramento"),"VAZIO",IFERROR(#REF!/($AI29*24),"-"))</f>
        <v>#REF!</v>
      </c>
      <c r="AM29" s="303">
        <f t="shared" ref="AM29:AN32" si="56">IF(OR(F29="",F29="Sem monitoramento"),"VAZIO",IFERROR(F29/($AI29*24),"-"))</f>
        <v>9.8041666666666666E-2</v>
      </c>
      <c r="AN29" s="303">
        <f t="shared" si="56"/>
        <v>0.14662499999999998</v>
      </c>
      <c r="AO29" s="303" t="e">
        <f>IF(OR(#REF!="",#REF!="Sem monitoramento"),"VAZIO",IFERROR(#REF!/($AI29*24),"-"))</f>
        <v>#REF!</v>
      </c>
      <c r="AP29" s="303">
        <f t="shared" si="54"/>
        <v>9.0624999999999997E-2</v>
      </c>
      <c r="AQ29" s="303">
        <f>IF(OR(J29="",J29="Sem monitoramento"),"VAZIO",IFERROR(J29/($AI29*24),"-"))</f>
        <v>5.1791666666666666E-2</v>
      </c>
      <c r="AR29" s="303">
        <f t="shared" si="40"/>
        <v>8.9291666666666672E-2</v>
      </c>
      <c r="AS29" s="303">
        <f t="shared" si="41"/>
        <v>1.8249999999999999E-2</v>
      </c>
      <c r="AT29" s="303">
        <f t="shared" si="48"/>
        <v>8.6000000000000007E-2</v>
      </c>
      <c r="AU29" s="303">
        <f>IF(OR(N29="",N29="Sem monitoramento"),"VAZIO",IFERROR(N29/($AI29*24),"-"))</f>
        <v>9.4416666666666663E-2</v>
      </c>
      <c r="AV29" s="303">
        <f t="shared" si="49"/>
        <v>6.5750000000000003E-2</v>
      </c>
      <c r="AW29" s="303">
        <f t="shared" si="43"/>
        <v>0.11258333333333333</v>
      </c>
      <c r="AX29" s="303">
        <f t="shared" si="36"/>
        <v>0.12512500000000001</v>
      </c>
      <c r="AY29" s="303">
        <f t="shared" si="42"/>
        <v>0.12862499999999999</v>
      </c>
      <c r="AZ29" s="303">
        <f t="shared" si="44"/>
        <v>0.14891666666666667</v>
      </c>
      <c r="BA29" s="303">
        <f t="shared" si="55"/>
        <v>0.15154166666666666</v>
      </c>
      <c r="BB29" s="303">
        <f t="shared" si="55"/>
        <v>0.14695833333333333</v>
      </c>
      <c r="BC29" s="303">
        <f t="shared" si="51"/>
        <v>0.14458333333333334</v>
      </c>
      <c r="BD29" s="303" t="e">
        <f>IF(OR(#REF!="",#REF!="Sem monitoramento"),"VAZIO",IFERROR(#REF!/($AI29*24),"-"))</f>
        <v>#REF!</v>
      </c>
      <c r="BE29" s="303" t="e">
        <f>IF(OR(#REF!="",#REF!="Sem monitoramento"),"VAZIO",IFERROR(#REF!/($AI29*24),"-"))</f>
        <v>#REF!</v>
      </c>
      <c r="BF29" s="303">
        <f t="shared" si="50"/>
        <v>0.10724999999999998</v>
      </c>
      <c r="BG29" s="303">
        <f>IF(OR(Z29="",Z29="Sem monitoramento"),"VAZIO",IFERROR(Z29/($AI29*24),"-"))</f>
        <v>0.13104166666666667</v>
      </c>
      <c r="BH29" s="303">
        <f>IF(OR(AA28="",AA28="Sem monitoramento"),"VAZIO",IFERROR(AA28/($AI29*24),"-"))</f>
        <v>3.4833333333333334E-2</v>
      </c>
      <c r="BI29" s="303">
        <f t="shared" si="45"/>
        <v>0.10329166666666667</v>
      </c>
      <c r="BJ29" s="303">
        <f t="shared" si="37"/>
        <v>0.14345833333333333</v>
      </c>
      <c r="BK29" s="303">
        <f t="shared" si="52"/>
        <v>0.12866666666666668</v>
      </c>
      <c r="BL29" s="303">
        <f>IF(OR(AE29="",AE29="Sem monitoramento"),"VAZIO",IFERROR(AE29/($AI29*24),"-"))</f>
        <v>0.105625</v>
      </c>
      <c r="BM29" s="303" t="e">
        <f>IF(OR(#REF!="",#REF!="Sem monitoramento"),"VAZIO",IFERROR(#REF!/($AI29*24),"-"))</f>
        <v>#REF!</v>
      </c>
      <c r="BN29" s="303" t="e">
        <f>IF(OR(#REF!="",#REF!="Sem monitoramento"),"VAZIO",IFERROR(#REF!/($AI29*24),"-"))</f>
        <v>#REF!</v>
      </c>
      <c r="BO29" s="304">
        <f t="shared" si="29"/>
        <v>0.11290277777777778</v>
      </c>
      <c r="BP29" s="198">
        <f t="shared" si="39"/>
        <v>0.168125</v>
      </c>
      <c r="BQ29" s="72">
        <f t="shared" si="23"/>
        <v>16.8125</v>
      </c>
      <c r="BR29" s="73">
        <f t="shared" si="24"/>
        <v>-7.0083333333333331E-2</v>
      </c>
      <c r="BS29" s="74">
        <f>BO29-BP29</f>
        <v>-5.5222222222222214E-2</v>
      </c>
      <c r="BT29" s="15" t="s">
        <v>440</v>
      </c>
      <c r="BU29" s="3"/>
      <c r="BV29" s="2"/>
      <c r="BW29" s="2"/>
    </row>
    <row r="30" spans="2:75" ht="15" thickBot="1" x14ac:dyDescent="0.35">
      <c r="B30" s="775"/>
      <c r="C30" s="326" t="s">
        <v>289</v>
      </c>
      <c r="D30" s="223">
        <v>165.9</v>
      </c>
      <c r="E30" s="283">
        <v>162</v>
      </c>
      <c r="F30" s="283">
        <v>155.30000000000001</v>
      </c>
      <c r="G30" s="308">
        <v>219.3</v>
      </c>
      <c r="H30" s="283">
        <v>214.6</v>
      </c>
      <c r="I30" s="308">
        <v>149.5</v>
      </c>
      <c r="J30" s="63">
        <v>85.1</v>
      </c>
      <c r="K30" s="283">
        <v>143.19999999999999</v>
      </c>
      <c r="L30" s="283">
        <v>29.8</v>
      </c>
      <c r="M30" s="283">
        <v>150</v>
      </c>
      <c r="N30" s="316">
        <v>155.80000000000001</v>
      </c>
      <c r="O30" s="283">
        <v>113.6</v>
      </c>
      <c r="P30" s="283">
        <v>176.6</v>
      </c>
      <c r="Q30" s="283">
        <v>195.1</v>
      </c>
      <c r="R30" s="283">
        <v>198.3</v>
      </c>
      <c r="S30" s="283">
        <v>226.6</v>
      </c>
      <c r="T30" s="283">
        <v>232.2</v>
      </c>
      <c r="U30" s="283">
        <v>232.8</v>
      </c>
      <c r="V30" s="283">
        <v>227</v>
      </c>
      <c r="W30" s="283">
        <v>210</v>
      </c>
      <c r="X30" s="519">
        <v>219.9</v>
      </c>
      <c r="Y30" s="283">
        <v>169.7</v>
      </c>
      <c r="Z30" s="221">
        <v>205</v>
      </c>
      <c r="AA30" s="320">
        <v>63.4</v>
      </c>
      <c r="AB30" s="323">
        <v>275.5</v>
      </c>
      <c r="AC30" s="283">
        <v>416</v>
      </c>
      <c r="AD30" s="283">
        <v>354.4</v>
      </c>
      <c r="AE30" s="221">
        <v>306.5</v>
      </c>
      <c r="AF30" s="241">
        <v>407.5</v>
      </c>
      <c r="AG30" s="221">
        <v>380.5</v>
      </c>
      <c r="AH30" s="335">
        <f t="shared" si="0"/>
        <v>6241.0999999999995</v>
      </c>
      <c r="AI30" s="119">
        <v>100</v>
      </c>
      <c r="AJ30" s="121">
        <f t="shared" si="25"/>
        <v>3.5949074074074078E-3</v>
      </c>
      <c r="AK30" s="98">
        <f>IF(OR(D29="",D29="Sem monitoramento"),"VAZIO",IFERROR(D29/($AI30*24),"-"))</f>
        <v>0.10220833333333333</v>
      </c>
      <c r="AL30" s="99">
        <f>IF(OR(E30="",E30="Sem monitoramento"),"VAZIO",IFERROR(E30/($AI30*24),"-"))</f>
        <v>6.7500000000000004E-2</v>
      </c>
      <c r="AM30" s="99">
        <f t="shared" si="56"/>
        <v>6.470833333333334E-2</v>
      </c>
      <c r="AN30" s="99">
        <f t="shared" si="56"/>
        <v>9.1374999999999998E-2</v>
      </c>
      <c r="AO30" s="99">
        <f>IF(OR(H30="",H30="Sem monitoramento"),"VAZIO",IFERROR(H30/($AI30*24),"-"))</f>
        <v>8.9416666666666658E-2</v>
      </c>
      <c r="AP30" s="99">
        <f t="shared" si="54"/>
        <v>6.2291666666666669E-2</v>
      </c>
      <c r="AQ30" s="99">
        <f>IF(OR(J31="",J31="Sem monitoramento"),"VAZIO",IFERROR(J31/($AI30*24),"-"))</f>
        <v>7.4166666666666672E-2</v>
      </c>
      <c r="AR30" s="99">
        <f t="shared" si="40"/>
        <v>5.966666666666666E-2</v>
      </c>
      <c r="AS30" s="99">
        <f t="shared" si="41"/>
        <v>1.2416666666666666E-2</v>
      </c>
      <c r="AT30" s="99">
        <f t="shared" si="48"/>
        <v>6.25E-2</v>
      </c>
      <c r="AU30" s="99">
        <f>IF(OR(N31="",N31="Sem monitoramento"),"VAZIO",IFERROR(N31/($AI30*24),"-"))</f>
        <v>9.154166666666666E-2</v>
      </c>
      <c r="AV30" s="99">
        <f t="shared" si="49"/>
        <v>4.7333333333333331E-2</v>
      </c>
      <c r="AW30" s="99">
        <f t="shared" si="43"/>
        <v>7.3583333333333334E-2</v>
      </c>
      <c r="AX30" s="99">
        <f t="shared" si="36"/>
        <v>8.1291666666666665E-2</v>
      </c>
      <c r="AY30" s="99">
        <f t="shared" si="42"/>
        <v>8.2625000000000004E-2</v>
      </c>
      <c r="AZ30" s="99">
        <f t="shared" si="44"/>
        <v>9.4416666666666663E-2</v>
      </c>
      <c r="BA30" s="99">
        <f t="shared" si="55"/>
        <v>9.6749999999999989E-2</v>
      </c>
      <c r="BB30" s="99">
        <f t="shared" si="55"/>
        <v>9.7000000000000003E-2</v>
      </c>
      <c r="BC30" s="99">
        <f t="shared" si="51"/>
        <v>9.4583333333333339E-2</v>
      </c>
      <c r="BD30" s="99">
        <f>IF(OR(X29="",X29="Sem monitoramento"),"VAZIO",IFERROR(X29/($AI30*24),"-"))</f>
        <v>0.14470833333333333</v>
      </c>
      <c r="BE30" s="99" t="e">
        <f>IF(OR(#REF!="",#REF!="Sem monitoramento"),"VAZIO",IFERROR(#REF!/($AI30*24),"-"))</f>
        <v>#REF!</v>
      </c>
      <c r="BF30" s="99">
        <f t="shared" si="50"/>
        <v>7.0708333333333331E-2</v>
      </c>
      <c r="BG30" s="99">
        <f>IF(OR(Z30="",Z30="Sem monitoramento"),"VAZIO",IFERROR(Z30/($AI30*24),"-"))</f>
        <v>8.5416666666666669E-2</v>
      </c>
      <c r="BH30" s="99">
        <f>IF(OR(AA30="",AA30="Sem monitoramento"),"VAZIO",IFERROR(AA30/($AI30*24),"-"))</f>
        <v>2.6416666666666665E-2</v>
      </c>
      <c r="BI30" s="99">
        <f t="shared" si="45"/>
        <v>0.11479166666666667</v>
      </c>
      <c r="BJ30" s="99">
        <f t="shared" si="37"/>
        <v>0.17333333333333334</v>
      </c>
      <c r="BK30" s="99">
        <f t="shared" si="52"/>
        <v>0.14766666666666667</v>
      </c>
      <c r="BL30" s="99">
        <f>IF(OR(AE30="",AE30="Sem monitoramento"),"VAZIO",IFERROR(AE30/($AI30*24),"-"))</f>
        <v>0.12770833333333334</v>
      </c>
      <c r="BM30" s="99">
        <f>IF(OR(AF29="",AF29="Sem monitoramento"),"VAZIO",IFERROR(AF29/($AI30*24),"-"))</f>
        <v>0.15354166666666666</v>
      </c>
      <c r="BN30" s="99">
        <f>IF(OR(AG29="",AG29="Sem monitoramento"),"VAZIO",IFERROR(AG29/($AI30*24),"-"))</f>
        <v>0.15354166666666666</v>
      </c>
      <c r="BO30" s="101">
        <f t="shared" si="29"/>
        <v>8.6681944444444436E-2</v>
      </c>
      <c r="BP30" s="198">
        <f t="shared" si="39"/>
        <v>0.168125</v>
      </c>
      <c r="BQ30" s="72">
        <f t="shared" si="23"/>
        <v>16.8125</v>
      </c>
      <c r="BR30" s="73">
        <f t="shared" si="24"/>
        <v>-0.10341666666666666</v>
      </c>
      <c r="BS30" s="74">
        <f t="shared" si="9"/>
        <v>-8.144305555555556E-2</v>
      </c>
      <c r="BT30" s="15" t="s">
        <v>112</v>
      </c>
      <c r="BU30" s="3"/>
      <c r="BV30" s="2"/>
      <c r="BW30" s="2"/>
    </row>
    <row r="31" spans="2:75" ht="15" thickBot="1" x14ac:dyDescent="0.35">
      <c r="B31" s="773" t="s">
        <v>290</v>
      </c>
      <c r="C31" s="326" t="s">
        <v>291</v>
      </c>
      <c r="D31" s="223">
        <v>152.6</v>
      </c>
      <c r="E31" s="480">
        <v>350</v>
      </c>
      <c r="F31" s="283">
        <v>215.6</v>
      </c>
      <c r="G31" s="283">
        <v>380.3</v>
      </c>
      <c r="H31" s="733">
        <v>371.8</v>
      </c>
      <c r="I31" s="308">
        <v>284.2</v>
      </c>
      <c r="J31" s="308">
        <v>178</v>
      </c>
      <c r="K31" s="283">
        <v>140.19999999999999</v>
      </c>
      <c r="L31" s="283">
        <v>121.4</v>
      </c>
      <c r="M31" s="283">
        <v>281.89999999999998</v>
      </c>
      <c r="N31" s="283">
        <v>219.7</v>
      </c>
      <c r="O31" s="283">
        <v>246.7</v>
      </c>
      <c r="P31" s="283">
        <v>380.5</v>
      </c>
      <c r="Q31" s="283">
        <v>309.60000000000002</v>
      </c>
      <c r="R31" s="283">
        <v>320.3</v>
      </c>
      <c r="S31" s="283">
        <v>373.8</v>
      </c>
      <c r="T31" s="283">
        <v>372.8</v>
      </c>
      <c r="U31" s="283">
        <v>314.89999999999998</v>
      </c>
      <c r="V31" s="283">
        <v>192.6</v>
      </c>
      <c r="W31" s="283">
        <v>381.2</v>
      </c>
      <c r="X31" s="283">
        <v>366.8</v>
      </c>
      <c r="Y31" s="320">
        <v>315.10000000000002</v>
      </c>
      <c r="Z31" s="320">
        <v>351.8</v>
      </c>
      <c r="AA31" s="320">
        <v>244.8</v>
      </c>
      <c r="AB31" s="323">
        <v>234.7</v>
      </c>
      <c r="AC31" s="15">
        <v>244.7</v>
      </c>
      <c r="AD31" s="221">
        <v>360</v>
      </c>
      <c r="AE31" s="221">
        <v>264.10000000000002</v>
      </c>
      <c r="AF31" s="15">
        <v>372.3</v>
      </c>
      <c r="AG31" s="15">
        <v>369.9</v>
      </c>
      <c r="AH31" s="335">
        <f t="shared" si="0"/>
        <v>8712.2999999999993</v>
      </c>
      <c r="AI31" s="2">
        <v>100</v>
      </c>
      <c r="AJ31" s="285">
        <f t="shared" si="25"/>
        <v>4.9907407407407409E-3</v>
      </c>
      <c r="AK31" s="98">
        <f>IF(OR(D31="",D31="Sem monitoramento"),"VAZIO",IFERROR(D31/($AI31*24),"-"))</f>
        <v>6.3583333333333325E-2</v>
      </c>
      <c r="AL31" s="99">
        <f>IF(OR(E29="",E29="Sem monitoramento"),"VAZIO",IFERROR(E29/($AI31*24),"-"))</f>
        <v>0.10529166666666666</v>
      </c>
      <c r="AM31" s="99">
        <f t="shared" si="56"/>
        <v>8.9833333333333334E-2</v>
      </c>
      <c r="AN31" s="99">
        <f t="shared" si="56"/>
        <v>0.15845833333333334</v>
      </c>
      <c r="AO31" s="99">
        <f>IF(OR(H29="",H29="Sem monitoramento"),"VAZIO",IFERROR(H29/($AI31*24),"-"))</f>
        <v>0.14208333333333334</v>
      </c>
      <c r="AP31" s="99">
        <f t="shared" si="54"/>
        <v>0.11841666666666666</v>
      </c>
      <c r="AQ31" s="99" t="e">
        <f>IF(OR(#REF!="",#REF!="Sem monitoramento"),"VAZIO",IFERROR(#REF!/($AI31*24),"-"))</f>
        <v>#REF!</v>
      </c>
      <c r="AR31" s="99">
        <f t="shared" si="40"/>
        <v>5.8416666666666665E-2</v>
      </c>
      <c r="AS31" s="99">
        <f t="shared" si="41"/>
        <v>5.0583333333333334E-2</v>
      </c>
      <c r="AT31" s="99">
        <f t="shared" si="48"/>
        <v>0.11745833333333332</v>
      </c>
      <c r="AU31" s="99" t="e">
        <f>IF(OR(#REF!="",#REF!="Sem monitoramento"),"VAZIO",IFERROR(#REF!/($AI31*24),"-"))</f>
        <v>#REF!</v>
      </c>
      <c r="AV31" s="99">
        <f t="shared" si="49"/>
        <v>0.10279166666666666</v>
      </c>
      <c r="AW31" s="99">
        <f t="shared" si="43"/>
        <v>0.15854166666666666</v>
      </c>
      <c r="AX31" s="99">
        <f t="shared" si="36"/>
        <v>0.129</v>
      </c>
      <c r="AY31" s="99">
        <f t="shared" si="42"/>
        <v>0.13345833333333335</v>
      </c>
      <c r="AZ31" s="99">
        <f t="shared" si="44"/>
        <v>0.15575</v>
      </c>
      <c r="BA31" s="99">
        <f t="shared" si="55"/>
        <v>0.15533333333333335</v>
      </c>
      <c r="BB31" s="99">
        <f t="shared" si="55"/>
        <v>0.13120833333333332</v>
      </c>
      <c r="BC31" s="99">
        <f t="shared" si="51"/>
        <v>8.0250000000000002E-2</v>
      </c>
      <c r="BD31" s="99">
        <f>IF(OR(W31="",W31="Sem monitoramento"),"VAZIO",IFERROR(W31/($AI31*24),"-"))</f>
        <v>0.15883333333333333</v>
      </c>
      <c r="BE31" s="99">
        <f>IF(OR(X31="",X31="Sem monitoramento"),"VAZIO",IFERROR(X31/($AI31*24),"-"))</f>
        <v>0.15283333333333335</v>
      </c>
      <c r="BF31" s="99">
        <f t="shared" si="50"/>
        <v>0.13129166666666667</v>
      </c>
      <c r="BG31" s="99">
        <f>IF(OR(Z31="",Z31="Sem monitoramento"),"VAZIO",IFERROR(Z31/($AI31*24),"-"))</f>
        <v>0.14658333333333334</v>
      </c>
      <c r="BH31" s="99">
        <f>IF(OR(AA31="",AA31="Sem monitoramento"),"VAZIO",IFERROR(AA31/($AI31*24),"-"))</f>
        <v>0.10200000000000001</v>
      </c>
      <c r="BI31" s="99">
        <f t="shared" si="45"/>
        <v>9.7791666666666666E-2</v>
      </c>
      <c r="BJ31" s="99">
        <f t="shared" si="37"/>
        <v>0.10195833333333333</v>
      </c>
      <c r="BK31" s="99">
        <f t="shared" si="52"/>
        <v>0.15</v>
      </c>
      <c r="BL31" s="99">
        <f>IF(OR(AE31="",AE31="Sem monitoramento"),"VAZIO",IFERROR(AE31/($AI31*24),"-"))</f>
        <v>0.11004166666666668</v>
      </c>
      <c r="BM31" s="286">
        <f>IF(OR(AF31="",AF31="Sem monitoramento"),"VAZIO",IFERROR(AF31/($AI31*24),"-"))</f>
        <v>0.15512500000000001</v>
      </c>
      <c r="BN31" s="286">
        <f>IF(OR(AG31="",AG31="Sem monitoramento"),"VAZIO",IFERROR(AG31/($AI31*24),"-"))</f>
        <v>0.15412499999999998</v>
      </c>
      <c r="BO31" s="286">
        <f t="shared" si="29"/>
        <v>0.12100416666666666</v>
      </c>
      <c r="BP31" s="198">
        <f t="shared" si="39"/>
        <v>0.168125</v>
      </c>
      <c r="BQ31" s="72">
        <f t="shared" si="23"/>
        <v>16.8125</v>
      </c>
      <c r="BR31" s="73">
        <f t="shared" si="24"/>
        <v>-7.8291666666666662E-2</v>
      </c>
      <c r="BS31" s="74">
        <f t="shared" si="9"/>
        <v>-4.7120833333333334E-2</v>
      </c>
      <c r="BT31" s="2"/>
      <c r="BU31" s="3"/>
      <c r="BV31" s="2"/>
      <c r="BW31" s="2"/>
    </row>
    <row r="32" spans="2:75" ht="15" thickBot="1" x14ac:dyDescent="0.35">
      <c r="B32" s="777"/>
      <c r="C32" s="329" t="s">
        <v>563</v>
      </c>
      <c r="D32" s="224">
        <v>163.9</v>
      </c>
      <c r="E32" s="93">
        <v>337.9</v>
      </c>
      <c r="F32" s="93">
        <v>192.3</v>
      </c>
      <c r="G32" s="115">
        <v>373.3</v>
      </c>
      <c r="H32" s="532">
        <v>361.8</v>
      </c>
      <c r="I32" s="115">
        <v>258.89999999999998</v>
      </c>
      <c r="J32" s="115">
        <v>115.8</v>
      </c>
      <c r="K32" s="93">
        <v>101.07</v>
      </c>
      <c r="L32" s="93">
        <v>107.5</v>
      </c>
      <c r="M32" s="93">
        <v>270.3</v>
      </c>
      <c r="N32" s="93">
        <v>242.2</v>
      </c>
      <c r="O32" s="318">
        <v>222.6</v>
      </c>
      <c r="P32" s="93">
        <v>222.6</v>
      </c>
      <c r="Q32" s="318">
        <v>356.4</v>
      </c>
      <c r="R32" s="318">
        <v>313.7</v>
      </c>
      <c r="S32" s="318">
        <v>375.3</v>
      </c>
      <c r="T32" s="318">
        <v>359.7</v>
      </c>
      <c r="U32" s="318">
        <v>305.89999999999998</v>
      </c>
      <c r="V32" s="318">
        <v>197.6</v>
      </c>
      <c r="W32" s="318">
        <v>455.1</v>
      </c>
      <c r="X32" s="277">
        <v>361.9</v>
      </c>
      <c r="Y32" s="318">
        <v>300.10000000000002</v>
      </c>
      <c r="Z32" s="318">
        <v>345.8</v>
      </c>
      <c r="AA32" s="318">
        <v>233.9</v>
      </c>
      <c r="AB32" s="655">
        <v>238.8</v>
      </c>
      <c r="AC32" s="22">
        <v>263.89999999999998</v>
      </c>
      <c r="AD32" s="277">
        <v>344.1</v>
      </c>
      <c r="AE32" s="93">
        <v>287.89999999999998</v>
      </c>
      <c r="AF32" s="22">
        <v>373.1</v>
      </c>
      <c r="AG32" s="277">
        <v>363.9</v>
      </c>
      <c r="AH32" s="335">
        <f t="shared" si="0"/>
        <v>8447.27</v>
      </c>
      <c r="AI32" s="2"/>
      <c r="AJ32" s="285"/>
      <c r="AK32" s="286" t="str">
        <f>IF(OR(D32="",D32="Sem monitoramento"),"VAZIO",IFERROR(D32/($AI32*24),"-"))</f>
        <v>-</v>
      </c>
      <c r="AL32" s="286" t="str">
        <f>IF(OR(E32="",E32="Sem monitoramento"),"VAZIO",IFERROR(E32/($AI32*24),"-"))</f>
        <v>-</v>
      </c>
      <c r="AM32" s="286" t="str">
        <f t="shared" si="56"/>
        <v>-</v>
      </c>
      <c r="AN32" s="286" t="str">
        <f t="shared" si="56"/>
        <v>-</v>
      </c>
      <c r="AO32" s="286" t="str">
        <f>IF(OR(H32="",H32="Sem monitoramento"),"VAZIO",IFERROR(H32/($AI32*24),"-"))</f>
        <v>-</v>
      </c>
      <c r="AP32" s="286" t="str">
        <f t="shared" si="54"/>
        <v>-</v>
      </c>
      <c r="AQ32" s="286" t="str">
        <f>IF(OR(J32="",J32="Sem monitoramento"),"VAZIO",IFERROR(J32/($AI32*24),"-"))</f>
        <v>-</v>
      </c>
      <c r="AR32" s="286" t="str">
        <f t="shared" si="40"/>
        <v>-</v>
      </c>
      <c r="AS32" s="286" t="str">
        <f t="shared" si="41"/>
        <v>-</v>
      </c>
      <c r="AT32" s="286" t="str">
        <f t="shared" si="48"/>
        <v>-</v>
      </c>
      <c r="AU32" s="286" t="str">
        <f>IF(OR(N32="",N32="Sem monitoramento"),"VAZIO",IFERROR(N32/($AI32*24),"-"))</f>
        <v>-</v>
      </c>
      <c r="AV32" s="286" t="str">
        <f t="shared" si="49"/>
        <v>-</v>
      </c>
      <c r="AW32" s="286" t="str">
        <f t="shared" si="43"/>
        <v>-</v>
      </c>
      <c r="AX32" s="286" t="str">
        <f t="shared" si="36"/>
        <v>-</v>
      </c>
      <c r="AY32" s="286" t="str">
        <f t="shared" si="42"/>
        <v>-</v>
      </c>
      <c r="AZ32" s="286" t="str">
        <f t="shared" si="44"/>
        <v>-</v>
      </c>
      <c r="BA32" s="286" t="str">
        <f t="shared" si="55"/>
        <v>-</v>
      </c>
      <c r="BB32" s="286" t="str">
        <f t="shared" si="55"/>
        <v>-</v>
      </c>
      <c r="BC32" s="286" t="str">
        <f t="shared" si="51"/>
        <v>-</v>
      </c>
      <c r="BD32" s="286" t="str">
        <f>IF(OR(W32="",W32="Sem monitoramento"),"VAZIO",IFERROR(W32/($AI32*24),"-"))</f>
        <v>-</v>
      </c>
      <c r="BE32" s="286" t="str">
        <f>IF(OR(X32="",X32="Sem monitoramento"),"VAZIO",IFERROR(X32/($AI32*24),"-"))</f>
        <v>-</v>
      </c>
      <c r="BF32" s="286" t="str">
        <f t="shared" si="50"/>
        <v>-</v>
      </c>
      <c r="BG32" s="286" t="str">
        <f>IF(OR(Z32="",Z32="Sem monitoramento"),"VAZIO",IFERROR(Z32/($AI32*24),"-"))</f>
        <v>-</v>
      </c>
      <c r="BH32" s="286" t="str">
        <f>IF(OR(AA32="",AA32="Sem monitoramento"),"VAZIO",IFERROR(AA32/($AI32*24),"-"))</f>
        <v>-</v>
      </c>
      <c r="BI32" s="286" t="str">
        <f t="shared" si="45"/>
        <v>-</v>
      </c>
      <c r="BJ32" s="286" t="str">
        <f t="shared" si="37"/>
        <v>-</v>
      </c>
      <c r="BK32" s="286" t="str">
        <f t="shared" si="52"/>
        <v>-</v>
      </c>
      <c r="BL32" s="286" t="str">
        <f>IF(OR(AE32="",AE32="Sem monitoramento"),"VAZIO",IFERROR(AE32/($AI32*24),"-"))</f>
        <v>-</v>
      </c>
      <c r="BM32" s="286" t="str">
        <f>IF(OR(AF32="",AF32="Sem monitoramento"),"VAZIO",IFERROR(AF32/($AI32*24),"-"))</f>
        <v>-</v>
      </c>
      <c r="BN32" s="286" t="str">
        <f>IF(OR(AG32="",AG32="Sem monitoramento"),"VAZIO",IFERROR(AG32/($AI32*24),"-"))</f>
        <v>-</v>
      </c>
      <c r="BO32" s="286" t="e">
        <f t="shared" si="29"/>
        <v>#DIV/0!</v>
      </c>
      <c r="BP32" s="198"/>
      <c r="BQ32" s="287"/>
      <c r="BR32" s="288"/>
      <c r="BS32" s="289"/>
      <c r="BT32" s="2"/>
      <c r="BU32" s="3"/>
      <c r="BV32" s="2"/>
      <c r="BW32" s="2"/>
    </row>
    <row r="33" spans="2:75" ht="18" x14ac:dyDescent="0.3">
      <c r="B33" s="776" t="s">
        <v>113</v>
      </c>
      <c r="C33" s="776"/>
      <c r="D33" s="103">
        <f>SUM(D5:D32)</f>
        <v>5460.2</v>
      </c>
      <c r="E33" s="103">
        <f>SUM(E5:E32)</f>
        <v>9360.0000000000018</v>
      </c>
      <c r="F33" s="103">
        <f>SUM(F5:F32)</f>
        <v>5756.0999999999995</v>
      </c>
      <c r="G33" s="103">
        <f>SUM(G5:G32)</f>
        <v>10362.699999999999</v>
      </c>
      <c r="H33" s="103">
        <f t="shared" ref="H33:AG33" si="57">SUM(H5:H32)</f>
        <v>10492.1</v>
      </c>
      <c r="I33" s="103">
        <f t="shared" si="57"/>
        <v>8035.3</v>
      </c>
      <c r="J33" s="103">
        <f t="shared" si="57"/>
        <v>3852.1000000000004</v>
      </c>
      <c r="K33" s="103">
        <f t="shared" si="57"/>
        <v>4285.97</v>
      </c>
      <c r="L33" s="103">
        <f t="shared" si="57"/>
        <v>2448.0000000000009</v>
      </c>
      <c r="M33" s="103">
        <f t="shared" si="57"/>
        <v>8175.8999999999987</v>
      </c>
      <c r="N33" s="103">
        <f t="shared" si="57"/>
        <v>7487.4000000000015</v>
      </c>
      <c r="O33" s="103">
        <f t="shared" si="57"/>
        <v>7052.7000000000016</v>
      </c>
      <c r="P33" s="103">
        <f>SUM(P5:P32)</f>
        <v>9288.5</v>
      </c>
      <c r="Q33" s="103">
        <f t="shared" si="57"/>
        <v>9128.2000000000007</v>
      </c>
      <c r="R33" s="103">
        <f t="shared" si="57"/>
        <v>9396.1</v>
      </c>
      <c r="S33" s="103">
        <f t="shared" si="57"/>
        <v>11030.199999999999</v>
      </c>
      <c r="T33" s="103">
        <f>SUM(T5:T32)</f>
        <v>10893.800000000001</v>
      </c>
      <c r="U33" s="103">
        <f>SUM(U5:U32)</f>
        <v>10085.9</v>
      </c>
      <c r="V33" s="103">
        <f t="shared" si="57"/>
        <v>8201</v>
      </c>
      <c r="W33" s="103">
        <f t="shared" si="57"/>
        <v>10851.4</v>
      </c>
      <c r="X33" s="103">
        <f t="shared" si="57"/>
        <v>10552.199999999997</v>
      </c>
      <c r="Y33" s="103">
        <f t="shared" si="57"/>
        <v>9355.4</v>
      </c>
      <c r="Z33" s="103">
        <f t="shared" si="57"/>
        <v>10271.799999999997</v>
      </c>
      <c r="AA33" s="103">
        <f t="shared" si="57"/>
        <v>5207.5000000000009</v>
      </c>
      <c r="AB33" s="103">
        <f>SUM(AB5:AB32)</f>
        <v>5475.3</v>
      </c>
      <c r="AC33" s="103">
        <f t="shared" si="57"/>
        <v>8010.3000000000011</v>
      </c>
      <c r="AD33" s="103">
        <f t="shared" si="57"/>
        <v>10178.799999999999</v>
      </c>
      <c r="AE33" s="103">
        <f t="shared" si="57"/>
        <v>8374.6</v>
      </c>
      <c r="AF33" s="103">
        <f t="shared" si="57"/>
        <v>10585.599999999999</v>
      </c>
      <c r="AG33" s="103">
        <f t="shared" si="57"/>
        <v>11115.399999999998</v>
      </c>
      <c r="AH33" s="189">
        <f>SUM(AH5:AH32)</f>
        <v>250770.47</v>
      </c>
      <c r="AI33" s="104">
        <f>SUM(AI5:AI32)</f>
        <v>2329</v>
      </c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U33" s="3"/>
      <c r="BV33" s="2"/>
      <c r="BW33" s="2"/>
    </row>
    <row r="34" spans="2:75" ht="18.600000000000001" thickBot="1" x14ac:dyDescent="0.3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190" t="str">
        <f>_xlfn.CONCAT(ROUND(AH33/1000,3)," MWh")</f>
        <v>250,77 MWh</v>
      </c>
      <c r="AI34" s="2"/>
      <c r="AM34" s="778">
        <v>12</v>
      </c>
      <c r="AV34">
        <v>1000</v>
      </c>
      <c r="AW34">
        <v>1000</v>
      </c>
      <c r="BQ34" s="9"/>
      <c r="BS34" s="2"/>
      <c r="BU34" s="2"/>
      <c r="BV34" s="2"/>
      <c r="BW34" s="2"/>
    </row>
    <row r="35" spans="2:75" ht="15" thickBot="1" x14ac:dyDescent="0.35">
      <c r="C35" s="105"/>
      <c r="D35" t="s">
        <v>36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161"/>
      <c r="U35" s="2"/>
      <c r="V35" s="2"/>
      <c r="W35" s="2"/>
      <c r="X35" s="2"/>
      <c r="Y35" s="2"/>
      <c r="Z35" s="2"/>
      <c r="AA35" s="2"/>
      <c r="AB35" s="2"/>
      <c r="AC35" s="2"/>
      <c r="AD35" s="2">
        <v>1497</v>
      </c>
      <c r="AE35" s="767" t="s">
        <v>194</v>
      </c>
      <c r="AF35" s="767"/>
      <c r="AG35" s="767"/>
      <c r="AH35" s="191" t="str">
        <f>_xlfn.CONCAT(ROUND($AH$33/COUNTIF($D$33:$AG$33,"&lt;&gt;0"),3)," kWh")</f>
        <v>8359,016 kWh</v>
      </c>
      <c r="AI35" s="2"/>
      <c r="AJ35" s="2"/>
      <c r="AK35" s="2"/>
      <c r="AL35" s="2"/>
      <c r="AM35" s="779"/>
      <c r="AU35">
        <v>900</v>
      </c>
      <c r="AV35">
        <v>100</v>
      </c>
      <c r="BQ35" s="11"/>
      <c r="BS35" s="106"/>
      <c r="BT35" s="3" t="s">
        <v>114</v>
      </c>
    </row>
    <row r="36" spans="2:75" ht="15" thickBot="1" x14ac:dyDescent="0.35">
      <c r="C36" s="107"/>
      <c r="D36" t="s">
        <v>115</v>
      </c>
      <c r="E36" s="2"/>
      <c r="F36" s="2"/>
      <c r="G36" s="2"/>
      <c r="H36" s="161"/>
      <c r="I36" s="2"/>
      <c r="J36" s="161"/>
      <c r="K36" s="314">
        <v>45533.1</v>
      </c>
      <c r="L36" s="161">
        <v>270.5</v>
      </c>
      <c r="M36" s="2">
        <v>46064.2</v>
      </c>
      <c r="N36" s="2">
        <v>42.5</v>
      </c>
      <c r="O36" s="2"/>
      <c r="P36" s="2"/>
      <c r="Q36" s="2"/>
      <c r="R36" s="2"/>
      <c r="S36" s="2"/>
      <c r="T36" s="2">
        <v>151771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767" t="s">
        <v>195</v>
      </c>
      <c r="AF36" s="767"/>
      <c r="AG36" s="767"/>
      <c r="AH36" s="191" t="str">
        <f>_xlfn.CONCAT(ROUND($AH$33/COUNTIF($D$33:$AG$33,"&lt;&gt;0"),3)*30," kWh")</f>
        <v>250770,48 kWh</v>
      </c>
      <c r="AI36" s="2"/>
      <c r="AJ36" s="2"/>
      <c r="AK36" s="2"/>
      <c r="AL36" s="2"/>
      <c r="AM36" s="780"/>
      <c r="BQ36" s="2"/>
      <c r="BS36" s="109"/>
      <c r="BT36" s="5" t="s">
        <v>116</v>
      </c>
    </row>
    <row r="37" spans="2:75" x14ac:dyDescent="0.3">
      <c r="I37">
        <v>50190</v>
      </c>
      <c r="K37" s="313">
        <v>45214.2</v>
      </c>
      <c r="L37" s="102">
        <f>K36-K37</f>
        <v>318.90000000000146</v>
      </c>
      <c r="M37" s="102"/>
      <c r="N37" s="315">
        <f>M36-K36-N36</f>
        <v>488.59999999999854</v>
      </c>
      <c r="T37">
        <v>152247</v>
      </c>
      <c r="AC37">
        <v>52911.8</v>
      </c>
      <c r="AE37" s="767" t="s">
        <v>195</v>
      </c>
      <c r="AF37" s="767"/>
      <c r="AG37" s="767"/>
      <c r="AH37" s="191" t="str">
        <f>_xlfn.CONCAT(ROUND(($AH$33/COUNTIF($D$33:$AG$33,"&lt;&gt;0"))*30/1000,3)," MWh")</f>
        <v>250,77 MWh</v>
      </c>
      <c r="AM37" s="778">
        <v>67</v>
      </c>
    </row>
    <row r="38" spans="2:75" x14ac:dyDescent="0.3">
      <c r="E38" s="436">
        <v>558.9</v>
      </c>
      <c r="F38">
        <v>403.7</v>
      </c>
      <c r="G38">
        <v>563.5</v>
      </c>
      <c r="I38">
        <v>51533</v>
      </c>
      <c r="T38">
        <f>T37-T36+1.8</f>
        <v>477.8</v>
      </c>
      <c r="X38" s="102"/>
      <c r="AC38">
        <v>53196</v>
      </c>
      <c r="AM38" s="779"/>
    </row>
    <row r="39" spans="2:75" x14ac:dyDescent="0.3">
      <c r="I39">
        <f>I38-I37</f>
        <v>1343</v>
      </c>
      <c r="AC39">
        <v>60.6</v>
      </c>
      <c r="AM39" s="780"/>
    </row>
    <row r="40" spans="2:75" x14ac:dyDescent="0.3">
      <c r="AC40">
        <f>AC38-AC37+AC39</f>
        <v>344.79999999999711</v>
      </c>
      <c r="AD40">
        <v>53642</v>
      </c>
      <c r="AE40">
        <f>AD40-AC38</f>
        <v>446</v>
      </c>
      <c r="AF40">
        <v>53925.599999999999</v>
      </c>
      <c r="AM40" s="778">
        <v>49</v>
      </c>
    </row>
    <row r="41" spans="2:75" x14ac:dyDescent="0.3">
      <c r="N41">
        <v>91151.5</v>
      </c>
      <c r="O41">
        <f>N42-N41</f>
        <v>734</v>
      </c>
      <c r="X41" s="102"/>
      <c r="AF41">
        <f>AF40-20.4</f>
        <v>53905.2</v>
      </c>
      <c r="AM41" s="779"/>
    </row>
    <row r="42" spans="2:75" x14ac:dyDescent="0.3">
      <c r="N42">
        <v>91885.5</v>
      </c>
      <c r="X42" s="102"/>
      <c r="AF42">
        <f>AF41-AD40</f>
        <v>263.19999999999709</v>
      </c>
      <c r="AM42" s="780"/>
    </row>
    <row r="43" spans="2:75" x14ac:dyDescent="0.3">
      <c r="E43" t="str">
        <f>TEXT(E44,"dddd")</f>
        <v>sábado</v>
      </c>
      <c r="F43" t="str">
        <f>TEXT(F44,"dddd")</f>
        <v>domingo</v>
      </c>
      <c r="L43" t="str">
        <f>TEXT(L44,"dddd")</f>
        <v>sábado</v>
      </c>
      <c r="M43" t="str">
        <f>TEXT(M44,"dddd")</f>
        <v>domingo</v>
      </c>
      <c r="S43" t="str">
        <f>TEXT(S44,"dddd")</f>
        <v>sábado</v>
      </c>
      <c r="T43" t="str">
        <f>TEXT(T44,"dddd")</f>
        <v>domingo</v>
      </c>
      <c r="Z43" t="str">
        <f>TEXT(Z44,"dddd")</f>
        <v>sábado</v>
      </c>
      <c r="AA43" t="str">
        <f>TEXT(AA44,"dddd")</f>
        <v>domingo</v>
      </c>
      <c r="AG43" t="str">
        <f>TEXT(AG44,"dddd")</f>
        <v>sábado</v>
      </c>
      <c r="AM43" s="778">
        <v>33</v>
      </c>
    </row>
    <row r="44" spans="2:75" x14ac:dyDescent="0.3">
      <c r="B44" s="141" t="s">
        <v>117</v>
      </c>
      <c r="C44" s="141" t="s">
        <v>118</v>
      </c>
      <c r="D44" s="140">
        <v>45170</v>
      </c>
      <c r="E44" s="140">
        <v>45171</v>
      </c>
      <c r="F44" s="140">
        <v>45172</v>
      </c>
      <c r="G44" s="140">
        <v>45173</v>
      </c>
      <c r="H44" s="140">
        <v>45174</v>
      </c>
      <c r="I44" s="140">
        <v>45175</v>
      </c>
      <c r="J44" s="140">
        <v>45176</v>
      </c>
      <c r="K44" s="140">
        <v>45177</v>
      </c>
      <c r="L44" s="140">
        <v>45178</v>
      </c>
      <c r="M44" s="140">
        <v>45179</v>
      </c>
      <c r="N44" s="140">
        <v>45180</v>
      </c>
      <c r="O44" s="140">
        <v>45181</v>
      </c>
      <c r="P44" s="140">
        <v>45182</v>
      </c>
      <c r="Q44" s="140">
        <v>45183</v>
      </c>
      <c r="R44" s="140">
        <v>45184</v>
      </c>
      <c r="S44" s="140">
        <v>45185</v>
      </c>
      <c r="T44" s="140">
        <v>45186</v>
      </c>
      <c r="U44" s="140">
        <v>45187</v>
      </c>
      <c r="V44" s="140">
        <v>45188</v>
      </c>
      <c r="W44" s="140">
        <v>45189</v>
      </c>
      <c r="X44" s="140">
        <v>45190</v>
      </c>
      <c r="Y44" s="140">
        <v>45191</v>
      </c>
      <c r="Z44" s="140">
        <v>45192</v>
      </c>
      <c r="AA44" s="140">
        <v>45193</v>
      </c>
      <c r="AB44" s="140">
        <v>45194</v>
      </c>
      <c r="AC44" s="140">
        <v>45195</v>
      </c>
      <c r="AD44" s="140">
        <v>45196</v>
      </c>
      <c r="AE44" s="140">
        <v>45197</v>
      </c>
      <c r="AF44" s="140">
        <v>45198</v>
      </c>
      <c r="AG44" s="140">
        <v>45199</v>
      </c>
      <c r="AL44" s="63">
        <v>19.7</v>
      </c>
      <c r="AM44" s="779"/>
    </row>
    <row r="45" spans="2:75" x14ac:dyDescent="0.3">
      <c r="B45" s="751" t="s">
        <v>6</v>
      </c>
      <c r="C45" s="18" t="s">
        <v>7</v>
      </c>
      <c r="D45" s="163">
        <f>D5+Agosto23!AF41</f>
        <v>48870.1</v>
      </c>
      <c r="E45" s="164">
        <f t="shared" ref="E45:F55" si="58">D45+E5</f>
        <v>48906.299999999996</v>
      </c>
      <c r="F45" s="164">
        <f t="shared" si="58"/>
        <v>48928.499999999993</v>
      </c>
      <c r="G45" s="165">
        <v>49036.4</v>
      </c>
      <c r="H45" s="166">
        <v>49076</v>
      </c>
      <c r="I45" s="163">
        <f t="shared" ref="I45:V55" si="59">H45+I5</f>
        <v>49111.7</v>
      </c>
      <c r="J45" s="163">
        <f t="shared" si="59"/>
        <v>49117.599999999999</v>
      </c>
      <c r="K45" s="163">
        <f t="shared" si="59"/>
        <v>49134.799999999996</v>
      </c>
      <c r="L45" s="163">
        <f t="shared" si="59"/>
        <v>49145.499999999993</v>
      </c>
      <c r="M45" s="163">
        <f t="shared" si="59"/>
        <v>49182.599999999991</v>
      </c>
      <c r="N45" s="163">
        <f t="shared" si="59"/>
        <v>49217.099999999991</v>
      </c>
      <c r="O45" s="163">
        <f t="shared" si="59"/>
        <v>49247.999999999993</v>
      </c>
      <c r="P45" s="163">
        <f t="shared" si="59"/>
        <v>49279.799999999996</v>
      </c>
      <c r="Q45" s="163">
        <f t="shared" si="59"/>
        <v>49318.299999999996</v>
      </c>
      <c r="R45" s="163">
        <f t="shared" si="59"/>
        <v>49352.499999999993</v>
      </c>
      <c r="S45" s="163">
        <f t="shared" si="59"/>
        <v>49395.899999999994</v>
      </c>
      <c r="T45" s="163">
        <f t="shared" si="59"/>
        <v>49439.499999999993</v>
      </c>
      <c r="U45" s="163">
        <f t="shared" si="59"/>
        <v>49479.899999999994</v>
      </c>
      <c r="V45" s="163">
        <f t="shared" si="59"/>
        <v>49513.799999999996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L45" s="63">
        <f>20.7+88.5</f>
        <v>109.2</v>
      </c>
      <c r="AM45" s="780"/>
    </row>
    <row r="46" spans="2:75" x14ac:dyDescent="0.3">
      <c r="B46" s="752"/>
      <c r="C46" s="18" t="s">
        <v>8</v>
      </c>
      <c r="D46" s="163">
        <f>D6+Agosto23!AF42</f>
        <v>98878.400000000009</v>
      </c>
      <c r="E46" s="164">
        <f t="shared" si="58"/>
        <v>99075.700000000012</v>
      </c>
      <c r="F46" s="164">
        <f t="shared" si="58"/>
        <v>99195.6</v>
      </c>
      <c r="G46" s="165">
        <f>21775+78123.8</f>
        <v>99898.8</v>
      </c>
      <c r="H46" s="166">
        <f>21823+78322.8</f>
        <v>100145.8</v>
      </c>
      <c r="I46" s="163">
        <f t="shared" si="59"/>
        <v>100395.1</v>
      </c>
      <c r="J46" s="163">
        <f t="shared" si="59"/>
        <v>100478.6</v>
      </c>
      <c r="K46" s="163">
        <f t="shared" si="59"/>
        <v>100580.6</v>
      </c>
      <c r="L46" s="163">
        <f t="shared" si="59"/>
        <v>100643.70000000001</v>
      </c>
      <c r="M46" s="163">
        <f t="shared" si="59"/>
        <v>100874.30000000002</v>
      </c>
      <c r="N46" s="163">
        <f t="shared" si="59"/>
        <v>101085.50000000001</v>
      </c>
      <c r="O46" s="163">
        <f t="shared" si="59"/>
        <v>101267.80000000002</v>
      </c>
      <c r="P46" s="163">
        <f t="shared" si="59"/>
        <v>101490.60000000002</v>
      </c>
      <c r="Q46" s="163">
        <f t="shared" si="59"/>
        <v>101770.10000000002</v>
      </c>
      <c r="R46" s="163">
        <f t="shared" si="59"/>
        <v>102026.00000000001</v>
      </c>
      <c r="S46" s="163">
        <f t="shared" si="59"/>
        <v>102282.50000000001</v>
      </c>
      <c r="T46" s="163">
        <f t="shared" si="59"/>
        <v>102576.30000000002</v>
      </c>
      <c r="U46" s="163">
        <f t="shared" si="59"/>
        <v>102836.60000000002</v>
      </c>
      <c r="V46" s="163">
        <f t="shared" si="59"/>
        <v>103043.60000000002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L46" s="63">
        <v>82.2</v>
      </c>
      <c r="AM46" s="778">
        <v>12</v>
      </c>
    </row>
    <row r="47" spans="2:75" x14ac:dyDescent="0.3">
      <c r="B47" s="752"/>
      <c r="C47" s="18" t="s">
        <v>9</v>
      </c>
      <c r="D47" s="163">
        <f>D7+Agosto23!AF43</f>
        <v>69803.199999999997</v>
      </c>
      <c r="E47" s="164">
        <f t="shared" si="58"/>
        <v>69979.199999999997</v>
      </c>
      <c r="F47" s="164">
        <f t="shared" si="58"/>
        <v>70088.399999999994</v>
      </c>
      <c r="G47" s="165">
        <v>70458.2</v>
      </c>
      <c r="H47" s="166">
        <v>70615.5</v>
      </c>
      <c r="I47" s="163">
        <f t="shared" si="59"/>
        <v>70794</v>
      </c>
      <c r="J47" s="163">
        <f>I47+J11</f>
        <v>70848.399999999994</v>
      </c>
      <c r="K47" s="163">
        <f t="shared" si="59"/>
        <v>70930.399999999994</v>
      </c>
      <c r="L47" s="163">
        <f t="shared" si="59"/>
        <v>70981.2</v>
      </c>
      <c r="M47" s="163">
        <f t="shared" si="59"/>
        <v>71155.199999999997</v>
      </c>
      <c r="N47" s="163">
        <f t="shared" si="59"/>
        <v>71315.599999999991</v>
      </c>
      <c r="O47" s="163">
        <f t="shared" si="59"/>
        <v>71462.099999999991</v>
      </c>
      <c r="P47" s="163">
        <f t="shared" si="59"/>
        <v>71625.499999999985</v>
      </c>
      <c r="Q47" s="163">
        <f t="shared" si="59"/>
        <v>71832.89999999998</v>
      </c>
      <c r="R47" s="163">
        <f t="shared" si="59"/>
        <v>72020.599999999977</v>
      </c>
      <c r="S47" s="163">
        <f t="shared" si="59"/>
        <v>72246.39999999998</v>
      </c>
      <c r="T47" s="163">
        <f t="shared" si="59"/>
        <v>72475.89999999998</v>
      </c>
      <c r="U47" s="163" t="e">
        <f>T47+#REF!</f>
        <v>#REF!</v>
      </c>
      <c r="V47" s="163" t="e">
        <f t="shared" si="59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L47" s="63">
        <v>57.3</v>
      </c>
      <c r="AM47" s="779"/>
    </row>
    <row r="48" spans="2:75" x14ac:dyDescent="0.3">
      <c r="B48" s="752"/>
      <c r="C48" s="18" t="s">
        <v>10</v>
      </c>
      <c r="D48" s="163">
        <f>D8+Agosto23!AF44</f>
        <v>95699.4</v>
      </c>
      <c r="E48" s="164">
        <f t="shared" si="58"/>
        <v>95799.799999999988</v>
      </c>
      <c r="F48" s="164">
        <f t="shared" si="58"/>
        <v>95861.099999999991</v>
      </c>
      <c r="G48" s="165">
        <v>96154</v>
      </c>
      <c r="H48" s="166">
        <v>96261.9</v>
      </c>
      <c r="I48" s="163" t="e">
        <f>H48+#REF!</f>
        <v>#REF!</v>
      </c>
      <c r="J48" s="163" t="e">
        <f t="shared" si="59"/>
        <v>#REF!</v>
      </c>
      <c r="K48" s="163" t="e">
        <f t="shared" si="59"/>
        <v>#REF!</v>
      </c>
      <c r="L48" s="163" t="e">
        <f t="shared" si="59"/>
        <v>#REF!</v>
      </c>
      <c r="M48" s="163" t="e">
        <f t="shared" si="59"/>
        <v>#REF!</v>
      </c>
      <c r="N48" s="163" t="e">
        <f t="shared" si="59"/>
        <v>#REF!</v>
      </c>
      <c r="O48" s="163" t="e">
        <f t="shared" si="59"/>
        <v>#REF!</v>
      </c>
      <c r="P48" s="163" t="e">
        <f t="shared" si="59"/>
        <v>#REF!</v>
      </c>
      <c r="Q48" s="163" t="e">
        <f t="shared" si="59"/>
        <v>#REF!</v>
      </c>
      <c r="R48" s="163" t="e">
        <f t="shared" si="59"/>
        <v>#REF!</v>
      </c>
      <c r="S48" s="163" t="e">
        <f t="shared" si="59"/>
        <v>#REF!</v>
      </c>
      <c r="T48" s="163" t="e">
        <f t="shared" si="59"/>
        <v>#REF!</v>
      </c>
      <c r="U48" s="163" t="e">
        <f>T48+#REF!</f>
        <v>#REF!</v>
      </c>
      <c r="V48" s="163" t="e">
        <f t="shared" si="59"/>
        <v>#REF!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L48" s="63">
        <v>17.7</v>
      </c>
      <c r="AM48" s="780"/>
    </row>
    <row r="49" spans="2:39" x14ac:dyDescent="0.3">
      <c r="B49" s="752"/>
      <c r="C49" s="18" t="s">
        <v>11</v>
      </c>
      <c r="D49" s="163">
        <f>D10+Agosto23!AF45</f>
        <v>18783.7</v>
      </c>
      <c r="E49" s="164">
        <f t="shared" si="58"/>
        <v>18833.600000000002</v>
      </c>
      <c r="F49" s="164">
        <f t="shared" si="58"/>
        <v>18859.7</v>
      </c>
      <c r="G49" s="165">
        <v>18957</v>
      </c>
      <c r="H49" s="166">
        <v>18998</v>
      </c>
      <c r="I49" s="163">
        <f>H49+I9</f>
        <v>19039.7</v>
      </c>
      <c r="J49" s="163">
        <f>I49+J10</f>
        <v>19054.3</v>
      </c>
      <c r="K49" s="163">
        <f>J49+K10</f>
        <v>19071.8</v>
      </c>
      <c r="L49" s="163">
        <f t="shared" si="59"/>
        <v>19084.599999999999</v>
      </c>
      <c r="M49" s="163">
        <f t="shared" si="59"/>
        <v>19127.399999999998</v>
      </c>
      <c r="N49" s="163">
        <f t="shared" si="59"/>
        <v>19169.099999999999</v>
      </c>
      <c r="O49" s="163">
        <f t="shared" si="59"/>
        <v>19209.8</v>
      </c>
      <c r="P49" s="163">
        <f>O49+P10</f>
        <v>19253.3</v>
      </c>
      <c r="Q49" s="163">
        <f t="shared" si="59"/>
        <v>19307.399999999998</v>
      </c>
      <c r="R49" s="163">
        <f t="shared" si="59"/>
        <v>19354.499999999996</v>
      </c>
      <c r="S49" s="163">
        <f t="shared" si="59"/>
        <v>19413.499999999996</v>
      </c>
      <c r="T49" s="163">
        <f t="shared" si="59"/>
        <v>19473.199999999997</v>
      </c>
      <c r="U49" s="163">
        <f>T49+U7</f>
        <v>19673.699999999997</v>
      </c>
      <c r="V49" s="163">
        <f t="shared" si="59"/>
        <v>19713.599999999999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L49" s="63">
        <v>37.700000000000003</v>
      </c>
      <c r="AM49" s="778">
        <v>25</v>
      </c>
    </row>
    <row r="50" spans="2:39" x14ac:dyDescent="0.3">
      <c r="B50" s="752"/>
      <c r="C50" s="18" t="s">
        <v>12</v>
      </c>
      <c r="D50" s="163" t="e">
        <f>#REF!+Agosto23!AF46</f>
        <v>#REF!</v>
      </c>
      <c r="E50" s="164" t="e">
        <f t="shared" si="58"/>
        <v>#REF!</v>
      </c>
      <c r="F50" s="164" t="e">
        <f t="shared" si="58"/>
        <v>#REF!</v>
      </c>
      <c r="G50" s="165">
        <v>58550</v>
      </c>
      <c r="H50" s="166">
        <v>58640</v>
      </c>
      <c r="I50" s="163">
        <f>H50+I8</f>
        <v>58739.9</v>
      </c>
      <c r="J50" s="163" t="e">
        <f>I50+#REF!</f>
        <v>#REF!</v>
      </c>
      <c r="K50" s="163" t="e">
        <f>J50+#REF!</f>
        <v>#REF!</v>
      </c>
      <c r="L50" s="163" t="e">
        <f t="shared" si="59"/>
        <v>#REF!</v>
      </c>
      <c r="M50" s="163" t="e">
        <f t="shared" si="59"/>
        <v>#REF!</v>
      </c>
      <c r="N50" s="163" t="e">
        <f t="shared" si="59"/>
        <v>#REF!</v>
      </c>
      <c r="O50" s="163" t="e">
        <f t="shared" si="59"/>
        <v>#REF!</v>
      </c>
      <c r="P50" s="163" t="e">
        <f>O50+#REF!</f>
        <v>#REF!</v>
      </c>
      <c r="Q50" s="163" t="e">
        <f t="shared" si="59"/>
        <v>#REF!</v>
      </c>
      <c r="R50" s="163" t="e">
        <f t="shared" si="59"/>
        <v>#REF!</v>
      </c>
      <c r="S50" s="163" t="e">
        <f t="shared" si="59"/>
        <v>#REF!</v>
      </c>
      <c r="T50" s="163" t="e">
        <f t="shared" si="59"/>
        <v>#REF!</v>
      </c>
      <c r="U50" s="163" t="e">
        <f>T50+U8</f>
        <v>#REF!</v>
      </c>
      <c r="V50" s="163" t="e">
        <f t="shared" si="59"/>
        <v>#REF!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L50" s="63">
        <v>151.30000000000001</v>
      </c>
      <c r="AM50" s="779"/>
    </row>
    <row r="51" spans="2:39" x14ac:dyDescent="0.3">
      <c r="B51" s="752"/>
      <c r="C51" s="18" t="s">
        <v>13</v>
      </c>
      <c r="D51" s="163">
        <f>D11+Agosto23!AF47</f>
        <v>230127.7</v>
      </c>
      <c r="E51" s="164">
        <f t="shared" si="58"/>
        <v>230413.6</v>
      </c>
      <c r="F51" s="164">
        <f t="shared" si="58"/>
        <v>230583</v>
      </c>
      <c r="G51" s="165">
        <v>231148.9</v>
      </c>
      <c r="H51" s="166">
        <v>231319.5</v>
      </c>
      <c r="I51" s="163">
        <f t="shared" ref="I51:L55" si="60">H51+I11</f>
        <v>231547.5</v>
      </c>
      <c r="J51" s="163" t="e">
        <f>I51+#REF!</f>
        <v>#REF!</v>
      </c>
      <c r="K51" s="163" t="e">
        <f t="shared" si="60"/>
        <v>#REF!</v>
      </c>
      <c r="L51" s="163" t="e">
        <f t="shared" si="60"/>
        <v>#REF!</v>
      </c>
      <c r="M51" s="163" t="e">
        <f>L51+M12</f>
        <v>#REF!</v>
      </c>
      <c r="N51" s="163" t="e">
        <f t="shared" si="59"/>
        <v>#REF!</v>
      </c>
      <c r="O51" s="163" t="e">
        <f t="shared" si="59"/>
        <v>#REF!</v>
      </c>
      <c r="P51" s="163" t="e">
        <f t="shared" si="59"/>
        <v>#REF!</v>
      </c>
      <c r="Q51" s="163" t="e">
        <f t="shared" si="59"/>
        <v>#REF!</v>
      </c>
      <c r="R51" s="163" t="e">
        <f t="shared" si="59"/>
        <v>#REF!</v>
      </c>
      <c r="S51" s="163" t="e">
        <f t="shared" si="59"/>
        <v>#REF!</v>
      </c>
      <c r="T51" s="163" t="e">
        <f t="shared" si="59"/>
        <v>#REF!</v>
      </c>
      <c r="U51" s="163" t="e">
        <f>T51+U11</f>
        <v>#REF!</v>
      </c>
      <c r="V51" s="163" t="e">
        <f t="shared" si="59"/>
        <v>#REF!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L51" s="82">
        <v>81.099999999999994</v>
      </c>
      <c r="AM51" s="780"/>
    </row>
    <row r="52" spans="2:39" x14ac:dyDescent="0.3">
      <c r="B52" s="753"/>
      <c r="C52" s="18" t="s">
        <v>14</v>
      </c>
      <c r="D52" s="163">
        <f>D12+Agosto23!AF48</f>
        <v>706</v>
      </c>
      <c r="E52" s="164">
        <f t="shared" si="58"/>
        <v>991</v>
      </c>
      <c r="F52" s="164">
        <f t="shared" si="58"/>
        <v>1176</v>
      </c>
      <c r="G52" s="165">
        <v>1440</v>
      </c>
      <c r="H52" s="166">
        <v>1620</v>
      </c>
      <c r="I52" s="163">
        <f t="shared" si="60"/>
        <v>1870</v>
      </c>
      <c r="J52" s="163">
        <f t="shared" si="60"/>
        <v>1952</v>
      </c>
      <c r="K52" s="163">
        <f t="shared" si="60"/>
        <v>2037</v>
      </c>
      <c r="L52" s="163">
        <f t="shared" si="60"/>
        <v>2065</v>
      </c>
      <c r="M52" s="163">
        <f>L52+M13</f>
        <v>2372.6</v>
      </c>
      <c r="N52" s="163">
        <f t="shared" si="59"/>
        <v>2572.6</v>
      </c>
      <c r="O52" s="163">
        <f t="shared" si="59"/>
        <v>2787.6</v>
      </c>
      <c r="P52" s="163">
        <f t="shared" si="59"/>
        <v>3032.6</v>
      </c>
      <c r="Q52" s="163">
        <f t="shared" si="59"/>
        <v>3347.6</v>
      </c>
      <c r="R52" s="163">
        <f t="shared" si="59"/>
        <v>3649.6</v>
      </c>
      <c r="S52" s="163">
        <f t="shared" si="59"/>
        <v>4025.6</v>
      </c>
      <c r="T52" s="163">
        <f t="shared" si="59"/>
        <v>4405.6000000000004</v>
      </c>
      <c r="U52" s="163">
        <f>T52+U12</f>
        <v>4690.6000000000004</v>
      </c>
      <c r="V52" s="163">
        <f t="shared" si="59"/>
        <v>4890.6000000000004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L52" s="63">
        <v>156.9</v>
      </c>
      <c r="AM52" s="778">
        <v>78</v>
      </c>
    </row>
    <row r="53" spans="2:39" x14ac:dyDescent="0.3">
      <c r="B53" s="751" t="s">
        <v>16</v>
      </c>
      <c r="C53" s="18" t="s">
        <v>17</v>
      </c>
      <c r="D53" s="163">
        <f>D13+Agosto23!AF49</f>
        <v>137128.4</v>
      </c>
      <c r="E53" s="164">
        <f t="shared" si="58"/>
        <v>137526.1</v>
      </c>
      <c r="F53" s="164">
        <f t="shared" si="58"/>
        <v>137747.30000000002</v>
      </c>
      <c r="G53" s="165">
        <v>138545</v>
      </c>
      <c r="H53" s="166">
        <v>138937</v>
      </c>
      <c r="I53" s="163">
        <f t="shared" si="60"/>
        <v>139283</v>
      </c>
      <c r="J53" s="163">
        <f t="shared" si="60"/>
        <v>139412.29999999999</v>
      </c>
      <c r="K53" s="163">
        <f t="shared" si="60"/>
        <v>139550.29999999999</v>
      </c>
      <c r="L53" s="163">
        <f t="shared" si="60"/>
        <v>139598.59999999998</v>
      </c>
      <c r="M53" s="163" t="e">
        <f>L53+#REF!</f>
        <v>#REF!</v>
      </c>
      <c r="N53" s="163" t="e">
        <f t="shared" si="59"/>
        <v>#REF!</v>
      </c>
      <c r="O53" s="163" t="e">
        <f t="shared" si="59"/>
        <v>#REF!</v>
      </c>
      <c r="P53" s="163" t="e">
        <f t="shared" si="59"/>
        <v>#REF!</v>
      </c>
      <c r="Q53" s="163" t="e">
        <f t="shared" si="59"/>
        <v>#REF!</v>
      </c>
      <c r="R53" s="163" t="e">
        <f t="shared" si="59"/>
        <v>#REF!</v>
      </c>
      <c r="S53" s="163" t="e">
        <f t="shared" si="59"/>
        <v>#REF!</v>
      </c>
      <c r="T53" s="163" t="e">
        <f t="shared" si="59"/>
        <v>#REF!</v>
      </c>
      <c r="U53" s="163" t="e">
        <f>T53+U13</f>
        <v>#REF!</v>
      </c>
      <c r="V53" s="163" t="e">
        <f t="shared" si="59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L53" s="63">
        <v>195.6</v>
      </c>
      <c r="AM53" s="779"/>
    </row>
    <row r="54" spans="2:39" x14ac:dyDescent="0.3">
      <c r="B54" s="752"/>
      <c r="C54" s="18" t="s">
        <v>18</v>
      </c>
      <c r="D54" s="163">
        <f>D14+Agosto23!AF50</f>
        <v>127488.8</v>
      </c>
      <c r="E54" s="164">
        <f t="shared" si="58"/>
        <v>127881.90000000001</v>
      </c>
      <c r="F54" s="164">
        <f t="shared" si="58"/>
        <v>128120.3</v>
      </c>
      <c r="G54" s="165">
        <v>128878</v>
      </c>
      <c r="H54" s="166">
        <v>129112</v>
      </c>
      <c r="I54" s="163">
        <f t="shared" si="60"/>
        <v>129478.7</v>
      </c>
      <c r="J54" s="163">
        <f t="shared" si="60"/>
        <v>129656.3</v>
      </c>
      <c r="K54" s="163">
        <f t="shared" si="60"/>
        <v>129831.3</v>
      </c>
      <c r="L54" s="163">
        <f t="shared" si="60"/>
        <v>129949.2</v>
      </c>
      <c r="M54" s="163">
        <f>L54+M14</f>
        <v>130067.09999999999</v>
      </c>
      <c r="N54" s="163">
        <f t="shared" si="59"/>
        <v>130340.7</v>
      </c>
      <c r="O54" s="163">
        <f t="shared" si="59"/>
        <v>130642.3</v>
      </c>
      <c r="P54" s="163">
        <f t="shared" si="59"/>
        <v>131050.7</v>
      </c>
      <c r="Q54" s="163">
        <f t="shared" si="59"/>
        <v>131423.79999999999</v>
      </c>
      <c r="R54" s="163">
        <f t="shared" si="59"/>
        <v>131811</v>
      </c>
      <c r="S54" s="163">
        <f t="shared" si="59"/>
        <v>132269.4</v>
      </c>
      <c r="T54" s="163" t="e">
        <f>S54+#REF!</f>
        <v>#REF!</v>
      </c>
      <c r="U54" s="163" t="e">
        <f>T54+U14</f>
        <v>#REF!</v>
      </c>
      <c r="V54" s="163" t="e">
        <f t="shared" si="59"/>
        <v>#REF!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L54" s="63">
        <v>55.4</v>
      </c>
      <c r="AM54" s="780"/>
    </row>
    <row r="55" spans="2:39" x14ac:dyDescent="0.3">
      <c r="B55" s="752"/>
      <c r="C55" s="18" t="s">
        <v>19</v>
      </c>
      <c r="D55" s="163">
        <f>D15+Agosto23!AF51</f>
        <v>37724.300000000003</v>
      </c>
      <c r="E55" s="164">
        <f t="shared" si="58"/>
        <v>37766.300000000003</v>
      </c>
      <c r="F55" s="164">
        <f t="shared" si="58"/>
        <v>37790.9</v>
      </c>
      <c r="G55" s="165">
        <v>38160</v>
      </c>
      <c r="H55" s="166">
        <v>38222</v>
      </c>
      <c r="I55" s="163">
        <f t="shared" si="60"/>
        <v>38260.5</v>
      </c>
      <c r="J55" s="163">
        <f t="shared" si="60"/>
        <v>38278.699999999997</v>
      </c>
      <c r="K55" s="163">
        <f t="shared" si="60"/>
        <v>38297.1</v>
      </c>
      <c r="L55" s="163">
        <f t="shared" si="60"/>
        <v>38308.799999999996</v>
      </c>
      <c r="M55" s="163">
        <f>L55+M15</f>
        <v>38332.899999999994</v>
      </c>
      <c r="N55" s="163">
        <f t="shared" si="59"/>
        <v>38396.499999999993</v>
      </c>
      <c r="O55" s="163">
        <f t="shared" si="59"/>
        <v>38469.399999999994</v>
      </c>
      <c r="P55" s="163">
        <f t="shared" si="59"/>
        <v>38565.199999999997</v>
      </c>
      <c r="Q55" s="163">
        <f t="shared" si="59"/>
        <v>38651.799999999996</v>
      </c>
      <c r="R55" s="163">
        <f t="shared" si="59"/>
        <v>38738.699999999997</v>
      </c>
      <c r="S55" s="163">
        <f t="shared" si="59"/>
        <v>38843.5</v>
      </c>
      <c r="T55" s="163">
        <f>S55+T15</f>
        <v>38943.5</v>
      </c>
      <c r="U55" s="163">
        <f>T55+U15</f>
        <v>39032.199999999997</v>
      </c>
      <c r="V55" s="163">
        <f t="shared" si="59"/>
        <v>39102.299999999996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L55" s="63">
        <v>183.6</v>
      </c>
      <c r="AM55" s="778">
        <v>60</v>
      </c>
    </row>
    <row r="56" spans="2:39" x14ac:dyDescent="0.3">
      <c r="B56" s="753"/>
      <c r="C56" s="18" t="s">
        <v>20</v>
      </c>
      <c r="D56" s="163">
        <f>D17+Agosto23!AF52</f>
        <v>97177.4</v>
      </c>
      <c r="E56" s="164">
        <f t="shared" ref="E56:F67" si="61">D56+E17</f>
        <v>97583.2</v>
      </c>
      <c r="F56" s="164">
        <f t="shared" si="61"/>
        <v>97797.9</v>
      </c>
      <c r="G56" s="165">
        <v>98510</v>
      </c>
      <c r="H56" s="166">
        <v>98809</v>
      </c>
      <c r="I56" s="163">
        <f t="shared" ref="I56:V60" si="62">H56+I17</f>
        <v>99143.2</v>
      </c>
      <c r="J56" s="163">
        <f t="shared" si="62"/>
        <v>99283</v>
      </c>
      <c r="K56" s="163">
        <f t="shared" si="62"/>
        <v>99460.7</v>
      </c>
      <c r="L56" s="163">
        <f t="shared" si="62"/>
        <v>99515.9</v>
      </c>
      <c r="M56" s="163">
        <f t="shared" si="62"/>
        <v>99898.299999999988</v>
      </c>
      <c r="N56" s="163">
        <f t="shared" si="62"/>
        <v>100260.59999999999</v>
      </c>
      <c r="O56" s="163">
        <f t="shared" si="62"/>
        <v>100621.09999999999</v>
      </c>
      <c r="P56" s="163">
        <f t="shared" si="62"/>
        <v>100989.2</v>
      </c>
      <c r="Q56" s="163">
        <f t="shared" si="62"/>
        <v>101438.3</v>
      </c>
      <c r="R56" s="163">
        <f t="shared" si="62"/>
        <v>101828.5</v>
      </c>
      <c r="S56" s="163">
        <f t="shared" si="62"/>
        <v>102300</v>
      </c>
      <c r="T56" s="163">
        <f>S56+T14</f>
        <v>102734.3</v>
      </c>
      <c r="U56" s="163">
        <f t="shared" si="62"/>
        <v>103191.1</v>
      </c>
      <c r="V56" s="163">
        <f t="shared" si="62"/>
        <v>103554.40000000001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L56" s="63" t="s">
        <v>31</v>
      </c>
      <c r="AM56" s="779"/>
    </row>
    <row r="57" spans="2:39" x14ac:dyDescent="0.3">
      <c r="B57" s="754" t="s">
        <v>21</v>
      </c>
      <c r="C57" s="18" t="s">
        <v>22</v>
      </c>
      <c r="D57" s="163">
        <f>D18+Agosto23!AF53</f>
        <v>65917</v>
      </c>
      <c r="E57" s="164">
        <f t="shared" si="61"/>
        <v>66348.600000000006</v>
      </c>
      <c r="F57" s="164">
        <f t="shared" si="61"/>
        <v>66559.400000000009</v>
      </c>
      <c r="G57" s="165">
        <v>67299</v>
      </c>
      <c r="H57" s="166">
        <v>67726</v>
      </c>
      <c r="I57" s="163">
        <f t="shared" si="62"/>
        <v>68133.899999999994</v>
      </c>
      <c r="J57" s="163">
        <f t="shared" si="62"/>
        <v>68279.299999999988</v>
      </c>
      <c r="K57" s="163" t="e">
        <f>J57+#REF!</f>
        <v>#REF!</v>
      </c>
      <c r="L57" s="163" t="e">
        <f>K57+#REF!</f>
        <v>#REF!</v>
      </c>
      <c r="M57" s="163" t="e">
        <f t="shared" si="62"/>
        <v>#REF!</v>
      </c>
      <c r="N57" s="163" t="e">
        <f>M57+N19</f>
        <v>#REF!</v>
      </c>
      <c r="O57" s="163" t="e">
        <f t="shared" si="62"/>
        <v>#REF!</v>
      </c>
      <c r="P57" s="163" t="e">
        <f>O57+Q18</f>
        <v>#REF!</v>
      </c>
      <c r="Q57" s="163" t="e">
        <f>P57+#REF!</f>
        <v>#REF!</v>
      </c>
      <c r="R57" s="163" t="e">
        <f t="shared" si="62"/>
        <v>#REF!</v>
      </c>
      <c r="S57" s="163" t="e">
        <f t="shared" si="62"/>
        <v>#REF!</v>
      </c>
      <c r="T57" s="163" t="e">
        <f t="shared" si="62"/>
        <v>#REF!</v>
      </c>
      <c r="U57" s="163" t="e">
        <f t="shared" si="62"/>
        <v>#REF!</v>
      </c>
      <c r="V57" s="163" t="e">
        <f t="shared" si="62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L57" s="63">
        <v>40.200000000000003</v>
      </c>
      <c r="AM57" s="780"/>
    </row>
    <row r="58" spans="2:39" x14ac:dyDescent="0.3">
      <c r="B58" s="754"/>
      <c r="C58" s="18" t="s">
        <v>23</v>
      </c>
      <c r="D58" s="163">
        <f>D19+Agosto23!AF54</f>
        <v>74477.5</v>
      </c>
      <c r="E58" s="164">
        <f t="shared" si="61"/>
        <v>74881.8</v>
      </c>
      <c r="F58" s="164">
        <f t="shared" si="61"/>
        <v>75088.900000000009</v>
      </c>
      <c r="G58" s="165">
        <v>75901</v>
      </c>
      <c r="H58" s="166">
        <v>76333</v>
      </c>
      <c r="I58" s="163">
        <f t="shared" si="62"/>
        <v>76718.399999999994</v>
      </c>
      <c r="J58" s="163">
        <f t="shared" si="62"/>
        <v>76858.599999999991</v>
      </c>
      <c r="K58" s="163">
        <f t="shared" si="62"/>
        <v>77049.399999999994</v>
      </c>
      <c r="L58" s="163">
        <f>K58+L18</f>
        <v>77194.7</v>
      </c>
      <c r="M58" s="163">
        <f>L58+M20</f>
        <v>77474.399999999994</v>
      </c>
      <c r="N58" s="163" t="e">
        <f>M58+#REF!</f>
        <v>#REF!</v>
      </c>
      <c r="O58" s="163" t="e">
        <f t="shared" si="62"/>
        <v>#REF!</v>
      </c>
      <c r="P58" s="163" t="e">
        <f>O58+Q19</f>
        <v>#REF!</v>
      </c>
      <c r="Q58" s="163" t="e">
        <f>P58+Q20</f>
        <v>#REF!</v>
      </c>
      <c r="R58" s="163" t="e">
        <f>Q58+#REF!</f>
        <v>#REF!</v>
      </c>
      <c r="S58" s="163" t="e">
        <f t="shared" si="62"/>
        <v>#REF!</v>
      </c>
      <c r="T58" s="163" t="e">
        <f t="shared" si="62"/>
        <v>#REF!</v>
      </c>
      <c r="U58" s="163" t="e">
        <f t="shared" si="62"/>
        <v>#REF!</v>
      </c>
      <c r="V58" s="163" t="e">
        <f t="shared" si="62"/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L58" s="63">
        <v>115</v>
      </c>
      <c r="AM58" s="784">
        <v>100</v>
      </c>
    </row>
    <row r="59" spans="2:39" x14ac:dyDescent="0.3">
      <c r="B59" s="754"/>
      <c r="C59" s="18" t="s">
        <v>24</v>
      </c>
      <c r="D59" s="163">
        <f>D20+Agosto23!AF55</f>
        <v>136143.90000000002</v>
      </c>
      <c r="E59" s="164">
        <f t="shared" si="61"/>
        <v>136509.70000000001</v>
      </c>
      <c r="F59" s="164">
        <f t="shared" si="61"/>
        <v>136664.5</v>
      </c>
      <c r="G59" s="165">
        <v>137294</v>
      </c>
      <c r="H59" s="166">
        <v>137664</v>
      </c>
      <c r="I59" s="163">
        <f>H59+I20</f>
        <v>137983</v>
      </c>
      <c r="J59" s="163">
        <f t="shared" si="62"/>
        <v>138094</v>
      </c>
      <c r="K59" s="163">
        <f t="shared" si="62"/>
        <v>138238.20000000001</v>
      </c>
      <c r="L59" s="163">
        <f>K59+L22</f>
        <v>138337.80000000002</v>
      </c>
      <c r="M59" s="163" t="e">
        <f>L59+#REF!</f>
        <v>#REF!</v>
      </c>
      <c r="N59" s="163" t="e">
        <f t="shared" si="62"/>
        <v>#REF!</v>
      </c>
      <c r="O59" s="163" t="e">
        <f t="shared" si="62"/>
        <v>#REF!</v>
      </c>
      <c r="P59" s="163" t="e">
        <f t="shared" si="62"/>
        <v>#REF!</v>
      </c>
      <c r="Q59" s="163" t="e">
        <f>P59+#REF!</f>
        <v>#REF!</v>
      </c>
      <c r="R59" s="163" t="e">
        <f t="shared" si="62"/>
        <v>#REF!</v>
      </c>
      <c r="S59" s="163" t="e">
        <f t="shared" si="62"/>
        <v>#REF!</v>
      </c>
      <c r="T59" s="163" t="e">
        <f t="shared" si="62"/>
        <v>#REF!</v>
      </c>
      <c r="U59" s="163" t="e">
        <f>T59+U20</f>
        <v>#REF!</v>
      </c>
      <c r="V59" s="163" t="e">
        <f>U59+#REF!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L59" s="63">
        <v>160.30000000000001</v>
      </c>
      <c r="AM59" s="785"/>
    </row>
    <row r="60" spans="2:39" x14ac:dyDescent="0.3">
      <c r="B60" s="754"/>
      <c r="C60" s="18" t="s">
        <v>25</v>
      </c>
      <c r="D60" s="163">
        <f>D21+Agosto23!AF56</f>
        <v>174532.4</v>
      </c>
      <c r="E60" s="164">
        <f t="shared" si="61"/>
        <v>175011.3</v>
      </c>
      <c r="F60" s="164">
        <f t="shared" si="61"/>
        <v>175210.4</v>
      </c>
      <c r="G60" s="165">
        <v>176032</v>
      </c>
      <c r="H60" s="166">
        <v>176536</v>
      </c>
      <c r="I60" s="163">
        <f>H60+I21</f>
        <v>176961</v>
      </c>
      <c r="J60" s="163">
        <f t="shared" si="62"/>
        <v>177108.5</v>
      </c>
      <c r="K60" s="163">
        <f>J60+K18</f>
        <v>177300.1</v>
      </c>
      <c r="L60" s="163">
        <f t="shared" si="62"/>
        <v>177434.9</v>
      </c>
      <c r="M60" s="163">
        <f t="shared" si="62"/>
        <v>177776.4</v>
      </c>
      <c r="N60" s="163">
        <f>M60+N22</f>
        <v>178058.4</v>
      </c>
      <c r="O60" s="163" t="e">
        <f>N60+#REF!</f>
        <v>#REF!</v>
      </c>
      <c r="P60" s="163" t="e">
        <f t="shared" si="62"/>
        <v>#REF!</v>
      </c>
      <c r="Q60" s="163" t="e">
        <f t="shared" si="62"/>
        <v>#REF!</v>
      </c>
      <c r="R60" s="163" t="e">
        <f>Q60+R19</f>
        <v>#REF!</v>
      </c>
      <c r="S60" s="163" t="e">
        <f>R60+S22</f>
        <v>#REF!</v>
      </c>
      <c r="T60" s="163" t="e">
        <f>S60+#REF!</f>
        <v>#REF!</v>
      </c>
      <c r="U60" s="163" t="e">
        <f>T60+U21</f>
        <v>#REF!</v>
      </c>
      <c r="V60" s="163" t="e">
        <f>U60+V20</f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L60" s="63">
        <v>136.9</v>
      </c>
      <c r="AM60" s="786"/>
    </row>
    <row r="61" spans="2:39" x14ac:dyDescent="0.3">
      <c r="B61" s="754"/>
      <c r="C61" s="18" t="s">
        <v>26</v>
      </c>
      <c r="D61" s="163">
        <f>D22+Agosto23!AF57</f>
        <v>82304.3</v>
      </c>
      <c r="E61" s="164">
        <f t="shared" si="61"/>
        <v>82655.8</v>
      </c>
      <c r="F61" s="164">
        <f t="shared" si="61"/>
        <v>82806.5</v>
      </c>
      <c r="G61" s="165">
        <v>83628</v>
      </c>
      <c r="H61" s="166">
        <v>84081</v>
      </c>
      <c r="I61" s="163">
        <f t="shared" ref="I61:L67" si="63">H61+I22</f>
        <v>84389.7</v>
      </c>
      <c r="J61" s="163">
        <f t="shared" si="63"/>
        <v>84504</v>
      </c>
      <c r="K61" s="163">
        <f t="shared" si="63"/>
        <v>84631.7</v>
      </c>
      <c r="L61" s="163" t="e">
        <f>K61+#REF!</f>
        <v>#REF!</v>
      </c>
      <c r="M61" s="163" t="e">
        <f>L61+#REF!</f>
        <v>#REF!</v>
      </c>
      <c r="N61" s="163" t="e">
        <f>M61+#REF!</f>
        <v>#REF!</v>
      </c>
      <c r="O61" s="163" t="e">
        <f t="shared" ref="M61:S67" si="64">N61+O22</f>
        <v>#REF!</v>
      </c>
      <c r="P61" s="163" t="e">
        <f t="shared" si="64"/>
        <v>#REF!</v>
      </c>
      <c r="Q61" s="163" t="e">
        <f t="shared" si="64"/>
        <v>#REF!</v>
      </c>
      <c r="R61" s="163" t="e">
        <f t="shared" si="64"/>
        <v>#REF!</v>
      </c>
      <c r="S61" s="163" t="e">
        <f>R61+#REF!</f>
        <v>#REF!</v>
      </c>
      <c r="T61" s="163" t="e">
        <f>S61+T21</f>
        <v>#REF!</v>
      </c>
      <c r="U61" s="163" t="e">
        <f t="shared" ref="T61:V67" si="65">T61+U22</f>
        <v>#REF!</v>
      </c>
      <c r="V61" s="163" t="e">
        <f t="shared" si="65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L61" s="63">
        <v>147.5</v>
      </c>
      <c r="AM61" s="784">
        <v>100</v>
      </c>
    </row>
    <row r="62" spans="2:39" x14ac:dyDescent="0.3">
      <c r="B62" s="754"/>
      <c r="C62" s="18" t="s">
        <v>27</v>
      </c>
      <c r="D62" s="163">
        <f>D23+Agosto23!AF58</f>
        <v>61331.9</v>
      </c>
      <c r="E62" s="164">
        <f t="shared" si="61"/>
        <v>61755.9</v>
      </c>
      <c r="F62" s="164">
        <f t="shared" si="61"/>
        <v>62046.700000000004</v>
      </c>
      <c r="G62" s="165">
        <v>63058</v>
      </c>
      <c r="H62" s="166">
        <v>63281</v>
      </c>
      <c r="I62" s="163">
        <f t="shared" si="63"/>
        <v>63624.1</v>
      </c>
      <c r="J62" s="163">
        <f t="shared" si="63"/>
        <v>63827.299999999996</v>
      </c>
      <c r="K62" s="163">
        <f t="shared" si="63"/>
        <v>64009.799999999996</v>
      </c>
      <c r="L62" s="163">
        <f t="shared" si="63"/>
        <v>64141.1</v>
      </c>
      <c r="M62" s="163" t="e">
        <f>L62+#REF!</f>
        <v>#REF!</v>
      </c>
      <c r="N62" s="163" t="e">
        <f t="shared" si="64"/>
        <v>#REF!</v>
      </c>
      <c r="O62" s="163" t="e">
        <f t="shared" si="64"/>
        <v>#REF!</v>
      </c>
      <c r="P62" s="163" t="e">
        <f t="shared" si="64"/>
        <v>#REF!</v>
      </c>
      <c r="Q62" s="163" t="e">
        <f t="shared" si="64"/>
        <v>#REF!</v>
      </c>
      <c r="R62" s="163" t="e">
        <f t="shared" si="64"/>
        <v>#REF!</v>
      </c>
      <c r="S62" s="163" t="e">
        <f t="shared" si="64"/>
        <v>#REF!</v>
      </c>
      <c r="T62" s="163" t="e">
        <f t="shared" si="65"/>
        <v>#REF!</v>
      </c>
      <c r="U62" s="163" t="e">
        <f t="shared" si="65"/>
        <v>#REF!</v>
      </c>
      <c r="V62" s="163" t="e">
        <f t="shared" si="65"/>
        <v>#REF!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L62" s="63">
        <v>189.83</v>
      </c>
      <c r="AM62" s="785"/>
    </row>
    <row r="63" spans="2:39" x14ac:dyDescent="0.3">
      <c r="B63" s="754"/>
      <c r="C63" s="18" t="s">
        <v>28</v>
      </c>
      <c r="D63" s="163">
        <f>D24+Agosto23!AF59</f>
        <v>87476.67</v>
      </c>
      <c r="E63" s="164">
        <f t="shared" si="61"/>
        <v>87867.27</v>
      </c>
      <c r="F63" s="164">
        <f t="shared" si="61"/>
        <v>88132.47</v>
      </c>
      <c r="G63" s="165">
        <v>87693.64</v>
      </c>
      <c r="H63" s="166">
        <v>87903.16</v>
      </c>
      <c r="I63" s="163">
        <f t="shared" si="63"/>
        <v>88218.760000000009</v>
      </c>
      <c r="J63" s="163">
        <f t="shared" si="63"/>
        <v>88402.260000000009</v>
      </c>
      <c r="K63" s="163">
        <f>J63+K24</f>
        <v>88566.66</v>
      </c>
      <c r="L63" s="163">
        <f t="shared" si="63"/>
        <v>88684.36</v>
      </c>
      <c r="M63" s="163">
        <f>L63+M23</f>
        <v>89096.46</v>
      </c>
      <c r="N63" s="163">
        <f>M63+N25</f>
        <v>90270.86</v>
      </c>
      <c r="O63" s="163">
        <f>N63+O21</f>
        <v>90624.76</v>
      </c>
      <c r="P63" s="163">
        <f t="shared" si="64"/>
        <v>91024.76</v>
      </c>
      <c r="Q63" s="163">
        <f t="shared" si="64"/>
        <v>91380.56</v>
      </c>
      <c r="R63" s="163">
        <f t="shared" si="64"/>
        <v>91751.16</v>
      </c>
      <c r="S63" s="163">
        <f t="shared" si="64"/>
        <v>92179.96</v>
      </c>
      <c r="T63" s="163" t="e">
        <f>S63+#REF!</f>
        <v>#REF!</v>
      </c>
      <c r="U63" s="163" t="e">
        <f t="shared" si="65"/>
        <v>#REF!</v>
      </c>
      <c r="V63" s="163" t="e">
        <f>U63+V24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L63" s="63">
        <v>223.4</v>
      </c>
      <c r="AM63" s="786"/>
    </row>
    <row r="64" spans="2:39" x14ac:dyDescent="0.3">
      <c r="B64" s="754"/>
      <c r="C64" s="18" t="s">
        <v>29</v>
      </c>
      <c r="D64" s="163">
        <f>D25+Agosto23!AF60</f>
        <v>129303.09999999999</v>
      </c>
      <c r="E64" s="164">
        <f t="shared" si="61"/>
        <v>130811.49999999999</v>
      </c>
      <c r="F64" s="164">
        <f t="shared" si="61"/>
        <v>131841.5</v>
      </c>
      <c r="G64" s="165">
        <v>130195</v>
      </c>
      <c r="H64" s="166">
        <v>130451</v>
      </c>
      <c r="I64" s="163">
        <f t="shared" si="63"/>
        <v>131680</v>
      </c>
      <c r="J64" s="163">
        <f>I64+J30</f>
        <v>131765.1</v>
      </c>
      <c r="K64" s="163">
        <f>J64+K25</f>
        <v>132401.60000000001</v>
      </c>
      <c r="L64" s="163">
        <f t="shared" si="63"/>
        <v>132859.80000000002</v>
      </c>
      <c r="M64" s="163">
        <f t="shared" si="64"/>
        <v>134328.6</v>
      </c>
      <c r="N64" s="163" t="e">
        <f>M64+#REF!</f>
        <v>#REF!</v>
      </c>
      <c r="O64" s="163" t="e">
        <f t="shared" si="64"/>
        <v>#REF!</v>
      </c>
      <c r="P64" s="163" t="e">
        <f t="shared" si="64"/>
        <v>#REF!</v>
      </c>
      <c r="Q64" s="163" t="e">
        <f t="shared" si="64"/>
        <v>#REF!</v>
      </c>
      <c r="R64" s="163" t="e">
        <f t="shared" si="64"/>
        <v>#REF!</v>
      </c>
      <c r="S64" s="163" t="e">
        <f t="shared" si="64"/>
        <v>#REF!</v>
      </c>
      <c r="T64" s="163" t="e">
        <f t="shared" si="65"/>
        <v>#REF!</v>
      </c>
      <c r="U64" s="163" t="e">
        <f t="shared" si="65"/>
        <v>#REF!</v>
      </c>
      <c r="V64" s="163" t="e">
        <f>U64+#REF!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L64" s="63">
        <v>619</v>
      </c>
      <c r="AM64" s="778">
        <v>29</v>
      </c>
    </row>
    <row r="65" spans="2:39" x14ac:dyDescent="0.3">
      <c r="B65" s="754"/>
      <c r="C65" s="18" t="s">
        <v>30</v>
      </c>
      <c r="D65" s="163">
        <f>D26+Agosto23!AF61</f>
        <v>14472.8</v>
      </c>
      <c r="E65" s="164">
        <f t="shared" si="61"/>
        <v>14867.599999999999</v>
      </c>
      <c r="F65" s="164">
        <f t="shared" si="61"/>
        <v>15272.599999999999</v>
      </c>
      <c r="G65" s="165">
        <v>18667</v>
      </c>
      <c r="H65" s="166">
        <v>19364</v>
      </c>
      <c r="I65" s="163">
        <f t="shared" si="63"/>
        <v>19675.8</v>
      </c>
      <c r="J65" s="163">
        <f t="shared" si="63"/>
        <v>19826.8</v>
      </c>
      <c r="K65" s="163">
        <f t="shared" si="63"/>
        <v>20104.099999999999</v>
      </c>
      <c r="L65" s="163">
        <f t="shared" si="63"/>
        <v>20192.5</v>
      </c>
      <c r="M65" s="163">
        <f t="shared" si="64"/>
        <v>20664.2</v>
      </c>
      <c r="N65" s="163" t="e">
        <f>M65+#REF!</f>
        <v>#REF!</v>
      </c>
      <c r="O65" s="163" t="e">
        <f t="shared" si="64"/>
        <v>#REF!</v>
      </c>
      <c r="P65" s="163" t="e">
        <f t="shared" si="64"/>
        <v>#REF!</v>
      </c>
      <c r="Q65" s="163" t="e">
        <f t="shared" si="64"/>
        <v>#REF!</v>
      </c>
      <c r="R65" s="163" t="e">
        <f t="shared" si="64"/>
        <v>#REF!</v>
      </c>
      <c r="S65" s="163" t="e">
        <f t="shared" si="64"/>
        <v>#REF!</v>
      </c>
      <c r="T65" s="163" t="e">
        <f>S65+T27</f>
        <v>#REF!</v>
      </c>
      <c r="U65" s="163" t="e">
        <f>T65+U27</f>
        <v>#REF!</v>
      </c>
      <c r="V65" s="163" t="e">
        <f>U65+V26</f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L65" s="63">
        <v>219.3</v>
      </c>
      <c r="AM65" s="779"/>
    </row>
    <row r="66" spans="2:39" x14ac:dyDescent="0.3">
      <c r="B66" s="754"/>
      <c r="C66" s="18" t="s">
        <v>111</v>
      </c>
      <c r="D66" s="163">
        <f>D27+Agosto23!AF62</f>
        <v>45093.8</v>
      </c>
      <c r="E66" s="164">
        <f t="shared" si="61"/>
        <v>45524.600000000006</v>
      </c>
      <c r="F66" s="164">
        <f t="shared" si="61"/>
        <v>45774.000000000007</v>
      </c>
      <c r="G66" s="165">
        <v>46772</v>
      </c>
      <c r="H66" s="166">
        <v>47086</v>
      </c>
      <c r="I66" s="163">
        <f t="shared" si="63"/>
        <v>47363.4</v>
      </c>
      <c r="J66" s="163">
        <f t="shared" si="63"/>
        <v>47649.700000000004</v>
      </c>
      <c r="K66" s="163">
        <f t="shared" si="63"/>
        <v>47897.700000000004</v>
      </c>
      <c r="L66" s="163">
        <f t="shared" si="63"/>
        <v>47964.200000000004</v>
      </c>
      <c r="M66" s="163">
        <f t="shared" si="64"/>
        <v>48281.4</v>
      </c>
      <c r="N66" s="163">
        <f>M66+N26</f>
        <v>48680.5</v>
      </c>
      <c r="O66" s="163">
        <f t="shared" si="64"/>
        <v>48895.7</v>
      </c>
      <c r="P66" s="163">
        <f t="shared" si="64"/>
        <v>49310.399999999994</v>
      </c>
      <c r="Q66" s="163">
        <f t="shared" si="64"/>
        <v>49687.7</v>
      </c>
      <c r="R66" s="163">
        <f t="shared" si="64"/>
        <v>50084.7</v>
      </c>
      <c r="S66" s="163">
        <f t="shared" si="64"/>
        <v>50546.1</v>
      </c>
      <c r="T66" s="163" t="e">
        <f>S66+#REF!</f>
        <v>#REF!</v>
      </c>
      <c r="U66" s="163" t="e">
        <f>T66+#REF!</f>
        <v>#REF!</v>
      </c>
      <c r="V66" s="163" t="e">
        <f t="shared" si="65"/>
        <v>#REF!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L66" s="63">
        <v>66.900000000000006</v>
      </c>
      <c r="AM66" s="780"/>
    </row>
    <row r="67" spans="2:39" ht="15" thickBot="1" x14ac:dyDescent="0.35">
      <c r="B67" s="754"/>
      <c r="C67" s="18" t="s">
        <v>32</v>
      </c>
      <c r="D67" s="163">
        <f>D28+Agosto23!AF63</f>
        <v>9404.8000000000011</v>
      </c>
      <c r="E67" s="164">
        <f t="shared" si="61"/>
        <v>9673.5000000000018</v>
      </c>
      <c r="F67" s="164">
        <f t="shared" si="61"/>
        <v>9874.9000000000015</v>
      </c>
      <c r="G67" s="165">
        <v>10779</v>
      </c>
      <c r="H67" s="166">
        <v>10940</v>
      </c>
      <c r="I67" s="163">
        <f>H67+I28</f>
        <v>11153.5</v>
      </c>
      <c r="J67" s="163">
        <f t="shared" si="63"/>
        <v>11286.2</v>
      </c>
      <c r="K67" s="163">
        <f t="shared" si="63"/>
        <v>11474.2</v>
      </c>
      <c r="L67" s="163">
        <f t="shared" si="63"/>
        <v>11518.1</v>
      </c>
      <c r="M67" s="163">
        <f t="shared" si="64"/>
        <v>11732.6</v>
      </c>
      <c r="N67" s="163">
        <f t="shared" si="64"/>
        <v>11966.300000000001</v>
      </c>
      <c r="O67" s="163">
        <f t="shared" si="64"/>
        <v>12133.900000000001</v>
      </c>
      <c r="P67" s="163">
        <f t="shared" si="64"/>
        <v>12390.7</v>
      </c>
      <c r="Q67" s="163">
        <f t="shared" si="64"/>
        <v>12666.1</v>
      </c>
      <c r="R67" s="163">
        <f t="shared" si="64"/>
        <v>12959.2</v>
      </c>
      <c r="S67" s="163">
        <f t="shared" si="64"/>
        <v>13282.800000000001</v>
      </c>
      <c r="T67" s="163">
        <f t="shared" si="65"/>
        <v>13612.2</v>
      </c>
      <c r="U67" s="163">
        <f t="shared" si="65"/>
        <v>13941.400000000001</v>
      </c>
      <c r="V67" s="163">
        <f t="shared" si="65"/>
        <v>14256.900000000001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L67" s="93">
        <v>150.6</v>
      </c>
      <c r="AM67" s="784">
        <v>100</v>
      </c>
    </row>
    <row r="68" spans="2:39" x14ac:dyDescent="0.3">
      <c r="B68" s="754"/>
      <c r="C68" s="18" t="s">
        <v>112</v>
      </c>
      <c r="D68" s="163">
        <f>D29+Agosto23!AF64</f>
        <v>18851.099999999999</v>
      </c>
      <c r="E68" s="164">
        <f>D68+E30</f>
        <v>19013.099999999999</v>
      </c>
      <c r="F68" s="164">
        <f>E68+F30</f>
        <v>19168.399999999998</v>
      </c>
      <c r="G68" s="165">
        <v>20520.400000000001</v>
      </c>
      <c r="H68" s="166">
        <v>20739</v>
      </c>
      <c r="I68" s="163">
        <f t="shared" ref="I68:V68" si="66">H68+I30</f>
        <v>20888.5</v>
      </c>
      <c r="J68" s="163">
        <f>I68+J31</f>
        <v>21066.5</v>
      </c>
      <c r="K68" s="163">
        <f t="shared" si="66"/>
        <v>21209.7</v>
      </c>
      <c r="L68" s="163">
        <f t="shared" si="66"/>
        <v>21239.5</v>
      </c>
      <c r="M68" s="163">
        <f t="shared" si="66"/>
        <v>21389.5</v>
      </c>
      <c r="N68" s="163">
        <f>M68+N31</f>
        <v>21609.200000000001</v>
      </c>
      <c r="O68" s="163">
        <f t="shared" si="66"/>
        <v>21722.799999999999</v>
      </c>
      <c r="P68" s="163">
        <f t="shared" si="66"/>
        <v>21899.399999999998</v>
      </c>
      <c r="Q68" s="163">
        <f t="shared" si="66"/>
        <v>22094.499999999996</v>
      </c>
      <c r="R68" s="163">
        <f t="shared" si="66"/>
        <v>22292.799999999996</v>
      </c>
      <c r="S68" s="163">
        <f t="shared" si="66"/>
        <v>22519.399999999994</v>
      </c>
      <c r="T68" s="163">
        <f t="shared" si="66"/>
        <v>22751.599999999995</v>
      </c>
      <c r="U68" s="163">
        <f t="shared" si="66"/>
        <v>22984.399999999994</v>
      </c>
      <c r="V68" s="163">
        <f t="shared" si="66"/>
        <v>23211.399999999994</v>
      </c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M68" s="785"/>
    </row>
    <row r="69" spans="2:39" x14ac:dyDescent="0.3">
      <c r="B69" s="756" t="s">
        <v>196</v>
      </c>
      <c r="C69" s="756"/>
      <c r="D69" s="756"/>
      <c r="E69" s="756"/>
      <c r="AM69" s="786"/>
    </row>
    <row r="70" spans="2:39" x14ac:dyDescent="0.3">
      <c r="B70" s="757" t="s">
        <v>132</v>
      </c>
      <c r="C70" s="757"/>
      <c r="D70" s="757"/>
      <c r="E70" s="757"/>
      <c r="AM70" s="784">
        <v>110</v>
      </c>
    </row>
    <row r="71" spans="2:39" x14ac:dyDescent="0.3">
      <c r="AM71" s="785"/>
    </row>
    <row r="72" spans="2:39" x14ac:dyDescent="0.3">
      <c r="AM72" s="786"/>
    </row>
    <row r="73" spans="2:39" x14ac:dyDescent="0.3">
      <c r="AM73" s="784">
        <v>110</v>
      </c>
    </row>
    <row r="74" spans="2:39" x14ac:dyDescent="0.3">
      <c r="AM74" s="785"/>
    </row>
    <row r="75" spans="2:39" x14ac:dyDescent="0.3">
      <c r="AM75" s="786"/>
    </row>
    <row r="76" spans="2:39" x14ac:dyDescent="0.3">
      <c r="AM76" s="778">
        <v>80</v>
      </c>
    </row>
    <row r="77" spans="2:39" x14ac:dyDescent="0.3">
      <c r="AM77" s="779"/>
    </row>
    <row r="78" spans="2:39" x14ac:dyDescent="0.3">
      <c r="AM78" s="780"/>
    </row>
    <row r="79" spans="2:39" x14ac:dyDescent="0.3">
      <c r="AM79" s="784">
        <v>100</v>
      </c>
    </row>
    <row r="80" spans="2:39" x14ac:dyDescent="0.3">
      <c r="AM80" s="785"/>
    </row>
    <row r="81" spans="39:39" x14ac:dyDescent="0.3">
      <c r="AM81" s="786"/>
    </row>
    <row r="82" spans="39:39" x14ac:dyDescent="0.3">
      <c r="AM82" s="784">
        <v>100</v>
      </c>
    </row>
    <row r="83" spans="39:39" x14ac:dyDescent="0.3">
      <c r="AM83" s="785"/>
    </row>
    <row r="84" spans="39:39" x14ac:dyDescent="0.3">
      <c r="AM84" s="786"/>
    </row>
    <row r="85" spans="39:39" x14ac:dyDescent="0.3">
      <c r="AM85" s="787">
        <v>110</v>
      </c>
    </row>
    <row r="86" spans="39:39" x14ac:dyDescent="0.3">
      <c r="AM86" s="788"/>
    </row>
    <row r="87" spans="39:39" x14ac:dyDescent="0.3">
      <c r="AM87" s="789"/>
    </row>
    <row r="88" spans="39:39" x14ac:dyDescent="0.3">
      <c r="AM88" s="784">
        <v>100</v>
      </c>
    </row>
    <row r="89" spans="39:39" x14ac:dyDescent="0.3">
      <c r="AM89" s="785"/>
    </row>
    <row r="90" spans="39:39" x14ac:dyDescent="0.3">
      <c r="AM90" s="786"/>
    </row>
    <row r="91" spans="39:39" x14ac:dyDescent="0.3">
      <c r="AM91" s="781">
        <v>395</v>
      </c>
    </row>
    <row r="92" spans="39:39" x14ac:dyDescent="0.3">
      <c r="AM92" s="782"/>
    </row>
    <row r="93" spans="39:39" x14ac:dyDescent="0.3">
      <c r="AM93" s="783"/>
    </row>
    <row r="94" spans="39:39" x14ac:dyDescent="0.3">
      <c r="AM94" s="784">
        <v>100</v>
      </c>
    </row>
    <row r="95" spans="39:39" x14ac:dyDescent="0.3">
      <c r="AM95" s="785"/>
    </row>
    <row r="96" spans="39:39" x14ac:dyDescent="0.3">
      <c r="AM96" s="786"/>
    </row>
    <row r="97" spans="39:39" x14ac:dyDescent="0.3">
      <c r="AM97" s="784">
        <v>100</v>
      </c>
    </row>
    <row r="98" spans="39:39" x14ac:dyDescent="0.3">
      <c r="AM98" s="785"/>
    </row>
    <row r="99" spans="39:39" x14ac:dyDescent="0.3">
      <c r="AM99" s="786"/>
    </row>
    <row r="100" spans="39:39" x14ac:dyDescent="0.3">
      <c r="AM100" s="784">
        <v>100</v>
      </c>
    </row>
    <row r="101" spans="39:39" x14ac:dyDescent="0.3">
      <c r="AM101" s="785"/>
    </row>
    <row r="102" spans="39:39" x14ac:dyDescent="0.3">
      <c r="AM102" s="786"/>
    </row>
    <row r="103" spans="39:39" x14ac:dyDescent="0.3">
      <c r="AM103" s="781">
        <v>120</v>
      </c>
    </row>
    <row r="104" spans="39:39" x14ac:dyDescent="0.3">
      <c r="AM104" s="782"/>
    </row>
    <row r="105" spans="39:39" x14ac:dyDescent="0.3">
      <c r="AM105" s="783"/>
    </row>
    <row r="106" spans="39:39" x14ac:dyDescent="0.3">
      <c r="AM106" s="781">
        <v>110</v>
      </c>
    </row>
    <row r="107" spans="39:39" x14ac:dyDescent="0.3">
      <c r="AM107" s="782"/>
    </row>
    <row r="108" spans="39:39" x14ac:dyDescent="0.3">
      <c r="AM108" s="783"/>
    </row>
    <row r="109" spans="39:39" x14ac:dyDescent="0.3">
      <c r="AM109" s="784">
        <v>100</v>
      </c>
    </row>
    <row r="110" spans="39:39" x14ac:dyDescent="0.3">
      <c r="AM110" s="785"/>
    </row>
    <row r="111" spans="39:39" x14ac:dyDescent="0.3">
      <c r="AM111" s="786"/>
    </row>
    <row r="112" spans="39:39" x14ac:dyDescent="0.3">
      <c r="AM112" s="790">
        <v>100</v>
      </c>
    </row>
    <row r="113" spans="39:39" x14ac:dyDescent="0.3">
      <c r="AM113" s="790"/>
    </row>
    <row r="114" spans="39:39" x14ac:dyDescent="0.3">
      <c r="AM114" s="790"/>
    </row>
  </sheetData>
  <mergeCells count="41">
    <mergeCell ref="AM40:AM42"/>
    <mergeCell ref="B4:C4"/>
    <mergeCell ref="B5:B12"/>
    <mergeCell ref="B13:B17"/>
    <mergeCell ref="B18:B30"/>
    <mergeCell ref="B31:B32"/>
    <mergeCell ref="B33:C33"/>
    <mergeCell ref="AM34:AM36"/>
    <mergeCell ref="AE35:AG35"/>
    <mergeCell ref="AE36:AG36"/>
    <mergeCell ref="AE37:AG37"/>
    <mergeCell ref="AM37:AM39"/>
    <mergeCell ref="AM43:AM45"/>
    <mergeCell ref="B45:B52"/>
    <mergeCell ref="AM46:AM48"/>
    <mergeCell ref="AM49:AM51"/>
    <mergeCell ref="AM52:AM54"/>
    <mergeCell ref="B53:B56"/>
    <mergeCell ref="AM55:AM57"/>
    <mergeCell ref="B57:B68"/>
    <mergeCell ref="AM58:AM60"/>
    <mergeCell ref="AM61:AM63"/>
    <mergeCell ref="AM91:AM93"/>
    <mergeCell ref="AM64:AM66"/>
    <mergeCell ref="AM67:AM69"/>
    <mergeCell ref="B69:E69"/>
    <mergeCell ref="B70:E70"/>
    <mergeCell ref="AM70:AM72"/>
    <mergeCell ref="AM73:AM75"/>
    <mergeCell ref="AM76:AM78"/>
    <mergeCell ref="AM79:AM81"/>
    <mergeCell ref="AM82:AM84"/>
    <mergeCell ref="AM85:AM87"/>
    <mergeCell ref="AM88:AM90"/>
    <mergeCell ref="AM112:AM114"/>
    <mergeCell ref="AM94:AM96"/>
    <mergeCell ref="AM97:AM99"/>
    <mergeCell ref="AM100:AM102"/>
    <mergeCell ref="AM103:AM105"/>
    <mergeCell ref="AM106:AM108"/>
    <mergeCell ref="AM109:AM111"/>
  </mergeCells>
  <conditionalFormatting sqref="AK5:BN32">
    <cfRule type="cellIs" dxfId="24" priority="2" operator="equal">
      <formula>"VAZIO"</formula>
    </cfRule>
  </conditionalFormatting>
  <conditionalFormatting sqref="AK5:BO32">
    <cfRule type="expression" dxfId="23" priority="6">
      <formula>AK5&gt;$BP5</formula>
    </cfRule>
    <cfRule type="expression" dxfId="22" priority="7">
      <formula>AK5&lt;($BP5-0.01)</formula>
    </cfRule>
  </conditionalFormatting>
  <conditionalFormatting sqref="AL8:BN8 BI9 AL17:BN17 BF18 AL25:BN26">
    <cfRule type="cellIs" dxfId="21" priority="3" operator="equal">
      <formula>"""VAZIO"""</formula>
    </cfRule>
  </conditionalFormatting>
  <conditionalFormatting sqref="AO5:BN32">
    <cfRule type="expression" dxfId="20" priority="1">
      <formula>AO5=0</formula>
    </cfRule>
  </conditionalFormatting>
  <conditionalFormatting sqref="BS5:BS32">
    <cfRule type="cellIs" dxfId="19" priority="4" operator="greaterThan">
      <formula>0</formula>
    </cfRule>
    <cfRule type="cellIs" dxfId="18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050D2-CA9F-4EC4-B3FD-38C1553A1364}">
  <sheetPr>
    <tabColor theme="7" tint="-0.499984740745262"/>
  </sheetPr>
  <dimension ref="B1:BX114"/>
  <sheetViews>
    <sheetView zoomScaleNormal="100" workbookViewId="0">
      <pane xSplit="3" ySplit="4" topLeftCell="W20" activePane="bottomRight" state="frozen"/>
      <selection pane="topRight" activeCell="D1" sqref="D1"/>
      <selection pane="bottomLeft" activeCell="A5" sqref="A5"/>
      <selection pane="bottomRight" activeCell="AC12" sqref="AC12"/>
    </sheetView>
  </sheetViews>
  <sheetFormatPr defaultRowHeight="14.4" x14ac:dyDescent="0.3"/>
  <cols>
    <col min="1" max="1" width="9.109375" customWidth="1"/>
    <col min="2" max="2" width="20" customWidth="1"/>
    <col min="3" max="3" width="18.6640625" customWidth="1"/>
    <col min="4" max="7" width="16.44140625" customWidth="1"/>
    <col min="8" max="8" width="16.33203125" customWidth="1"/>
    <col min="9" max="10" width="16.44140625" customWidth="1"/>
    <col min="11" max="11" width="17.44140625" customWidth="1"/>
    <col min="12" max="12" width="16.33203125" customWidth="1"/>
    <col min="13" max="27" width="16.44140625" customWidth="1"/>
    <col min="28" max="28" width="16.33203125" customWidth="1"/>
    <col min="29" max="34" width="16.44140625" customWidth="1"/>
    <col min="35" max="35" width="19.6640625" customWidth="1"/>
    <col min="36" max="36" width="15.6640625" customWidth="1"/>
    <col min="37" max="37" width="15.88671875" hidden="1" customWidth="1"/>
    <col min="38" max="67" width="11.88671875" customWidth="1"/>
    <col min="68" max="68" width="17.6640625" customWidth="1"/>
    <col min="69" max="69" width="14.33203125" customWidth="1"/>
    <col min="70" max="70" width="20.5546875" customWidth="1"/>
    <col min="71" max="71" width="17.5546875" customWidth="1"/>
    <col min="72" max="72" width="19" customWidth="1"/>
    <col min="73" max="73" width="18.88671875" customWidth="1"/>
    <col min="74" max="74" width="15.109375" customWidth="1"/>
  </cols>
  <sheetData>
    <row r="1" spans="2:76" x14ac:dyDescent="0.3">
      <c r="AI1">
        <f>16267+12136+16339</f>
        <v>44742</v>
      </c>
    </row>
    <row r="2" spans="2:76" x14ac:dyDescent="0.3">
      <c r="AI2" s="102">
        <f>12444-AI14</f>
        <v>3596.2999999999993</v>
      </c>
    </row>
    <row r="3" spans="2:76" ht="15" thickBot="1" x14ac:dyDescent="0.35">
      <c r="D3" s="102"/>
      <c r="E3" s="102"/>
      <c r="F3" s="102"/>
      <c r="G3" s="102"/>
      <c r="H3" s="102"/>
      <c r="I3" s="102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</row>
    <row r="4" spans="2:76" ht="44.25" customHeight="1" thickBot="1" x14ac:dyDescent="0.35">
      <c r="B4" s="768" t="s">
        <v>133</v>
      </c>
      <c r="C4" s="769"/>
      <c r="D4" s="343" t="s">
        <v>1113</v>
      </c>
      <c r="E4" s="344" t="s">
        <v>1114</v>
      </c>
      <c r="F4" s="344" t="s">
        <v>1115</v>
      </c>
      <c r="G4" s="344" t="s">
        <v>1116</v>
      </c>
      <c r="H4" s="344" t="s">
        <v>1117</v>
      </c>
      <c r="I4" s="344" t="s">
        <v>1143</v>
      </c>
      <c r="J4" s="344" t="s">
        <v>1118</v>
      </c>
      <c r="K4" s="344" t="s">
        <v>1119</v>
      </c>
      <c r="L4" s="344" t="s">
        <v>1120</v>
      </c>
      <c r="M4" s="344" t="s">
        <v>1121</v>
      </c>
      <c r="N4" s="344" t="s">
        <v>1122</v>
      </c>
      <c r="O4" s="344" t="s">
        <v>1123</v>
      </c>
      <c r="P4" s="344" t="s">
        <v>1124</v>
      </c>
      <c r="Q4" s="344" t="s">
        <v>1125</v>
      </c>
      <c r="R4" s="344" t="s">
        <v>1126</v>
      </c>
      <c r="S4" s="344" t="s">
        <v>1127</v>
      </c>
      <c r="T4" s="344" t="s">
        <v>1128</v>
      </c>
      <c r="U4" s="344" t="s">
        <v>1129</v>
      </c>
      <c r="V4" s="344" t="s">
        <v>1130</v>
      </c>
      <c r="W4" s="344" t="s">
        <v>1131</v>
      </c>
      <c r="X4" s="344" t="s">
        <v>1132</v>
      </c>
      <c r="Y4" s="344" t="s">
        <v>1133</v>
      </c>
      <c r="Z4" s="344" t="s">
        <v>1134</v>
      </c>
      <c r="AA4" s="344" t="s">
        <v>1135</v>
      </c>
      <c r="AB4" s="344" t="s">
        <v>1136</v>
      </c>
      <c r="AC4" s="344" t="s">
        <v>1137</v>
      </c>
      <c r="AD4" s="344" t="s">
        <v>1138</v>
      </c>
      <c r="AE4" s="344" t="s">
        <v>1139</v>
      </c>
      <c r="AF4" s="344" t="s">
        <v>1140</v>
      </c>
      <c r="AG4" s="345" t="s">
        <v>1141</v>
      </c>
      <c r="AH4" s="345" t="s">
        <v>1142</v>
      </c>
      <c r="AI4" s="346" t="s">
        <v>69</v>
      </c>
      <c r="AJ4" s="346" t="s">
        <v>2</v>
      </c>
      <c r="AK4" s="347" t="s">
        <v>70</v>
      </c>
      <c r="AL4" s="348" t="s">
        <v>228</v>
      </c>
      <c r="AM4" s="349" t="s">
        <v>229</v>
      </c>
      <c r="AN4" s="349" t="s">
        <v>230</v>
      </c>
      <c r="AO4" s="349" t="s">
        <v>231</v>
      </c>
      <c r="AP4" s="349" t="s">
        <v>232</v>
      </c>
      <c r="AQ4" s="349" t="s">
        <v>233</v>
      </c>
      <c r="AR4" s="349" t="s">
        <v>234</v>
      </c>
      <c r="AS4" s="349" t="s">
        <v>235</v>
      </c>
      <c r="AT4" s="349" t="s">
        <v>236</v>
      </c>
      <c r="AU4" s="349" t="s">
        <v>236</v>
      </c>
      <c r="AV4" s="349" t="s">
        <v>237</v>
      </c>
      <c r="AW4" s="349" t="s">
        <v>238</v>
      </c>
      <c r="AX4" s="349" t="s">
        <v>239</v>
      </c>
      <c r="AY4" s="349" t="s">
        <v>240</v>
      </c>
      <c r="AZ4" s="349" t="s">
        <v>241</v>
      </c>
      <c r="BA4" s="349" t="s">
        <v>242</v>
      </c>
      <c r="BB4" s="349" t="s">
        <v>243</v>
      </c>
      <c r="BC4" s="349" t="s">
        <v>244</v>
      </c>
      <c r="BD4" s="349" t="s">
        <v>245</v>
      </c>
      <c r="BE4" s="349" t="s">
        <v>246</v>
      </c>
      <c r="BF4" s="349" t="s">
        <v>247</v>
      </c>
      <c r="BG4" s="349" t="s">
        <v>248</v>
      </c>
      <c r="BH4" s="349" t="s">
        <v>249</v>
      </c>
      <c r="BI4" s="349" t="s">
        <v>250</v>
      </c>
      <c r="BJ4" s="349" t="s">
        <v>251</v>
      </c>
      <c r="BK4" s="349" t="s">
        <v>252</v>
      </c>
      <c r="BL4" s="349" t="s">
        <v>253</v>
      </c>
      <c r="BM4" s="349" t="s">
        <v>254</v>
      </c>
      <c r="BN4" s="349" t="s">
        <v>255</v>
      </c>
      <c r="BO4" s="349" t="s">
        <v>256</v>
      </c>
      <c r="BP4" s="350" t="s">
        <v>102</v>
      </c>
      <c r="BQ4" s="343" t="s">
        <v>103</v>
      </c>
      <c r="BR4" s="351" t="s">
        <v>104</v>
      </c>
      <c r="BS4" s="352" t="s">
        <v>105</v>
      </c>
      <c r="BT4" s="353" t="s">
        <v>106</v>
      </c>
      <c r="BV4" s="3"/>
      <c r="BW4" s="2"/>
      <c r="BX4" s="2"/>
    </row>
    <row r="5" spans="2:76" x14ac:dyDescent="0.3">
      <c r="B5" s="770" t="s">
        <v>6</v>
      </c>
      <c r="C5" s="328" t="s">
        <v>7</v>
      </c>
      <c r="D5" s="330">
        <v>23.4</v>
      </c>
      <c r="E5" s="103">
        <v>21.5</v>
      </c>
      <c r="F5" s="103">
        <v>16.399999999999999</v>
      </c>
      <c r="G5" s="103">
        <v>22.5</v>
      </c>
      <c r="H5" s="103">
        <v>44.2</v>
      </c>
      <c r="I5" s="331">
        <v>42.8</v>
      </c>
      <c r="J5" s="103">
        <v>43</v>
      </c>
      <c r="K5" s="103">
        <v>42.8</v>
      </c>
      <c r="L5" s="103">
        <v>40.5</v>
      </c>
      <c r="M5" s="103">
        <v>31.4</v>
      </c>
      <c r="N5" s="283">
        <v>20.6</v>
      </c>
      <c r="O5" s="103">
        <v>33.299999999999997</v>
      </c>
      <c r="P5" s="103">
        <v>43.4</v>
      </c>
      <c r="Q5" s="331">
        <v>44.4</v>
      </c>
      <c r="R5" s="103">
        <v>45.1</v>
      </c>
      <c r="S5" s="103">
        <v>41.5</v>
      </c>
      <c r="T5" s="103">
        <v>42.7</v>
      </c>
      <c r="U5" s="103">
        <v>38.700000000000003</v>
      </c>
      <c r="V5" s="103">
        <v>39</v>
      </c>
      <c r="W5" s="331">
        <v>37.9</v>
      </c>
      <c r="X5" s="103">
        <v>20</v>
      </c>
      <c r="Y5" s="103">
        <v>40.299999999999997</v>
      </c>
      <c r="Z5" s="104">
        <v>35.5</v>
      </c>
      <c r="AA5" s="332">
        <v>9.5</v>
      </c>
      <c r="AB5" s="333">
        <v>17.100000000000001</v>
      </c>
      <c r="AC5" s="629">
        <v>44.9</v>
      </c>
      <c r="AD5" s="104"/>
      <c r="AE5" s="104"/>
      <c r="AF5" s="104"/>
      <c r="AG5" s="104"/>
      <c r="AH5" s="506"/>
      <c r="AI5" s="335">
        <f t="shared" ref="AI5:AI32" si="0">SUM(D5:AG5)</f>
        <v>882.4</v>
      </c>
      <c r="AJ5" s="160">
        <v>12</v>
      </c>
      <c r="AK5" s="336">
        <f t="shared" ref="AK5:AK11" si="1">F5/(AJ5*432)</f>
        <v>3.1635802469135799E-3</v>
      </c>
      <c r="AL5" s="337">
        <f t="shared" ref="AL5:AU6" si="2">IF(OR(D5="",D5="Sem monitoramento"),"VAZIO",IFERROR(D5/($AJ5*24),"-"))</f>
        <v>8.1249999999999989E-2</v>
      </c>
      <c r="AM5" s="338">
        <f t="shared" si="2"/>
        <v>7.4652777777777776E-2</v>
      </c>
      <c r="AN5" s="338">
        <f t="shared" si="2"/>
        <v>5.6944444444444436E-2</v>
      </c>
      <c r="AO5" s="338">
        <f t="shared" si="2"/>
        <v>7.8125E-2</v>
      </c>
      <c r="AP5" s="338">
        <f t="shared" si="2"/>
        <v>0.15347222222222223</v>
      </c>
      <c r="AQ5" s="338">
        <f t="shared" si="2"/>
        <v>0.14861111111111111</v>
      </c>
      <c r="AR5" s="338">
        <f t="shared" si="2"/>
        <v>0.14930555555555555</v>
      </c>
      <c r="AS5" s="338">
        <f t="shared" si="2"/>
        <v>0.14861111111111111</v>
      </c>
      <c r="AT5" s="338">
        <f t="shared" si="2"/>
        <v>0.140625</v>
      </c>
      <c r="AU5" s="338">
        <f t="shared" si="2"/>
        <v>0.10902777777777778</v>
      </c>
      <c r="AV5" s="338">
        <f t="shared" ref="AV5:BE6" si="3">IF(OR(N5="",N5="Sem monitoramento"),"VAZIO",IFERROR(N5/($AJ5*24),"-"))</f>
        <v>7.1527777777777787E-2</v>
      </c>
      <c r="AW5" s="338">
        <f t="shared" si="3"/>
        <v>0.11562499999999999</v>
      </c>
      <c r="AX5" s="338">
        <f t="shared" si="3"/>
        <v>0.15069444444444444</v>
      </c>
      <c r="AY5" s="338">
        <f t="shared" si="3"/>
        <v>0.15416666666666667</v>
      </c>
      <c r="AZ5" s="338">
        <f t="shared" si="3"/>
        <v>0.15659722222222222</v>
      </c>
      <c r="BA5" s="338">
        <f t="shared" si="3"/>
        <v>0.14409722222222221</v>
      </c>
      <c r="BB5" s="338">
        <f t="shared" si="3"/>
        <v>0.14826388888888889</v>
      </c>
      <c r="BC5" s="338">
        <f t="shared" si="3"/>
        <v>0.13437500000000002</v>
      </c>
      <c r="BD5" s="338">
        <f t="shared" si="3"/>
        <v>0.13541666666666666</v>
      </c>
      <c r="BE5" s="338">
        <f t="shared" si="3"/>
        <v>0.13159722222222223</v>
      </c>
      <c r="BF5" s="338">
        <f t="shared" ref="BF5:BJ6" si="4">IF(OR(X5="",X5="Sem monitoramento"),"VAZIO",IFERROR(X5/($AJ5*24),"-"))</f>
        <v>6.9444444444444448E-2</v>
      </c>
      <c r="BG5" s="338">
        <f t="shared" si="4"/>
        <v>0.13993055555555556</v>
      </c>
      <c r="BH5" s="338">
        <f t="shared" si="4"/>
        <v>0.1232638888888889</v>
      </c>
      <c r="BI5" s="338">
        <f t="shared" si="4"/>
        <v>3.2986111111111112E-2</v>
      </c>
      <c r="BJ5" s="338">
        <f t="shared" si="4"/>
        <v>5.9375000000000004E-2</v>
      </c>
      <c r="BK5" s="338" t="e">
        <f>IF(OR(#REF!="",#REF!="Sem monitoramento"),"VAZIO",IFERROR(#REF!/($AJ5*24),"-"))</f>
        <v>#REF!</v>
      </c>
      <c r="BL5" s="338" t="str">
        <f t="shared" ref="BL5:BO6" si="5">IF(OR(AD5="",AD5="Sem monitoramento"),"VAZIO",IFERROR(AD5/($AJ5*24),"-"))</f>
        <v>VAZIO</v>
      </c>
      <c r="BM5" s="338" t="str">
        <f t="shared" si="5"/>
        <v>VAZIO</v>
      </c>
      <c r="BN5" s="338" t="str">
        <f t="shared" si="5"/>
        <v>VAZIO</v>
      </c>
      <c r="BO5" s="338" t="str">
        <f t="shared" si="5"/>
        <v>VAZIO</v>
      </c>
      <c r="BP5" s="339">
        <f t="shared" ref="BP5:BP15" si="6">AI5/(AJ5*(COUNTA(D5:AG5)*24))</f>
        <v>0.11784188034188034</v>
      </c>
      <c r="BQ5" s="180">
        <f>'FCs estimados em PVsyst'!Y3</f>
        <v>0.1804398148148148</v>
      </c>
      <c r="BR5" s="340">
        <f t="shared" ref="BR5:BR11" si="7">AJ5*BQ5</f>
        <v>2.1652777777777779</v>
      </c>
      <c r="BS5" s="341">
        <f t="shared" ref="BS5:BS11" si="8">AN5-BQ5</f>
        <v>-0.12349537037037037</v>
      </c>
      <c r="BT5" s="342">
        <f t="shared" ref="BT5:BT31" si="9">BP5-BQ5</f>
        <v>-6.2597934472934463E-2</v>
      </c>
      <c r="BU5" s="15" t="s">
        <v>7</v>
      </c>
      <c r="BV5" s="75" t="s">
        <v>107</v>
      </c>
      <c r="BW5" s="7">
        <f>COUNTIF(BT5:BT30,"&gt;0")</f>
        <v>2</v>
      </c>
      <c r="BX5" s="2"/>
    </row>
    <row r="6" spans="2:76" x14ac:dyDescent="0.3">
      <c r="B6" s="771"/>
      <c r="C6" s="325" t="s">
        <v>8</v>
      </c>
      <c r="D6" s="62">
        <v>137.5</v>
      </c>
      <c r="E6" s="63">
        <v>149.9</v>
      </c>
      <c r="F6" s="63">
        <v>94.2</v>
      </c>
      <c r="G6" s="63">
        <v>159.1</v>
      </c>
      <c r="H6" s="63">
        <v>275.60000000000002</v>
      </c>
      <c r="I6" s="283">
        <v>305.60000000000002</v>
      </c>
      <c r="J6" s="63">
        <v>284.60000000000002</v>
      </c>
      <c r="K6" s="283">
        <v>302.89999999999998</v>
      </c>
      <c r="L6" s="283">
        <v>270.2</v>
      </c>
      <c r="M6" s="63">
        <v>225.3</v>
      </c>
      <c r="N6" s="283">
        <v>160.5</v>
      </c>
      <c r="O6" s="283">
        <v>213.9</v>
      </c>
      <c r="P6" s="283">
        <v>298.89999999999998</v>
      </c>
      <c r="Q6" s="283">
        <v>318.39999999999998</v>
      </c>
      <c r="R6" s="63">
        <v>293.10000000000002</v>
      </c>
      <c r="S6" s="63">
        <v>266.3</v>
      </c>
      <c r="T6" s="63">
        <v>294.10000000000002</v>
      </c>
      <c r="U6" s="63">
        <v>284.39999999999998</v>
      </c>
      <c r="V6" s="63">
        <v>277.10000000000002</v>
      </c>
      <c r="W6" s="283">
        <v>232.3</v>
      </c>
      <c r="X6" s="63">
        <v>117.1</v>
      </c>
      <c r="Y6" s="63">
        <v>278.8</v>
      </c>
      <c r="Z6" s="221">
        <v>268</v>
      </c>
      <c r="AA6" s="320">
        <v>56.2</v>
      </c>
      <c r="AB6" s="20">
        <v>104.1</v>
      </c>
      <c r="AC6" s="31">
        <v>262</v>
      </c>
      <c r="AD6" s="15"/>
      <c r="AE6" s="15"/>
      <c r="AF6" s="15"/>
      <c r="AG6" s="15"/>
      <c r="AH6" s="506"/>
      <c r="AI6" s="335">
        <f t="shared" si="0"/>
        <v>5930.1000000000013</v>
      </c>
      <c r="AJ6" s="118">
        <v>67</v>
      </c>
      <c r="AK6" s="121">
        <f t="shared" si="1"/>
        <v>3.2545605306799337E-3</v>
      </c>
      <c r="AL6" s="67">
        <f t="shared" si="2"/>
        <v>8.5509950248756225E-2</v>
      </c>
      <c r="AM6" s="68">
        <f t="shared" si="2"/>
        <v>9.3221393034825878E-2</v>
      </c>
      <c r="AN6" s="68">
        <f t="shared" si="2"/>
        <v>5.8582089552238807E-2</v>
      </c>
      <c r="AO6" s="68">
        <f t="shared" si="2"/>
        <v>9.8942786069651734E-2</v>
      </c>
      <c r="AP6" s="68">
        <f t="shared" si="2"/>
        <v>0.17139303482587065</v>
      </c>
      <c r="AQ6" s="68">
        <f t="shared" si="2"/>
        <v>0.1900497512437811</v>
      </c>
      <c r="AR6" s="68">
        <f t="shared" si="2"/>
        <v>0.1769900497512438</v>
      </c>
      <c r="AS6" s="68">
        <f t="shared" si="2"/>
        <v>0.18837064676616913</v>
      </c>
      <c r="AT6" s="68">
        <f t="shared" si="2"/>
        <v>0.16803482587064675</v>
      </c>
      <c r="AU6" s="68">
        <f t="shared" si="2"/>
        <v>0.14011194029850746</v>
      </c>
      <c r="AV6" s="68">
        <f t="shared" si="3"/>
        <v>9.9813432835820892E-2</v>
      </c>
      <c r="AW6" s="68">
        <f t="shared" si="3"/>
        <v>0.13302238805970149</v>
      </c>
      <c r="AX6" s="68">
        <f t="shared" si="3"/>
        <v>0.18588308457711442</v>
      </c>
      <c r="AY6" s="68">
        <f t="shared" si="3"/>
        <v>0.1980099502487562</v>
      </c>
      <c r="AZ6" s="68">
        <f t="shared" si="3"/>
        <v>0.18227611940298508</v>
      </c>
      <c r="BA6" s="68">
        <f t="shared" si="3"/>
        <v>0.16560945273631841</v>
      </c>
      <c r="BB6" s="68">
        <f t="shared" si="3"/>
        <v>0.18289800995024877</v>
      </c>
      <c r="BC6" s="68">
        <f t="shared" si="3"/>
        <v>0.17686567164179104</v>
      </c>
      <c r="BD6" s="68">
        <f t="shared" si="3"/>
        <v>0.17232587064676619</v>
      </c>
      <c r="BE6" s="68">
        <f t="shared" si="3"/>
        <v>0.14446517412935325</v>
      </c>
      <c r="BF6" s="68">
        <f t="shared" si="4"/>
        <v>7.2823383084577115E-2</v>
      </c>
      <c r="BG6" s="68">
        <f t="shared" si="4"/>
        <v>0.17338308457711443</v>
      </c>
      <c r="BH6" s="68">
        <f t="shared" si="4"/>
        <v>0.16666666666666666</v>
      </c>
      <c r="BI6" s="68">
        <f t="shared" si="4"/>
        <v>3.495024875621891E-2</v>
      </c>
      <c r="BJ6" s="68">
        <f t="shared" si="4"/>
        <v>6.4738805970149249E-2</v>
      </c>
      <c r="BK6" s="68">
        <f>IF(OR(AC5="",AC5="Sem monitoramento"),"VAZIO",IFERROR(AC5/($AJ6*24),"-"))</f>
        <v>2.7922885572139303E-2</v>
      </c>
      <c r="BL6" s="68" t="str">
        <f t="shared" si="5"/>
        <v>VAZIO</v>
      </c>
      <c r="BM6" s="68" t="str">
        <f t="shared" si="5"/>
        <v>VAZIO</v>
      </c>
      <c r="BN6" s="68" t="str">
        <f t="shared" si="5"/>
        <v>VAZIO</v>
      </c>
      <c r="BO6" s="68" t="str">
        <f t="shared" si="5"/>
        <v>VAZIO</v>
      </c>
      <c r="BP6" s="70">
        <f t="shared" si="6"/>
        <v>0.14184127439724459</v>
      </c>
      <c r="BQ6" s="180">
        <f>'FCs estimados em PVsyst'!Y4</f>
        <v>0.1868988391376451</v>
      </c>
      <c r="BR6" s="72">
        <f t="shared" si="7"/>
        <v>12.522222222222222</v>
      </c>
      <c r="BS6" s="73">
        <f t="shared" si="8"/>
        <v>-0.12831674958540629</v>
      </c>
      <c r="BT6" s="74">
        <f t="shared" si="9"/>
        <v>-4.5057564740400513E-2</v>
      </c>
      <c r="BU6" s="15" t="s">
        <v>8</v>
      </c>
      <c r="BV6" s="77" t="s">
        <v>108</v>
      </c>
      <c r="BW6" s="78">
        <f>(COUNTA(BU5:BU30)-BW5-BW7)</f>
        <v>4</v>
      </c>
      <c r="BX6" s="2"/>
    </row>
    <row r="7" spans="2:76" x14ac:dyDescent="0.3">
      <c r="B7" s="771"/>
      <c r="C7" s="326" t="s">
        <v>9</v>
      </c>
      <c r="D7" s="223">
        <v>118</v>
      </c>
      <c r="E7" s="63">
        <v>107.5</v>
      </c>
      <c r="F7" s="63">
        <v>78.8</v>
      </c>
      <c r="G7" s="82">
        <v>111.7</v>
      </c>
      <c r="H7" s="63">
        <v>220.5</v>
      </c>
      <c r="I7" s="283">
        <v>227.8</v>
      </c>
      <c r="J7" s="316">
        <v>219.5</v>
      </c>
      <c r="K7" s="63">
        <v>221.4</v>
      </c>
      <c r="L7" s="283">
        <v>198.2</v>
      </c>
      <c r="M7" s="283">
        <v>157.30000000000001</v>
      </c>
      <c r="N7" s="283">
        <v>101.7</v>
      </c>
      <c r="O7" s="360">
        <v>169.9</v>
      </c>
      <c r="P7" s="283">
        <v>214.8</v>
      </c>
      <c r="Q7" s="283">
        <v>228.2</v>
      </c>
      <c r="R7" s="283">
        <v>220.5</v>
      </c>
      <c r="S7" s="283">
        <v>195.6</v>
      </c>
      <c r="T7" s="283">
        <v>208.6</v>
      </c>
      <c r="U7" s="63">
        <v>201</v>
      </c>
      <c r="V7" s="283">
        <v>196.1</v>
      </c>
      <c r="W7" s="283">
        <v>182.3</v>
      </c>
      <c r="X7" s="283">
        <v>102.1</v>
      </c>
      <c r="Y7" s="283">
        <v>200.9</v>
      </c>
      <c r="Z7" s="15">
        <v>175.9</v>
      </c>
      <c r="AA7" s="283">
        <v>44</v>
      </c>
      <c r="AB7" s="935">
        <v>79.099999999999994</v>
      </c>
      <c r="AC7" s="221">
        <v>212.7</v>
      </c>
      <c r="AD7" s="221"/>
      <c r="AE7" s="221"/>
      <c r="AF7" s="221"/>
      <c r="AG7" s="221"/>
      <c r="AH7" s="729"/>
      <c r="AI7" s="335">
        <f t="shared" si="0"/>
        <v>4394.1000000000004</v>
      </c>
      <c r="AJ7" s="118">
        <v>49</v>
      </c>
      <c r="AK7" s="121">
        <f t="shared" si="1"/>
        <v>3.7226001511715795E-3</v>
      </c>
      <c r="AL7" s="67">
        <f t="shared" ref="AL7:AN8" si="10">IF(OR(D7="",D7="Sem monitoramento"),"VAZIO",IFERROR(D7/($AJ7*24),"-"))</f>
        <v>0.10034013605442177</v>
      </c>
      <c r="AM7" s="68">
        <f t="shared" si="10"/>
        <v>9.1411564625850344E-2</v>
      </c>
      <c r="AN7" s="68">
        <f t="shared" si="10"/>
        <v>6.7006802721088429E-2</v>
      </c>
      <c r="AO7" s="68" t="e">
        <f>IF(OR(#REF!="",#REF!="Sem monitoramento"),"VAZIO",IFERROR(#REF!/($AJ7*24),"-"))</f>
        <v>#REF!</v>
      </c>
      <c r="AP7" s="68">
        <f>IF(OR(H7="",H7="Sem monitoramento"),"VAZIO",IFERROR(H7/($AJ7*24),"-"))</f>
        <v>0.1875</v>
      </c>
      <c r="AQ7" s="68">
        <f>IF(OR(I7="",I7="Sem monitoramento"),"VAZIO",IFERROR(I7/($AJ7*24),"-"))</f>
        <v>0.19370748299319729</v>
      </c>
      <c r="AR7" s="68">
        <f>IF(OR(J11="",J11="Sem monitoramento"),"VAZIO",IFERROR(J11/($AJ7*24),"-"))</f>
        <v>0.33103741496598643</v>
      </c>
      <c r="AS7" s="68">
        <f t="shared" ref="AS7:BH8" si="11">IF(OR(K7="",K7="Sem monitoramento"),"VAZIO",IFERROR(K7/($AJ7*24),"-"))</f>
        <v>0.18826530612244899</v>
      </c>
      <c r="AT7" s="68">
        <f t="shared" si="11"/>
        <v>0.1685374149659864</v>
      </c>
      <c r="AU7" s="68">
        <f t="shared" si="11"/>
        <v>0.13375850340136056</v>
      </c>
      <c r="AV7" s="68">
        <f t="shared" si="11"/>
        <v>8.647959183673469E-2</v>
      </c>
      <c r="AW7" s="68">
        <f t="shared" si="11"/>
        <v>0.14447278911564626</v>
      </c>
      <c r="AX7" s="68">
        <f t="shared" si="11"/>
        <v>0.18265306122448979</v>
      </c>
      <c r="AY7" s="68">
        <f t="shared" si="11"/>
        <v>0.19404761904761902</v>
      </c>
      <c r="AZ7" s="68">
        <f t="shared" si="11"/>
        <v>0.1875</v>
      </c>
      <c r="BA7" s="68">
        <f t="shared" si="11"/>
        <v>0.16632653061224489</v>
      </c>
      <c r="BB7" s="68">
        <f t="shared" si="11"/>
        <v>0.17738095238095239</v>
      </c>
      <c r="BC7" s="68">
        <f t="shared" si="11"/>
        <v>0.17091836734693877</v>
      </c>
      <c r="BD7" s="68">
        <f t="shared" si="11"/>
        <v>0.16675170068027209</v>
      </c>
      <c r="BE7" s="68">
        <f t="shared" si="11"/>
        <v>0.1550170068027211</v>
      </c>
      <c r="BF7" s="68">
        <f t="shared" si="11"/>
        <v>8.6819727891156454E-2</v>
      </c>
      <c r="BG7" s="68">
        <f t="shared" si="11"/>
        <v>0.17083333333333334</v>
      </c>
      <c r="BH7" s="68">
        <f t="shared" si="11"/>
        <v>0.1495748299319728</v>
      </c>
      <c r="BI7" s="68">
        <f>IF(OR(AA11="",AA11="Sem monitoramento"),"VAZIO",IFERROR(AA11/($AJ7*24),"-"))</f>
        <v>9.583333333333334E-2</v>
      </c>
      <c r="BJ7" s="68">
        <f>IF(OR(AB7="",AB7="Sem monitoramento"),"VAZIO",IFERROR(AB7/($AJ7*24),"-"))</f>
        <v>6.7261904761904759E-2</v>
      </c>
      <c r="BK7" s="68" t="e">
        <f>IF(OR(#REF!="",#REF!="Sem monitoramento"),"VAZIO",IFERROR(#REF!/($AJ7*24),"-"))</f>
        <v>#REF!</v>
      </c>
      <c r="BL7" s="68" t="str">
        <f t="shared" ref="BL7:BL15" si="12">IF(OR(AD7="",AD7="Sem monitoramento"),"VAZIO",IFERROR(AD7/($AJ7*24),"-"))</f>
        <v>VAZIO</v>
      </c>
      <c r="BM7" s="68" t="str">
        <f t="shared" ref="BM7:BM15" si="13">IF(OR(AE7="",AE7="Sem monitoramento"),"VAZIO",IFERROR(AE7/($AJ7*24),"-"))</f>
        <v>VAZIO</v>
      </c>
      <c r="BN7" s="68" t="str">
        <f t="shared" ref="BN7:BN15" si="14">IF(OR(AF7="",AF7="Sem monitoramento"),"VAZIO",IFERROR(AF7/($AJ7*24),"-"))</f>
        <v>VAZIO</v>
      </c>
      <c r="BO7" s="68" t="e">
        <f>IF(OR(#REF!="",#REF!="Sem monitoramento"),"VAZIO",IFERROR(#REF!/($AJ7*24),"-"))</f>
        <v>#REF!</v>
      </c>
      <c r="BP7" s="70">
        <f t="shared" si="6"/>
        <v>0.14371075353218213</v>
      </c>
      <c r="BQ7" s="180">
        <f>'FCs estimados em PVsyst'!Y5</f>
        <v>0.17987528344671203</v>
      </c>
      <c r="BR7" s="72">
        <f t="shared" si="7"/>
        <v>8.81388888888889</v>
      </c>
      <c r="BS7" s="73">
        <f t="shared" si="8"/>
        <v>-0.1128684807256236</v>
      </c>
      <c r="BT7" s="74">
        <f t="shared" si="9"/>
        <v>-3.6164529914529897E-2</v>
      </c>
      <c r="BU7" s="15" t="s">
        <v>9</v>
      </c>
      <c r="BV7" s="79" t="s">
        <v>109</v>
      </c>
      <c r="BW7" s="80">
        <f>COUNTIF(BT5:BT30,"&lt;-0,01")</f>
        <v>19</v>
      </c>
      <c r="BX7" s="2"/>
    </row>
    <row r="8" spans="2:76" x14ac:dyDescent="0.3">
      <c r="B8" s="771"/>
      <c r="C8" s="326" t="s">
        <v>10</v>
      </c>
      <c r="D8" s="223">
        <v>66.599999999999994</v>
      </c>
      <c r="E8" s="63">
        <v>60.5</v>
      </c>
      <c r="F8" s="63">
        <v>45.5</v>
      </c>
      <c r="G8" s="82">
        <v>62.1</v>
      </c>
      <c r="H8" s="63">
        <v>126.9</v>
      </c>
      <c r="I8" s="63">
        <v>131.30000000000001</v>
      </c>
      <c r="J8" s="63">
        <v>125.3</v>
      </c>
      <c r="K8" s="63">
        <v>126.3</v>
      </c>
      <c r="L8" s="283">
        <v>113.6</v>
      </c>
      <c r="M8" s="283">
        <v>88.7</v>
      </c>
      <c r="N8" s="283">
        <v>58.7</v>
      </c>
      <c r="O8" s="63">
        <v>96.6</v>
      </c>
      <c r="P8" s="283">
        <v>122</v>
      </c>
      <c r="Q8" s="283">
        <v>132.6</v>
      </c>
      <c r="R8" s="63">
        <v>127.5</v>
      </c>
      <c r="S8" s="63">
        <v>112.5</v>
      </c>
      <c r="T8" s="63">
        <v>121.5</v>
      </c>
      <c r="U8" s="63">
        <v>113.9</v>
      </c>
      <c r="V8" s="63">
        <v>110.7</v>
      </c>
      <c r="W8" s="283">
        <v>104</v>
      </c>
      <c r="X8" s="283">
        <v>56.6</v>
      </c>
      <c r="Y8" s="283">
        <v>110.9</v>
      </c>
      <c r="Z8" s="15">
        <v>102.2</v>
      </c>
      <c r="AA8" s="283">
        <v>26.7</v>
      </c>
      <c r="AB8" s="935">
        <v>46.1</v>
      </c>
      <c r="AC8" s="221">
        <v>118.6</v>
      </c>
      <c r="AD8" s="221"/>
      <c r="AE8" s="221"/>
      <c r="AF8" s="221"/>
      <c r="AG8" s="221"/>
      <c r="AH8" s="729"/>
      <c r="AI8" s="335">
        <f t="shared" si="0"/>
        <v>2507.8999999999996</v>
      </c>
      <c r="AJ8" s="118">
        <v>33</v>
      </c>
      <c r="AK8" s="121">
        <f t="shared" si="1"/>
        <v>3.1916386083052748E-3</v>
      </c>
      <c r="AL8" s="67">
        <f t="shared" si="10"/>
        <v>8.4090909090909077E-2</v>
      </c>
      <c r="AM8" s="68">
        <f t="shared" si="10"/>
        <v>7.6388888888888895E-2</v>
      </c>
      <c r="AN8" s="68">
        <f t="shared" si="10"/>
        <v>5.7449494949494952E-2</v>
      </c>
      <c r="AO8" s="68" t="e">
        <f>IF(OR(#REF!="",#REF!="Sem monitoramento"),"VAZIO",IFERROR(#REF!/($AJ8*24),"-"))</f>
        <v>#REF!</v>
      </c>
      <c r="AP8" s="68">
        <f t="shared" ref="AP8:AP15" si="15">IF(OR(H8="",H8="Sem monitoramento"),"VAZIO",IFERROR(H8/($AJ8*24),"-"))</f>
        <v>0.16022727272727275</v>
      </c>
      <c r="AQ8" s="68" t="e">
        <f>IF(OR(#REF!="",#REF!="Sem monitoramento"),"VAZIO",IFERROR(#REF!/($AJ8*24),"-"))</f>
        <v>#REF!</v>
      </c>
      <c r="AR8" s="68">
        <f>IF(OR(J8="",J8="Sem monitoramento"),"VAZIO",IFERROR(J8/($AJ8*24),"-"))</f>
        <v>0.15820707070707071</v>
      </c>
      <c r="AS8" s="68">
        <f t="shared" si="11"/>
        <v>0.15946969696969696</v>
      </c>
      <c r="AT8" s="68">
        <f t="shared" si="11"/>
        <v>0.14343434343434341</v>
      </c>
      <c r="AU8" s="68">
        <f t="shared" si="11"/>
        <v>0.11199494949494949</v>
      </c>
      <c r="AV8" s="68">
        <f t="shared" si="11"/>
        <v>7.4116161616161622E-2</v>
      </c>
      <c r="AW8" s="68">
        <f t="shared" si="11"/>
        <v>0.12196969696969696</v>
      </c>
      <c r="AX8" s="68">
        <f t="shared" si="11"/>
        <v>0.15404040404040403</v>
      </c>
      <c r="AY8" s="68">
        <f t="shared" si="11"/>
        <v>0.16742424242424242</v>
      </c>
      <c r="AZ8" s="68">
        <f t="shared" si="11"/>
        <v>0.16098484848484848</v>
      </c>
      <c r="BA8" s="68">
        <f t="shared" si="11"/>
        <v>0.14204545454545456</v>
      </c>
      <c r="BB8" s="68">
        <f t="shared" si="11"/>
        <v>0.15340909090909091</v>
      </c>
      <c r="BC8" s="68">
        <f t="shared" si="11"/>
        <v>0.14381313131313131</v>
      </c>
      <c r="BD8" s="68">
        <f t="shared" si="11"/>
        <v>0.13977272727272727</v>
      </c>
      <c r="BE8" s="68">
        <f t="shared" si="11"/>
        <v>0.13131313131313133</v>
      </c>
      <c r="BF8" s="68">
        <f t="shared" si="11"/>
        <v>7.1464646464646467E-2</v>
      </c>
      <c r="BG8" s="68">
        <f t="shared" si="11"/>
        <v>0.14002525252525252</v>
      </c>
      <c r="BH8" s="68">
        <f t="shared" si="11"/>
        <v>0.12904040404040404</v>
      </c>
      <c r="BI8" s="68">
        <f>IF(OR(AA8="",AA8="Sem monitoramento"),"VAZIO",IFERROR(AA8/($AJ8*24),"-"))</f>
        <v>3.3712121212121214E-2</v>
      </c>
      <c r="BJ8" s="68">
        <f>IF(OR(AB8="",AB8="Sem monitoramento"),"VAZIO",IFERROR(AB8/($AJ8*24),"-"))</f>
        <v>5.8207070707070707E-2</v>
      </c>
      <c r="BK8" s="68" t="e">
        <f>IF(OR(#REF!="",#REF!="Sem monitoramento"),"VAZIO",IFERROR(#REF!/($AJ8*24),"-"))</f>
        <v>#REF!</v>
      </c>
      <c r="BL8" s="68" t="str">
        <f t="shared" si="12"/>
        <v>VAZIO</v>
      </c>
      <c r="BM8" s="68" t="str">
        <f t="shared" si="13"/>
        <v>VAZIO</v>
      </c>
      <c r="BN8" s="68" t="str">
        <f t="shared" si="14"/>
        <v>VAZIO</v>
      </c>
      <c r="BO8" s="68" t="e">
        <f>IF(OR(#REF!="",#REF!="Sem monitoramento"),"VAZIO",IFERROR(#REF!/($AJ8*24),"-"))</f>
        <v>#REF!</v>
      </c>
      <c r="BP8" s="70">
        <f t="shared" si="6"/>
        <v>0.12179001554001552</v>
      </c>
      <c r="BQ8" s="180">
        <f>'FCs estimados em PVsyst'!Y6</f>
        <v>0.18501683501683502</v>
      </c>
      <c r="BR8" s="72">
        <f t="shared" si="7"/>
        <v>6.1055555555555561</v>
      </c>
      <c r="BS8" s="73">
        <f t="shared" si="8"/>
        <v>-0.12756734006734008</v>
      </c>
      <c r="BT8" s="74">
        <f t="shared" si="9"/>
        <v>-6.3226819476819504E-2</v>
      </c>
      <c r="BU8" s="15" t="s">
        <v>10</v>
      </c>
      <c r="BV8" s="3"/>
      <c r="BW8" s="2"/>
      <c r="BX8" s="2"/>
    </row>
    <row r="9" spans="2:76" x14ac:dyDescent="0.3">
      <c r="B9" s="771"/>
      <c r="C9" s="326" t="s">
        <v>11</v>
      </c>
      <c r="D9" s="572">
        <v>29.5</v>
      </c>
      <c r="E9" s="63">
        <v>22.5</v>
      </c>
      <c r="F9" s="63">
        <v>20.100000000000001</v>
      </c>
      <c r="G9" s="161">
        <v>28.9</v>
      </c>
      <c r="H9" s="82">
        <v>54.3</v>
      </c>
      <c r="I9" s="508">
        <v>51.8</v>
      </c>
      <c r="J9" s="316">
        <v>56.1</v>
      </c>
      <c r="K9" s="316">
        <v>56.2</v>
      </c>
      <c r="L9" s="63">
        <v>54.6</v>
      </c>
      <c r="M9" s="63">
        <v>41.8</v>
      </c>
      <c r="N9" s="63">
        <v>30.6</v>
      </c>
      <c r="O9" s="63">
        <v>39.299999999999997</v>
      </c>
      <c r="P9" s="316">
        <v>59</v>
      </c>
      <c r="Q9" s="283">
        <v>60.6</v>
      </c>
      <c r="R9" s="308">
        <v>54.7</v>
      </c>
      <c r="S9" s="63">
        <v>54.1</v>
      </c>
      <c r="T9" s="63">
        <v>52.2</v>
      </c>
      <c r="U9" s="316">
        <v>54.6</v>
      </c>
      <c r="V9" s="63">
        <v>50</v>
      </c>
      <c r="W9" s="283">
        <v>47.5</v>
      </c>
      <c r="X9" s="63">
        <v>24.1</v>
      </c>
      <c r="Y9" s="63">
        <v>55.3</v>
      </c>
      <c r="Z9" s="148">
        <v>51.9</v>
      </c>
      <c r="AA9" s="18">
        <v>9.4</v>
      </c>
      <c r="AB9" s="323">
        <v>17.2</v>
      </c>
      <c r="AC9" s="489">
        <v>47.4</v>
      </c>
      <c r="AD9" s="15"/>
      <c r="AE9" s="15"/>
      <c r="AF9" s="15"/>
      <c r="AG9" s="15"/>
      <c r="AH9" s="506"/>
      <c r="AI9" s="335">
        <f t="shared" si="0"/>
        <v>1123.7000000000005</v>
      </c>
      <c r="AJ9" s="118">
        <v>12</v>
      </c>
      <c r="AK9" s="121">
        <f t="shared" si="1"/>
        <v>3.8773148148148152E-3</v>
      </c>
      <c r="AL9" s="67">
        <f>IF(OR(D10="",D10="Sem monitoramento"),"VAZIO",IFERROR(D10/($AJ9*24),"-"))</f>
        <v>9.166666666666666E-2</v>
      </c>
      <c r="AM9" s="68">
        <f t="shared" ref="AM9:AN15" si="16">IF(OR(E9="",E9="Sem monitoramento"),"VAZIO",IFERROR(E9/($AJ9*24),"-"))</f>
        <v>7.8125E-2</v>
      </c>
      <c r="AN9" s="68">
        <f t="shared" si="16"/>
        <v>6.9791666666666669E-2</v>
      </c>
      <c r="AO9" s="68">
        <f>IF(OR(G7="",G7="Sem monitoramento"),"VAZIO",IFERROR(G7/($AJ9*24),"-"))</f>
        <v>0.38784722222222223</v>
      </c>
      <c r="AP9" s="68">
        <f t="shared" si="15"/>
        <v>0.18854166666666666</v>
      </c>
      <c r="AQ9" s="68">
        <f>IF(OR(I9="",I9="Sem monitoramento"),"VAZIO",IFERROR(I9/($AJ9*24),"-"))</f>
        <v>0.17986111111111111</v>
      </c>
      <c r="AR9" s="68">
        <f>IF(OR(J10="",J10="Sem monitoramento"),"VAZIO",IFERROR(J10/($AJ9*24),"-"))</f>
        <v>0.171875</v>
      </c>
      <c r="AS9" s="68">
        <f>IF(OR(K10="",K10="Sem monitoramento"),"VAZIO",IFERROR(K10/($AJ9*24),"-"))</f>
        <v>0.17083333333333334</v>
      </c>
      <c r="AT9" s="68">
        <f t="shared" ref="AT9:AW10" si="17">IF(OR(L9="",L9="Sem monitoramento"),"VAZIO",IFERROR(L9/($AJ9*24),"-"))</f>
        <v>0.18958333333333333</v>
      </c>
      <c r="AU9" s="68">
        <f t="shared" si="17"/>
        <v>0.14513888888888887</v>
      </c>
      <c r="AV9" s="68">
        <f t="shared" si="17"/>
        <v>0.10625000000000001</v>
      </c>
      <c r="AW9" s="68">
        <f t="shared" si="17"/>
        <v>0.13645833333333332</v>
      </c>
      <c r="AX9" s="68">
        <f>IF(OR(P10="",P10="Sem monitoramento"),"VAZIO",IFERROR(P10/($AJ9*24),"-"))</f>
        <v>0.17673611111111109</v>
      </c>
      <c r="AY9" s="68">
        <f t="shared" ref="AY9:BB15" si="18">IF(OR(Q9="",Q9="Sem monitoramento"),"VAZIO",IFERROR(Q9/($AJ9*24),"-"))</f>
        <v>0.21041666666666667</v>
      </c>
      <c r="AZ9" s="68">
        <f t="shared" si="18"/>
        <v>0.18993055555555557</v>
      </c>
      <c r="BA9" s="68">
        <f t="shared" si="18"/>
        <v>0.18784722222222222</v>
      </c>
      <c r="BB9" s="68">
        <f t="shared" si="18"/>
        <v>0.18125000000000002</v>
      </c>
      <c r="BC9" s="68">
        <f>IF(OR(U7="",U7="Sem monitoramento"),"VAZIO",IFERROR(U7/($AJ9*24),"-"))</f>
        <v>0.69791666666666663</v>
      </c>
      <c r="BD9" s="68">
        <f t="shared" ref="BD9:BG10" si="19">IF(OR(V9="",V9="Sem monitoramento"),"VAZIO",IFERROR(V9/($AJ9*24),"-"))</f>
        <v>0.1736111111111111</v>
      </c>
      <c r="BE9" s="68">
        <f t="shared" si="19"/>
        <v>0.16493055555555555</v>
      </c>
      <c r="BF9" s="68">
        <f t="shared" si="19"/>
        <v>8.3680555555555564E-2</v>
      </c>
      <c r="BG9" s="68">
        <f t="shared" si="19"/>
        <v>0.19201388888888887</v>
      </c>
      <c r="BH9" s="68">
        <f>IF(OR(Z10="",Z10="Sem monitoramento"),"VAZIO",IFERROR(Z10/($AJ9*24),"-"))</f>
        <v>0.1579861111111111</v>
      </c>
      <c r="BI9" s="68">
        <f>IF(OR(AA9="",AA9="Sem monitoramento"),"VAZIO",IFERROR(AA9/($AJ9*24),"-"))</f>
        <v>3.2638888888888891E-2</v>
      </c>
      <c r="BJ9" s="68">
        <f>IF(OR(AB9="",AB9="Sem monitoramento"),"VAZIO",IFERROR(AB9/($AJ9*24),"-"))</f>
        <v>5.9722222222222218E-2</v>
      </c>
      <c r="BK9" s="68">
        <f>IF(OR(AC7="",AC7="Sem monitoramento"),"VAZIO",IFERROR(AC7/($AJ9*24),"-"))</f>
        <v>0.73854166666666665</v>
      </c>
      <c r="BL9" s="68" t="str">
        <f t="shared" si="12"/>
        <v>VAZIO</v>
      </c>
      <c r="BM9" s="68" t="str">
        <f t="shared" si="13"/>
        <v>VAZIO</v>
      </c>
      <c r="BN9" s="68" t="str">
        <f t="shared" si="14"/>
        <v>VAZIO</v>
      </c>
      <c r="BO9" s="68" t="str">
        <f>IF(OR(AG7="",AG7="Sem monitoramento"),"VAZIO",IFERROR(AG7/($AJ9*24),"-"))</f>
        <v>VAZIO</v>
      </c>
      <c r="BP9" s="70">
        <f t="shared" si="6"/>
        <v>0.15006677350427358</v>
      </c>
      <c r="BQ9" s="180">
        <f>'FCs estimados em PVsyst'!Y7</f>
        <v>0.18333333333333332</v>
      </c>
      <c r="BR9" s="72">
        <f t="shared" si="7"/>
        <v>2.1999999999999997</v>
      </c>
      <c r="BS9" s="73">
        <f t="shared" si="8"/>
        <v>-0.11354166666666665</v>
      </c>
      <c r="BT9" s="74">
        <f t="shared" si="9"/>
        <v>-3.3266559829059739E-2</v>
      </c>
      <c r="BU9" s="15" t="s">
        <v>11</v>
      </c>
      <c r="BV9" s="3"/>
      <c r="BW9" s="2"/>
      <c r="BX9" s="2"/>
    </row>
    <row r="10" spans="2:76" x14ac:dyDescent="0.3">
      <c r="B10" s="771"/>
      <c r="C10" s="326" t="s">
        <v>12</v>
      </c>
      <c r="D10" s="223">
        <v>26.4</v>
      </c>
      <c r="E10" s="63">
        <v>21.4</v>
      </c>
      <c r="F10" s="63">
        <v>19.3</v>
      </c>
      <c r="G10" s="308">
        <v>26.1</v>
      </c>
      <c r="H10" s="308">
        <v>47.7</v>
      </c>
      <c r="I10" s="561">
        <v>41.7</v>
      </c>
      <c r="J10" s="63">
        <v>49.5</v>
      </c>
      <c r="K10" s="283">
        <v>49.2</v>
      </c>
      <c r="L10" s="63">
        <v>47.8</v>
      </c>
      <c r="M10" s="63">
        <v>37</v>
      </c>
      <c r="N10" s="63">
        <v>28.5</v>
      </c>
      <c r="O10" s="63">
        <v>33.799999999999997</v>
      </c>
      <c r="P10" s="63">
        <v>50.9</v>
      </c>
      <c r="Q10" s="283">
        <v>17.8</v>
      </c>
      <c r="R10" s="308">
        <v>80.900000000000006</v>
      </c>
      <c r="S10" s="63">
        <v>46.4</v>
      </c>
      <c r="T10" s="63">
        <v>45.5</v>
      </c>
      <c r="U10" s="63">
        <v>47.2</v>
      </c>
      <c r="V10" s="63">
        <v>43.1</v>
      </c>
      <c r="W10" s="283">
        <v>41.1</v>
      </c>
      <c r="X10" s="63">
        <v>20.8</v>
      </c>
      <c r="Y10" s="63">
        <v>48.1</v>
      </c>
      <c r="Z10" s="15">
        <v>45.5</v>
      </c>
      <c r="AA10" s="18">
        <v>9.9</v>
      </c>
      <c r="AB10" s="323">
        <v>18.7</v>
      </c>
      <c r="AC10" s="489">
        <v>40.5</v>
      </c>
      <c r="AD10" s="15"/>
      <c r="AE10" s="15"/>
      <c r="AF10" s="15"/>
      <c r="AG10" s="15"/>
      <c r="AH10" s="506"/>
      <c r="AI10" s="335">
        <f t="shared" si="0"/>
        <v>984.80000000000007</v>
      </c>
      <c r="AJ10" s="118">
        <v>25</v>
      </c>
      <c r="AK10" s="121">
        <f t="shared" si="1"/>
        <v>1.7870370370370371E-3</v>
      </c>
      <c r="AL10" s="67" t="e">
        <f>IF(OR(#REF!="",#REF!="Sem monitoramento"),"VAZIO",IFERROR(#REF!/($AJ10*24),"-"))</f>
        <v>#REF!</v>
      </c>
      <c r="AM10" s="68">
        <f t="shared" si="16"/>
        <v>3.5666666666666666E-2</v>
      </c>
      <c r="AN10" s="68">
        <f t="shared" si="16"/>
        <v>3.216666666666667E-2</v>
      </c>
      <c r="AO10" s="68">
        <f>IF(OR(G8="",G8="Sem monitoramento"),"VAZIO",IFERROR(G8/($AJ10*24),"-"))</f>
        <v>0.10350000000000001</v>
      </c>
      <c r="AP10" s="68">
        <f t="shared" si="15"/>
        <v>7.9500000000000001E-2</v>
      </c>
      <c r="AQ10" s="68">
        <f>IF(OR(I8="",I8="Sem monitoramento"),"VAZIO",IFERROR(I8/($AJ10*24),"-"))</f>
        <v>0.21883333333333335</v>
      </c>
      <c r="AR10" s="68" t="e">
        <f>IF(OR(#REF!="",#REF!="Sem monitoramento"),"VAZIO",IFERROR(#REF!/($AJ10*24),"-"))</f>
        <v>#REF!</v>
      </c>
      <c r="AS10" s="68" t="e">
        <f>IF(OR(#REF!="",#REF!="Sem monitoramento"),"VAZIO",IFERROR(#REF!/($AJ10*24),"-"))</f>
        <v>#REF!</v>
      </c>
      <c r="AT10" s="68">
        <f t="shared" si="17"/>
        <v>7.9666666666666663E-2</v>
      </c>
      <c r="AU10" s="68">
        <f t="shared" si="17"/>
        <v>6.1666666666666668E-2</v>
      </c>
      <c r="AV10" s="68">
        <f t="shared" si="17"/>
        <v>4.7500000000000001E-2</v>
      </c>
      <c r="AW10" s="68">
        <f t="shared" si="17"/>
        <v>5.6333333333333326E-2</v>
      </c>
      <c r="AX10" s="68" t="e">
        <f>IF(OR(#REF!="",#REF!="Sem monitoramento"),"VAZIO",IFERROR(#REF!/($AJ10*24),"-"))</f>
        <v>#REF!</v>
      </c>
      <c r="AY10" s="68">
        <f t="shared" si="18"/>
        <v>2.9666666666666668E-2</v>
      </c>
      <c r="AZ10" s="68">
        <f t="shared" si="18"/>
        <v>0.13483333333333333</v>
      </c>
      <c r="BA10" s="68">
        <f t="shared" si="18"/>
        <v>7.7333333333333337E-2</v>
      </c>
      <c r="BB10" s="68">
        <f t="shared" si="18"/>
        <v>7.5833333333333336E-2</v>
      </c>
      <c r="BC10" s="68">
        <f>IF(OR(U8="",U8="Sem monitoramento"),"VAZIO",IFERROR(U8/($AJ10*24),"-"))</f>
        <v>0.18983333333333335</v>
      </c>
      <c r="BD10" s="68">
        <f t="shared" si="19"/>
        <v>7.1833333333333332E-2</v>
      </c>
      <c r="BE10" s="68">
        <f t="shared" si="19"/>
        <v>6.8500000000000005E-2</v>
      </c>
      <c r="BF10" s="68">
        <f t="shared" si="19"/>
        <v>3.4666666666666665E-2</v>
      </c>
      <c r="BG10" s="68">
        <f t="shared" si="19"/>
        <v>8.0166666666666664E-2</v>
      </c>
      <c r="BH10" s="68" t="e">
        <f>IF(OR(#REF!="",#REF!="Sem monitoramento"),"VAZIO",IFERROR(#REF!/($AJ10*24),"-"))</f>
        <v>#REF!</v>
      </c>
      <c r="BI10" s="68">
        <f>IF(OR(AA10="",AA10="Sem monitoramento"),"VAZIO",IFERROR(AA10/($AJ10*24),"-"))</f>
        <v>1.6500000000000001E-2</v>
      </c>
      <c r="BJ10" s="68">
        <f>IF(OR(AB10="",AB10="Sem monitoramento"),"VAZIO",IFERROR(AB10/($AJ10*24),"-"))</f>
        <v>3.1166666666666665E-2</v>
      </c>
      <c r="BK10" s="68">
        <f>IF(OR(AC8="",AC8="Sem monitoramento"),"VAZIO",IFERROR(AC8/($AJ10*24),"-"))</f>
        <v>0.19766666666666666</v>
      </c>
      <c r="BL10" s="68" t="str">
        <f t="shared" si="12"/>
        <v>VAZIO</v>
      </c>
      <c r="BM10" s="68" t="str">
        <f t="shared" si="13"/>
        <v>VAZIO</v>
      </c>
      <c r="BN10" s="68" t="str">
        <f t="shared" si="14"/>
        <v>VAZIO</v>
      </c>
      <c r="BO10" s="68" t="str">
        <f>IF(OR(AG8="",AG8="Sem monitoramento"),"VAZIO",IFERROR(AG8/($AJ10*24),"-"))</f>
        <v>VAZIO</v>
      </c>
      <c r="BP10" s="70">
        <f t="shared" si="6"/>
        <v>6.3128205128205134E-2</v>
      </c>
      <c r="BQ10" s="180">
        <f>'FCs estimados em PVsyst'!Y8</f>
        <v>0.185</v>
      </c>
      <c r="BR10" s="72">
        <f t="shared" si="7"/>
        <v>4.625</v>
      </c>
      <c r="BS10" s="73">
        <f t="shared" si="8"/>
        <v>-0.15283333333333332</v>
      </c>
      <c r="BT10" s="74">
        <f t="shared" si="9"/>
        <v>-0.12187179487179486</v>
      </c>
      <c r="BU10" s="15" t="s">
        <v>12</v>
      </c>
      <c r="BV10" s="3"/>
      <c r="BW10" s="2"/>
      <c r="BX10" s="2"/>
    </row>
    <row r="11" spans="2:76" x14ac:dyDescent="0.3">
      <c r="B11" s="771"/>
      <c r="C11" s="327" t="s">
        <v>13</v>
      </c>
      <c r="D11" s="62">
        <v>279.10000000000002</v>
      </c>
      <c r="E11" s="63">
        <v>224.9</v>
      </c>
      <c r="F11" s="63">
        <v>230.2</v>
      </c>
      <c r="G11" s="63">
        <v>341.3</v>
      </c>
      <c r="H11" s="63">
        <v>460.9</v>
      </c>
      <c r="I11" s="283">
        <v>502.4</v>
      </c>
      <c r="J11" s="63">
        <v>389.3</v>
      </c>
      <c r="K11" s="283">
        <v>509.3</v>
      </c>
      <c r="L11" s="63">
        <v>474.3</v>
      </c>
      <c r="M11" s="519">
        <v>380.9</v>
      </c>
      <c r="N11" s="63">
        <v>267.5</v>
      </c>
      <c r="O11" s="63">
        <v>378.9</v>
      </c>
      <c r="P11" s="63">
        <v>524.9</v>
      </c>
      <c r="Q11" s="283">
        <v>522.20000000000005</v>
      </c>
      <c r="R11" s="63">
        <v>417.8</v>
      </c>
      <c r="S11" s="63">
        <v>471.5</v>
      </c>
      <c r="T11" s="63">
        <v>490.9</v>
      </c>
      <c r="U11" s="63">
        <v>494.8</v>
      </c>
      <c r="V11" s="283">
        <v>437.2</v>
      </c>
      <c r="W11" s="519">
        <v>410.7</v>
      </c>
      <c r="X11" s="283">
        <v>232</v>
      </c>
      <c r="Y11" s="283">
        <v>481.5</v>
      </c>
      <c r="Z11" s="15">
        <v>501.2</v>
      </c>
      <c r="AA11" s="18">
        <v>112.7</v>
      </c>
      <c r="AB11" s="323">
        <v>214.4</v>
      </c>
      <c r="AC11" s="221">
        <v>380.4</v>
      </c>
      <c r="AD11" s="15"/>
      <c r="AE11" s="15"/>
      <c r="AF11" s="15"/>
      <c r="AG11" s="15"/>
      <c r="AH11" s="506"/>
      <c r="AI11" s="335">
        <f t="shared" si="0"/>
        <v>10131.200000000001</v>
      </c>
      <c r="AJ11" s="118">
        <v>78</v>
      </c>
      <c r="AK11" s="121">
        <f t="shared" si="1"/>
        <v>6.8316714150047477E-3</v>
      </c>
      <c r="AL11" s="67">
        <f>IF(OR(D11="",D11="Sem monitoramento"),"VAZIO",IFERROR(D11/($AJ11*24),"-"))</f>
        <v>0.14909188034188037</v>
      </c>
      <c r="AM11" s="68">
        <f t="shared" si="16"/>
        <v>0.12013888888888889</v>
      </c>
      <c r="AN11" s="68">
        <f t="shared" si="16"/>
        <v>0.12297008547008546</v>
      </c>
      <c r="AO11" s="68">
        <f>IF(OR(G11="",G11="Sem monitoramento"),"VAZIO",IFERROR(G11/($AJ11*24),"-"))</f>
        <v>0.18231837606837609</v>
      </c>
      <c r="AP11" s="68">
        <f t="shared" si="15"/>
        <v>0.24620726495726494</v>
      </c>
      <c r="AQ11" s="68">
        <f>IF(OR(I11="",I11="Sem monitoramento"),"VAZIO",IFERROR(I11/($AJ11*24),"-"))</f>
        <v>0.26837606837606837</v>
      </c>
      <c r="AR11" s="68" t="e">
        <f>IF(OR(#REF!="",#REF!="Sem monitoramento"),"VAZIO",IFERROR(#REF!/($AJ11*24),"-"))</f>
        <v>#REF!</v>
      </c>
      <c r="AS11" s="68">
        <f t="shared" ref="AS11:AT15" si="20">IF(OR(K11="",K11="Sem monitoramento"),"VAZIO",IFERROR(K11/($AJ11*24),"-"))</f>
        <v>0.27206196581196584</v>
      </c>
      <c r="AT11" s="68">
        <f t="shared" si="20"/>
        <v>0.2533653846153846</v>
      </c>
      <c r="AU11" s="68">
        <f>IF(OR(M12="",M12="Sem monitoramento"),"VAZIO",IFERROR(M12/($AJ11*24),"-"))</f>
        <v>9.3482905982905984E-2</v>
      </c>
      <c r="AV11" s="68">
        <f t="shared" ref="AV11:AX15" si="21">IF(OR(N11="",N11="Sem monitoramento"),"VAZIO",IFERROR(N11/($AJ11*24),"-"))</f>
        <v>0.14289529914529914</v>
      </c>
      <c r="AW11" s="68">
        <f t="shared" si="21"/>
        <v>0.20240384615384613</v>
      </c>
      <c r="AX11" s="68">
        <f t="shared" si="21"/>
        <v>0.28039529914529915</v>
      </c>
      <c r="AY11" s="68">
        <f t="shared" si="18"/>
        <v>0.27895299145299146</v>
      </c>
      <c r="AZ11" s="68">
        <f t="shared" si="18"/>
        <v>0.2231837606837607</v>
      </c>
      <c r="BA11" s="68">
        <f t="shared" si="18"/>
        <v>0.25186965811965811</v>
      </c>
      <c r="BB11" s="68">
        <f t="shared" si="18"/>
        <v>0.26223290598290599</v>
      </c>
      <c r="BC11" s="68">
        <f t="shared" ref="BC11:BD15" si="22">IF(OR(U11="",U11="Sem monitoramento"),"VAZIO",IFERROR(U11/($AJ11*24),"-"))</f>
        <v>0.26431623931623932</v>
      </c>
      <c r="BD11" s="68">
        <f t="shared" si="22"/>
        <v>0.23354700854700855</v>
      </c>
      <c r="BE11" s="68">
        <f>IF(OR(W12="",W12="Sem monitoramento"),"VAZIO",IFERROR(W12/($AJ11*24),"-"))</f>
        <v>0.11324786324786325</v>
      </c>
      <c r="BF11" s="68">
        <f>IF(OR(X11="",X11="Sem monitoramento"),"VAZIO",IFERROR(X11/($AJ11*24),"-"))</f>
        <v>0.12393162393162394</v>
      </c>
      <c r="BG11" s="68">
        <f>IF(OR(Y11="",Y11="Sem monitoramento"),"VAZIO",IFERROR(Y11/($AJ11*24),"-"))</f>
        <v>0.25721153846153844</v>
      </c>
      <c r="BH11" s="68">
        <f>IF(OR(Z11="",Z11="Sem monitoramento"),"VAZIO",IFERROR(Z11/($AJ11*24),"-"))</f>
        <v>0.26773504273504273</v>
      </c>
      <c r="BI11" s="68" t="e">
        <f>IF(OR(#REF!="",#REF!="Sem monitoramento"),"VAZIO",IFERROR(#REF!/($AJ11*24),"-"))</f>
        <v>#REF!</v>
      </c>
      <c r="BJ11" s="68">
        <f>IF(OR(AB9="",AB9="Sem monitoramento"),"VAZIO",IFERROR(AB9/($AJ11*24),"-"))</f>
        <v>9.1880341880341884E-3</v>
      </c>
      <c r="BK11" s="68">
        <f>IF(OR(AC11="",AC11="Sem monitoramento"),"VAZIO",IFERROR(AC11/($AJ11*24),"-"))</f>
        <v>0.2032051282051282</v>
      </c>
      <c r="BL11" s="68" t="str">
        <f t="shared" si="12"/>
        <v>VAZIO</v>
      </c>
      <c r="BM11" s="68" t="str">
        <f t="shared" si="13"/>
        <v>VAZIO</v>
      </c>
      <c r="BN11" s="68" t="str">
        <f t="shared" si="14"/>
        <v>VAZIO</v>
      </c>
      <c r="BO11" s="68" t="str">
        <f>IF(OR(AG11="",AG11="Sem monitoramento"),"VAZIO",IFERROR(AG11/($AJ11*24),"-"))</f>
        <v>VAZIO</v>
      </c>
      <c r="BP11" s="70">
        <f t="shared" si="6"/>
        <v>0.20815253122945432</v>
      </c>
      <c r="BQ11" s="198">
        <f>BQ20</f>
        <v>0.168125</v>
      </c>
      <c r="BR11" s="72">
        <f t="shared" si="7"/>
        <v>13.11375</v>
      </c>
      <c r="BS11" s="73">
        <f t="shared" si="8"/>
        <v>-4.5154914529914533E-2</v>
      </c>
      <c r="BT11" s="74">
        <f t="shared" si="9"/>
        <v>4.0027531229454322E-2</v>
      </c>
      <c r="BU11" s="15" t="s">
        <v>13</v>
      </c>
      <c r="BV11" s="3"/>
      <c r="BW11" s="2"/>
      <c r="BX11" s="2"/>
    </row>
    <row r="12" spans="2:76" x14ac:dyDescent="0.3">
      <c r="B12" s="772"/>
      <c r="C12" s="326" t="s">
        <v>14</v>
      </c>
      <c r="D12" s="493">
        <v>118</v>
      </c>
      <c r="E12" s="308">
        <v>115</v>
      </c>
      <c r="F12" s="82">
        <v>102</v>
      </c>
      <c r="G12" s="82">
        <v>125</v>
      </c>
      <c r="H12" s="82">
        <v>255</v>
      </c>
      <c r="I12" s="308">
        <v>265</v>
      </c>
      <c r="J12" s="82">
        <v>275</v>
      </c>
      <c r="K12" s="308">
        <v>278</v>
      </c>
      <c r="L12" s="82">
        <v>271</v>
      </c>
      <c r="M12" s="283">
        <v>175</v>
      </c>
      <c r="N12" s="82">
        <v>170</v>
      </c>
      <c r="O12" s="82">
        <v>185</v>
      </c>
      <c r="P12" s="82">
        <v>322</v>
      </c>
      <c r="Q12" s="308">
        <v>345</v>
      </c>
      <c r="R12" s="308">
        <v>255</v>
      </c>
      <c r="S12" s="82">
        <v>225</v>
      </c>
      <c r="T12" s="82">
        <v>260</v>
      </c>
      <c r="U12" s="82">
        <v>265</v>
      </c>
      <c r="V12" s="82">
        <v>224</v>
      </c>
      <c r="W12" s="283">
        <v>212</v>
      </c>
      <c r="X12" s="82">
        <v>95</v>
      </c>
      <c r="Y12" s="63">
        <v>270</v>
      </c>
      <c r="Z12" s="16">
        <v>260</v>
      </c>
      <c r="AA12" s="17">
        <v>55</v>
      </c>
      <c r="AB12" s="324">
        <v>101</v>
      </c>
      <c r="AC12" s="489">
        <v>219</v>
      </c>
      <c r="AD12" s="16"/>
      <c r="AE12" s="16"/>
      <c r="AF12" s="16"/>
      <c r="AG12" s="16"/>
      <c r="AH12" s="730"/>
      <c r="AI12" s="335">
        <f t="shared" si="0"/>
        <v>5442</v>
      </c>
      <c r="AJ12" s="123">
        <v>61</v>
      </c>
      <c r="AK12" s="121" t="s">
        <v>31</v>
      </c>
      <c r="AL12" s="67">
        <f>IF(OR(D12="",D12="Sem monitoramento"),"VAZIO",IFERROR(D12/($AJ12*24),"-"))</f>
        <v>8.060109289617487E-2</v>
      </c>
      <c r="AM12" s="68">
        <f t="shared" si="16"/>
        <v>7.8551912568306015E-2</v>
      </c>
      <c r="AN12" s="68">
        <f t="shared" si="16"/>
        <v>6.9672131147540978E-2</v>
      </c>
      <c r="AO12" s="68">
        <f>IF(OR(G12="",G12="Sem monitoramento"),"VAZIO",IFERROR(G12/($AJ12*24),"-"))</f>
        <v>8.5382513661202183E-2</v>
      </c>
      <c r="AP12" s="68">
        <f t="shared" si="15"/>
        <v>0.17418032786885246</v>
      </c>
      <c r="AQ12" s="68">
        <f>IF(OR(I12="",I12="Sem monitoramento"),"VAZIO",IFERROR(I12/($AJ12*24),"-"))</f>
        <v>0.18101092896174864</v>
      </c>
      <c r="AR12" s="68">
        <f>IF(OR(J12="",J12="Sem monitoramento"),"VAZIO",IFERROR(J12/($AJ12*24),"-"))</f>
        <v>0.1878415300546448</v>
      </c>
      <c r="AS12" s="68">
        <f t="shared" si="20"/>
        <v>0.18989071038251365</v>
      </c>
      <c r="AT12" s="68">
        <f t="shared" si="20"/>
        <v>0.18510928961748635</v>
      </c>
      <c r="AU12" s="68">
        <f>IF(OR(M13="",M13="Sem monitoramento"),"VAZIO",IFERROR(M13/($AJ12*24),"-"))</f>
        <v>0.1998633879781421</v>
      </c>
      <c r="AV12" s="68">
        <f t="shared" si="21"/>
        <v>0.11612021857923498</v>
      </c>
      <c r="AW12" s="68">
        <f t="shared" si="21"/>
        <v>0.12636612021857924</v>
      </c>
      <c r="AX12" s="68">
        <f t="shared" si="21"/>
        <v>0.21994535519125682</v>
      </c>
      <c r="AY12" s="68">
        <f t="shared" si="18"/>
        <v>0.23565573770491804</v>
      </c>
      <c r="AZ12" s="68">
        <f t="shared" si="18"/>
        <v>0.17418032786885246</v>
      </c>
      <c r="BA12" s="68">
        <f t="shared" si="18"/>
        <v>0.15368852459016394</v>
      </c>
      <c r="BB12" s="68">
        <f t="shared" si="18"/>
        <v>0.17759562841530055</v>
      </c>
      <c r="BC12" s="68">
        <f t="shared" si="22"/>
        <v>0.18101092896174864</v>
      </c>
      <c r="BD12" s="68">
        <f t="shared" si="22"/>
        <v>0.15300546448087432</v>
      </c>
      <c r="BE12" s="68" t="e">
        <f>IF(OR(#REF!="",#REF!="Sem monitoramento"),"VAZIO",IFERROR(#REF!/($AJ12*24),"-"))</f>
        <v>#REF!</v>
      </c>
      <c r="BF12" s="68">
        <f>IF(OR(X12="",X12="Sem monitoramento"),"VAZIO",IFERROR(X12/($AJ12*24),"-"))</f>
        <v>6.4890710382513664E-2</v>
      </c>
      <c r="BG12" s="68" t="e">
        <f>IF(OR(#REF!="",#REF!="Sem monitoramento"),"VAZIO",IFERROR(#REF!/($AJ12*24),"-"))</f>
        <v>#REF!</v>
      </c>
      <c r="BH12" s="68">
        <f t="shared" ref="BH12:BJ14" si="23">IF(OR(Z12="",Z12="Sem monitoramento"),"VAZIO",IFERROR(Z12/($AJ12*24),"-"))</f>
        <v>0.17759562841530055</v>
      </c>
      <c r="BI12" s="68">
        <f t="shared" si="23"/>
        <v>3.7568306010928962E-2</v>
      </c>
      <c r="BJ12" s="68">
        <f t="shared" si="23"/>
        <v>6.8989071038251359E-2</v>
      </c>
      <c r="BK12" s="68">
        <f>IF(OR(AC12="",AC12="Sem monitoramento"),"VAZIO",IFERROR(AC12/($AJ12*24),"-"))</f>
        <v>0.14959016393442623</v>
      </c>
      <c r="BL12" s="68" t="str">
        <f t="shared" si="12"/>
        <v>VAZIO</v>
      </c>
      <c r="BM12" s="68" t="str">
        <f t="shared" si="13"/>
        <v>VAZIO</v>
      </c>
      <c r="BN12" s="68" t="str">
        <f t="shared" si="14"/>
        <v>VAZIO</v>
      </c>
      <c r="BO12" s="68" t="str">
        <f>IF(OR(AG12="",AG12="Sem monitoramento"),"VAZIO",IFERROR(AG12/($AJ12*24),"-"))</f>
        <v>VAZIO</v>
      </c>
      <c r="BP12" s="70">
        <f t="shared" si="6"/>
        <v>0.14296973518284994</v>
      </c>
      <c r="BQ12" s="180">
        <f>'FCs estimados em PVsyst'!Y10</f>
        <v>0.18465391621129326</v>
      </c>
      <c r="BR12" s="72" t="s">
        <v>31</v>
      </c>
      <c r="BS12" s="73" t="s">
        <v>31</v>
      </c>
      <c r="BT12" s="74">
        <f t="shared" si="9"/>
        <v>-4.1684181028443318E-2</v>
      </c>
      <c r="BU12" s="15" t="s">
        <v>14</v>
      </c>
      <c r="BV12" s="3"/>
      <c r="BW12" s="2"/>
      <c r="BX12" s="2"/>
    </row>
    <row r="13" spans="2:76" x14ac:dyDescent="0.3">
      <c r="B13" s="773" t="s">
        <v>16</v>
      </c>
      <c r="C13" s="328" t="s">
        <v>17</v>
      </c>
      <c r="D13" s="223">
        <v>203.6</v>
      </c>
      <c r="E13" s="283">
        <v>200</v>
      </c>
      <c r="F13" s="283">
        <v>169.7</v>
      </c>
      <c r="G13" s="283">
        <v>215.8</v>
      </c>
      <c r="H13" s="283">
        <v>397.2</v>
      </c>
      <c r="I13" s="283">
        <v>411.1</v>
      </c>
      <c r="J13" s="63">
        <v>437.3</v>
      </c>
      <c r="K13" s="283">
        <v>439.4</v>
      </c>
      <c r="L13" s="63">
        <v>424.3</v>
      </c>
      <c r="M13" s="82">
        <v>292.60000000000002</v>
      </c>
      <c r="N13" s="283">
        <v>277</v>
      </c>
      <c r="O13" s="63">
        <v>291.7</v>
      </c>
      <c r="P13" s="63">
        <v>433.1</v>
      </c>
      <c r="Q13" s="283">
        <v>464.1</v>
      </c>
      <c r="R13" s="308">
        <v>385.7</v>
      </c>
      <c r="S13" s="63">
        <v>360</v>
      </c>
      <c r="T13" s="63">
        <v>410.3</v>
      </c>
      <c r="U13" s="63">
        <v>432.8</v>
      </c>
      <c r="V13" s="63">
        <v>364.2</v>
      </c>
      <c r="W13" s="283">
        <v>348.7</v>
      </c>
      <c r="X13" s="63">
        <v>155.30000000000001</v>
      </c>
      <c r="Y13" s="519">
        <v>421.9</v>
      </c>
      <c r="Z13" s="15">
        <v>415</v>
      </c>
      <c r="AA13" s="18">
        <v>88.1</v>
      </c>
      <c r="AB13" s="323">
        <v>148</v>
      </c>
      <c r="AC13" s="489">
        <v>347.1</v>
      </c>
      <c r="AD13" s="15"/>
      <c r="AE13" s="15"/>
      <c r="AF13" s="15"/>
      <c r="AG13" s="15"/>
      <c r="AH13" s="506"/>
      <c r="AI13" s="335">
        <f t="shared" si="0"/>
        <v>8534</v>
      </c>
      <c r="AJ13" s="118">
        <v>100</v>
      </c>
      <c r="AK13" s="121">
        <f>F13/(AJ13*432)</f>
        <v>3.9282407407407408E-3</v>
      </c>
      <c r="AL13" s="67">
        <f>IF(OR(D13="",D13="Sem monitoramento"),"VAZIO",IFERROR(D13/($AJ13*24),"-"))</f>
        <v>8.483333333333333E-2</v>
      </c>
      <c r="AM13" s="68">
        <f t="shared" si="16"/>
        <v>8.3333333333333329E-2</v>
      </c>
      <c r="AN13" s="68">
        <f t="shared" si="16"/>
        <v>7.0708333333333331E-2</v>
      </c>
      <c r="AO13" s="68">
        <f>IF(OR(G13="",G13="Sem monitoramento"),"VAZIO",IFERROR(G13/($AJ13*24),"-"))</f>
        <v>8.9916666666666673E-2</v>
      </c>
      <c r="AP13" s="68">
        <f t="shared" si="15"/>
        <v>0.16550000000000001</v>
      </c>
      <c r="AQ13" s="68">
        <f>IF(OR(I13="",I13="Sem monitoramento"),"VAZIO",IFERROR(I13/($AJ13*24),"-"))</f>
        <v>0.17129166666666668</v>
      </c>
      <c r="AR13" s="68">
        <f>IF(OR(J13="",J13="Sem monitoramento"),"VAZIO",IFERROR(J13/($AJ13*24),"-"))</f>
        <v>0.18220833333333333</v>
      </c>
      <c r="AS13" s="68">
        <f t="shared" si="20"/>
        <v>0.18308333333333332</v>
      </c>
      <c r="AT13" s="68">
        <f t="shared" si="20"/>
        <v>0.17679166666666668</v>
      </c>
      <c r="AU13" s="68" t="e">
        <f>IF(OR(#REF!="",#REF!="Sem monitoramento"),"VAZIO",IFERROR(#REF!/($AJ13*24),"-"))</f>
        <v>#REF!</v>
      </c>
      <c r="AV13" s="68">
        <f t="shared" si="21"/>
        <v>0.11541666666666667</v>
      </c>
      <c r="AW13" s="68">
        <f t="shared" si="21"/>
        <v>0.12154166666666666</v>
      </c>
      <c r="AX13" s="68">
        <f t="shared" si="21"/>
        <v>0.18045833333333333</v>
      </c>
      <c r="AY13" s="68">
        <f t="shared" si="18"/>
        <v>0.19337500000000002</v>
      </c>
      <c r="AZ13" s="68">
        <f t="shared" si="18"/>
        <v>0.16070833333333334</v>
      </c>
      <c r="BA13" s="68">
        <f t="shared" si="18"/>
        <v>0.15</v>
      </c>
      <c r="BB13" s="68">
        <f t="shared" si="18"/>
        <v>0.17095833333333335</v>
      </c>
      <c r="BC13" s="68">
        <f t="shared" si="22"/>
        <v>0.18033333333333335</v>
      </c>
      <c r="BD13" s="68">
        <f t="shared" si="22"/>
        <v>0.15175</v>
      </c>
      <c r="BE13" s="68">
        <f>IF(OR(W13="",W13="Sem monitoramento"),"VAZIO",IFERROR(W13/($AJ13*24),"-"))</f>
        <v>0.14529166666666665</v>
      </c>
      <c r="BF13" s="68">
        <f>IF(OR(X13="",X13="Sem monitoramento"),"VAZIO",IFERROR(X13/($AJ13*24),"-"))</f>
        <v>6.470833333333334E-2</v>
      </c>
      <c r="BG13" s="68">
        <f>IF(OR(Y12="",Y12="Sem monitoramento"),"VAZIO",IFERROR(Y12/($AJ13*24),"-"))</f>
        <v>0.1125</v>
      </c>
      <c r="BH13" s="68">
        <f t="shared" si="23"/>
        <v>0.17291666666666666</v>
      </c>
      <c r="BI13" s="68">
        <f t="shared" si="23"/>
        <v>3.6708333333333329E-2</v>
      </c>
      <c r="BJ13" s="68">
        <f t="shared" si="23"/>
        <v>6.1666666666666668E-2</v>
      </c>
      <c r="BK13" s="68">
        <f>IF(OR(AC13="",AC13="Sem monitoramento"),"VAZIO",IFERROR(AC13/($AJ13*24),"-"))</f>
        <v>0.144625</v>
      </c>
      <c r="BL13" s="68" t="str">
        <f t="shared" si="12"/>
        <v>VAZIO</v>
      </c>
      <c r="BM13" s="68" t="str">
        <f t="shared" si="13"/>
        <v>VAZIO</v>
      </c>
      <c r="BN13" s="68" t="str">
        <f t="shared" si="14"/>
        <v>VAZIO</v>
      </c>
      <c r="BO13" s="68" t="str">
        <f>IF(OR(AG13="",AG13="Sem monitoramento"),"VAZIO",IFERROR(AG13/($AJ13*24),"-"))</f>
        <v>VAZIO</v>
      </c>
      <c r="BP13" s="70">
        <f t="shared" si="6"/>
        <v>0.13676282051282052</v>
      </c>
      <c r="BQ13" s="198">
        <f>BQ20</f>
        <v>0.168125</v>
      </c>
      <c r="BR13" s="72">
        <f t="shared" ref="BR13:BR31" si="24">AJ13*BQ13</f>
        <v>16.8125</v>
      </c>
      <c r="BS13" s="73">
        <f t="shared" ref="BS13:BS31" si="25">AN13-BQ13</f>
        <v>-9.7416666666666665E-2</v>
      </c>
      <c r="BT13" s="74">
        <f t="shared" si="9"/>
        <v>-3.1362179487179481E-2</v>
      </c>
      <c r="BU13" s="15" t="s">
        <v>17</v>
      </c>
      <c r="BV13" s="3"/>
      <c r="BW13" s="2"/>
      <c r="BX13" s="2"/>
    </row>
    <row r="14" spans="2:76" x14ac:dyDescent="0.3">
      <c r="B14" s="771"/>
      <c r="C14" s="326" t="s">
        <v>18</v>
      </c>
      <c r="D14" s="223">
        <v>231.5</v>
      </c>
      <c r="E14" s="283">
        <v>201.9</v>
      </c>
      <c r="F14" s="283">
        <v>207.4</v>
      </c>
      <c r="G14" s="283">
        <v>315</v>
      </c>
      <c r="H14" s="283">
        <v>408.6</v>
      </c>
      <c r="I14" s="283">
        <v>454.7</v>
      </c>
      <c r="J14" s="283">
        <v>355.1</v>
      </c>
      <c r="K14" s="283">
        <v>463.9</v>
      </c>
      <c r="L14" s="283">
        <v>425.5</v>
      </c>
      <c r="M14" s="283">
        <v>337.5</v>
      </c>
      <c r="N14" s="63">
        <v>236.1</v>
      </c>
      <c r="O14" s="63">
        <v>322.10000000000002</v>
      </c>
      <c r="P14" s="63">
        <v>459.1</v>
      </c>
      <c r="Q14" s="283">
        <v>465.6</v>
      </c>
      <c r="R14" s="63">
        <v>354.9</v>
      </c>
      <c r="S14" s="63">
        <v>403.7</v>
      </c>
      <c r="T14" s="63">
        <v>435.8</v>
      </c>
      <c r="U14" s="63">
        <v>438</v>
      </c>
      <c r="V14" s="283">
        <v>333.7</v>
      </c>
      <c r="W14" s="283">
        <v>348.8</v>
      </c>
      <c r="X14" s="63">
        <v>189.1</v>
      </c>
      <c r="Y14" s="63">
        <v>422.3</v>
      </c>
      <c r="Z14" s="15">
        <v>438.2</v>
      </c>
      <c r="AA14" s="18">
        <v>95.8</v>
      </c>
      <c r="AB14" s="323">
        <v>182.5</v>
      </c>
      <c r="AC14" s="221">
        <v>320.89999999999998</v>
      </c>
      <c r="AD14" s="15"/>
      <c r="AE14" s="15"/>
      <c r="AF14" s="15"/>
      <c r="AG14" s="15"/>
      <c r="AH14" s="506"/>
      <c r="AI14" s="335">
        <f t="shared" si="0"/>
        <v>8847.7000000000007</v>
      </c>
      <c r="AJ14" s="118">
        <v>100</v>
      </c>
      <c r="AK14" s="121">
        <f>F14/(AJ14*432)</f>
        <v>4.8009259259259264E-3</v>
      </c>
      <c r="AL14" s="67">
        <f>IF(OR(D14="",D14="Sem monitoramento"),"VAZIO",IFERROR(D14/($AJ14*24),"-"))</f>
        <v>9.6458333333333326E-2</v>
      </c>
      <c r="AM14" s="68">
        <f t="shared" si="16"/>
        <v>8.4125000000000005E-2</v>
      </c>
      <c r="AN14" s="68">
        <f t="shared" si="16"/>
        <v>8.6416666666666669E-2</v>
      </c>
      <c r="AO14" s="68">
        <f>IF(OR(G14="",G14="Sem monitoramento"),"VAZIO",IFERROR(G14/($AJ14*24),"-"))</f>
        <v>0.13125000000000001</v>
      </c>
      <c r="AP14" s="68">
        <f t="shared" si="15"/>
        <v>0.17025000000000001</v>
      </c>
      <c r="AQ14" s="68">
        <f>IF(OR(I14="",I14="Sem monitoramento"),"VAZIO",IFERROR(I14/($AJ14*24),"-"))</f>
        <v>0.18945833333333334</v>
      </c>
      <c r="AR14" s="68">
        <f>IF(OR(J14="",J14="Sem monitoramento"),"VAZIO",IFERROR(J14/($AJ14*24),"-"))</f>
        <v>0.14795833333333333</v>
      </c>
      <c r="AS14" s="68">
        <f t="shared" si="20"/>
        <v>0.19329166666666667</v>
      </c>
      <c r="AT14" s="68">
        <f t="shared" si="20"/>
        <v>0.17729166666666665</v>
      </c>
      <c r="AU14" s="68">
        <f>IF(OR(M14="",M14="Sem monitoramento"),"VAZIO",IFERROR(M14/($AJ14*24),"-"))</f>
        <v>0.140625</v>
      </c>
      <c r="AV14" s="68">
        <f t="shared" si="21"/>
        <v>9.8375000000000004E-2</v>
      </c>
      <c r="AW14" s="68">
        <f t="shared" si="21"/>
        <v>0.13420833333333335</v>
      </c>
      <c r="AX14" s="68">
        <f t="shared" si="21"/>
        <v>0.19129166666666667</v>
      </c>
      <c r="AY14" s="68">
        <f t="shared" si="18"/>
        <v>0.19400000000000001</v>
      </c>
      <c r="AZ14" s="68">
        <f t="shared" si="18"/>
        <v>0.14787499999999998</v>
      </c>
      <c r="BA14" s="68">
        <f t="shared" si="18"/>
        <v>0.16820833333333332</v>
      </c>
      <c r="BB14" s="68">
        <f t="shared" si="18"/>
        <v>0.18158333333333335</v>
      </c>
      <c r="BC14" s="68">
        <f t="shared" si="22"/>
        <v>0.1825</v>
      </c>
      <c r="BD14" s="68">
        <f t="shared" si="22"/>
        <v>0.13904166666666667</v>
      </c>
      <c r="BE14" s="68">
        <f>IF(OR(W14="",W14="Sem monitoramento"),"VAZIO",IFERROR(W14/($AJ14*24),"-"))</f>
        <v>0.14533333333333334</v>
      </c>
      <c r="BF14" s="68">
        <f>IF(OR(X14="",X14="Sem monitoramento"),"VAZIO",IFERROR(X14/($AJ14*24),"-"))</f>
        <v>7.8791666666666663E-2</v>
      </c>
      <c r="BG14" s="68">
        <f>IF(OR(Y14="",Y14="Sem monitoramento"),"VAZIO",IFERROR(Y14/($AJ14*24),"-"))</f>
        <v>0.17595833333333333</v>
      </c>
      <c r="BH14" s="68">
        <f t="shared" si="23"/>
        <v>0.18258333333333332</v>
      </c>
      <c r="BI14" s="68">
        <f t="shared" si="23"/>
        <v>3.9916666666666663E-2</v>
      </c>
      <c r="BJ14" s="68">
        <f t="shared" si="23"/>
        <v>7.604166666666666E-2</v>
      </c>
      <c r="BK14" s="68">
        <f>IF(OR(AC14="",AC14="Sem monitoramento"),"VAZIO",IFERROR(AC14/($AJ14*24),"-"))</f>
        <v>0.13370833333333332</v>
      </c>
      <c r="BL14" s="68" t="str">
        <f t="shared" si="12"/>
        <v>VAZIO</v>
      </c>
      <c r="BM14" s="68" t="str">
        <f t="shared" si="13"/>
        <v>VAZIO</v>
      </c>
      <c r="BN14" s="68" t="str">
        <f t="shared" si="14"/>
        <v>VAZIO</v>
      </c>
      <c r="BO14" s="68" t="str">
        <f>IF(OR(AG14="",AG14="Sem monitoramento"),"VAZIO",IFERROR(AG14/($AJ14*24),"-"))</f>
        <v>VAZIO</v>
      </c>
      <c r="BP14" s="70">
        <f t="shared" si="6"/>
        <v>0.14179006410256412</v>
      </c>
      <c r="BQ14" s="198">
        <f>$BQ$20</f>
        <v>0.168125</v>
      </c>
      <c r="BR14" s="72">
        <f t="shared" si="24"/>
        <v>16.8125</v>
      </c>
      <c r="BS14" s="73">
        <f t="shared" si="25"/>
        <v>-8.1708333333333327E-2</v>
      </c>
      <c r="BT14" s="74">
        <f t="shared" si="9"/>
        <v>-2.6334935897435879E-2</v>
      </c>
      <c r="BU14" s="15" t="s">
        <v>18</v>
      </c>
      <c r="BV14" s="3"/>
      <c r="BW14" s="2"/>
      <c r="BX14" s="2"/>
    </row>
    <row r="15" spans="2:76" x14ac:dyDescent="0.3">
      <c r="B15" s="771"/>
      <c r="C15" s="326" t="s">
        <v>110</v>
      </c>
      <c r="D15" s="62">
        <v>54.4</v>
      </c>
      <c r="E15" s="63">
        <v>47.1</v>
      </c>
      <c r="F15" s="63">
        <v>49.1</v>
      </c>
      <c r="G15" s="63">
        <v>74.900000000000006</v>
      </c>
      <c r="H15" s="63">
        <v>94.5</v>
      </c>
      <c r="I15" s="283">
        <v>103.1</v>
      </c>
      <c r="J15" s="283">
        <v>80.400000000000006</v>
      </c>
      <c r="K15" s="283">
        <v>105.2</v>
      </c>
      <c r="L15" s="283">
        <v>95</v>
      </c>
      <c r="M15" s="283">
        <v>77.3</v>
      </c>
      <c r="N15" s="283">
        <v>53.3</v>
      </c>
      <c r="O15" s="283">
        <v>73.2</v>
      </c>
      <c r="P15" s="283">
        <v>102.2</v>
      </c>
      <c r="Q15" s="283">
        <v>103.9</v>
      </c>
      <c r="R15" s="283">
        <v>81.400000000000006</v>
      </c>
      <c r="S15" s="283">
        <v>92</v>
      </c>
      <c r="T15" s="283">
        <v>94.6</v>
      </c>
      <c r="U15" s="283">
        <v>95.2</v>
      </c>
      <c r="V15" s="283">
        <v>84.7</v>
      </c>
      <c r="W15" s="283">
        <v>79.599999999999994</v>
      </c>
      <c r="X15" s="63">
        <v>43.4</v>
      </c>
      <c r="Y15" s="63">
        <v>93.4</v>
      </c>
      <c r="Z15" s="15">
        <v>97.6</v>
      </c>
      <c r="AA15" s="18">
        <v>21.9</v>
      </c>
      <c r="AB15" s="323">
        <v>26</v>
      </c>
      <c r="AC15" s="221">
        <v>60.6</v>
      </c>
      <c r="AD15" s="221"/>
      <c r="AE15" s="15"/>
      <c r="AF15" s="15"/>
      <c r="AG15" s="15"/>
      <c r="AH15" s="506"/>
      <c r="AI15" s="335">
        <f t="shared" si="0"/>
        <v>1984.0000000000002</v>
      </c>
      <c r="AJ15" s="118">
        <v>29</v>
      </c>
      <c r="AK15" s="121">
        <f>F15/(AJ15*432)</f>
        <v>3.9192209450830138E-3</v>
      </c>
      <c r="AL15" s="67">
        <f>IF(OR(D15="",D15="Sem monitoramento"),"VAZIO",IFERROR(D15/($AJ15*24),"-"))</f>
        <v>7.8160919540229884E-2</v>
      </c>
      <c r="AM15" s="68">
        <f t="shared" si="16"/>
        <v>6.7672413793103445E-2</v>
      </c>
      <c r="AN15" s="68">
        <f t="shared" si="16"/>
        <v>7.054597701149426E-2</v>
      </c>
      <c r="AO15" s="68">
        <f>IF(OR(G15="",G15="Sem monitoramento"),"VAZIO",IFERROR(G15/($AJ15*24),"-"))</f>
        <v>0.10761494252873564</v>
      </c>
      <c r="AP15" s="68">
        <f t="shared" si="15"/>
        <v>0.13577586206896552</v>
      </c>
      <c r="AQ15" s="68">
        <f>IF(OR(I15="",I15="Sem monitoramento"),"VAZIO",IFERROR(I15/($AJ15*24),"-"))</f>
        <v>0.14813218390804597</v>
      </c>
      <c r="AR15" s="68">
        <f>IF(OR(J15="",J15="Sem monitoramento"),"VAZIO",IFERROR(J15/($AJ15*24),"-"))</f>
        <v>0.11551724137931035</v>
      </c>
      <c r="AS15" s="68">
        <f t="shared" si="20"/>
        <v>0.15114942528735634</v>
      </c>
      <c r="AT15" s="68">
        <f t="shared" si="20"/>
        <v>0.13649425287356323</v>
      </c>
      <c r="AU15" s="68">
        <f>IF(OR(M15="",M15="Sem monitoramento"),"VAZIO",IFERROR(M15/($AJ15*24),"-"))</f>
        <v>0.11106321839080459</v>
      </c>
      <c r="AV15" s="68">
        <f t="shared" si="21"/>
        <v>7.6580459770114934E-2</v>
      </c>
      <c r="AW15" s="68">
        <f t="shared" si="21"/>
        <v>0.10517241379310345</v>
      </c>
      <c r="AX15" s="68">
        <f t="shared" si="21"/>
        <v>0.14683908045977012</v>
      </c>
      <c r="AY15" s="68">
        <f t="shared" si="18"/>
        <v>0.14928160919540231</v>
      </c>
      <c r="AZ15" s="68">
        <f t="shared" si="18"/>
        <v>0.11695402298850575</v>
      </c>
      <c r="BA15" s="68">
        <f t="shared" si="18"/>
        <v>0.13218390804597702</v>
      </c>
      <c r="BB15" s="68">
        <f t="shared" si="18"/>
        <v>0.13591954022988506</v>
      </c>
      <c r="BC15" s="68">
        <f t="shared" si="22"/>
        <v>0.1367816091954023</v>
      </c>
      <c r="BD15" s="68">
        <f t="shared" si="22"/>
        <v>0.12169540229885058</v>
      </c>
      <c r="BE15" s="68">
        <f>IF(OR(W15="",W15="Sem monitoramento"),"VAZIO",IFERROR(W15/($AJ15*24),"-"))</f>
        <v>0.11436781609195401</v>
      </c>
      <c r="BF15" s="68">
        <f>IF(OR(X15="",X15="Sem monitoramento"),"VAZIO",IFERROR(X15/($AJ15*24),"-"))</f>
        <v>6.2356321839080457E-2</v>
      </c>
      <c r="BG15" s="68">
        <f>IF(OR(Y17="",Y17="Sem monitoramento"),"VAZIO",IFERROR(Y17/($AJ15*24),"-"))</f>
        <v>0.65977011494252868</v>
      </c>
      <c r="BH15" s="68">
        <f>IF(OR(Z17="",Z17="Sem monitoramento"),"VAZIO",IFERROR(Z17/($AJ15*24),"-"))</f>
        <v>0.60028735632183905</v>
      </c>
      <c r="BI15" s="68">
        <f>IF(OR(AA15="",AA15="Sem monitoramento"),"VAZIO",IFERROR(AA15/($AJ15*24),"-"))</f>
        <v>3.1465517241379311E-2</v>
      </c>
      <c r="BJ15" s="68">
        <f>IF(OR(AB15="",AB15="Sem monitoramento"),"VAZIO",IFERROR(AB15/($AJ15*24),"-"))</f>
        <v>3.7356321839080463E-2</v>
      </c>
      <c r="BK15" s="68">
        <f>IF(OR(AC15="",AC15="Sem monitoramento"),"VAZIO",IFERROR(AC15/($AJ15*24),"-"))</f>
        <v>8.7068965517241387E-2</v>
      </c>
      <c r="BL15" s="68" t="str">
        <f t="shared" si="12"/>
        <v>VAZIO</v>
      </c>
      <c r="BM15" s="68" t="str">
        <f t="shared" si="13"/>
        <v>VAZIO</v>
      </c>
      <c r="BN15" s="68" t="str">
        <f t="shared" si="14"/>
        <v>VAZIO</v>
      </c>
      <c r="BO15" s="68" t="str">
        <f>IF(OR(AG15="",AG15="Sem monitoramento"),"VAZIO",IFERROR(AG15/($AJ15*24),"-"))</f>
        <v>VAZIO</v>
      </c>
      <c r="BP15" s="70">
        <f t="shared" si="6"/>
        <v>0.10963748894783379</v>
      </c>
      <c r="BQ15" s="180">
        <f>'FCs estimados em PVsyst'!Y13</f>
        <v>0.1850095785440613</v>
      </c>
      <c r="BR15" s="72">
        <f t="shared" si="24"/>
        <v>5.365277777777778</v>
      </c>
      <c r="BS15" s="73">
        <f t="shared" si="25"/>
        <v>-0.11446360153256704</v>
      </c>
      <c r="BT15" s="74">
        <f t="shared" si="9"/>
        <v>-7.5372089596227515E-2</v>
      </c>
      <c r="BU15" s="15" t="s">
        <v>110</v>
      </c>
      <c r="BV15" s="3"/>
      <c r="BW15" s="2"/>
      <c r="BX15" s="2"/>
    </row>
    <row r="16" spans="2:76" x14ac:dyDescent="0.3">
      <c r="B16" s="771"/>
      <c r="C16" s="326" t="s">
        <v>20</v>
      </c>
      <c r="D16" s="62">
        <v>222.2</v>
      </c>
      <c r="E16" s="63">
        <v>162.80000000000001</v>
      </c>
      <c r="F16" s="63">
        <v>156.30000000000001</v>
      </c>
      <c r="G16" s="63">
        <v>222.2</v>
      </c>
      <c r="H16" s="63">
        <v>490.7</v>
      </c>
      <c r="I16" s="283">
        <v>498.3</v>
      </c>
      <c r="J16" s="283">
        <v>418.9</v>
      </c>
      <c r="K16" s="283">
        <v>484.5</v>
      </c>
      <c r="L16" s="283">
        <v>401.1</v>
      </c>
      <c r="M16" s="283">
        <v>275.8</v>
      </c>
      <c r="N16" s="283">
        <v>217.9</v>
      </c>
      <c r="O16" s="283">
        <v>399.9</v>
      </c>
      <c r="P16" s="283">
        <v>433.1</v>
      </c>
      <c r="Q16" s="283">
        <v>486.3</v>
      </c>
      <c r="R16" s="283">
        <v>495.6</v>
      </c>
      <c r="S16" s="283">
        <v>491.4</v>
      </c>
      <c r="T16" s="283">
        <v>468.6</v>
      </c>
      <c r="U16" s="283">
        <v>458.8</v>
      </c>
      <c r="V16" s="283">
        <v>414.6</v>
      </c>
      <c r="W16" s="283">
        <v>393.6</v>
      </c>
      <c r="X16" s="63">
        <v>197.5</v>
      </c>
      <c r="Y16" s="63">
        <v>432.5</v>
      </c>
      <c r="Z16" s="31">
        <v>454.5</v>
      </c>
      <c r="AA16" s="18">
        <v>84.8</v>
      </c>
      <c r="AB16" s="323">
        <v>183.6</v>
      </c>
      <c r="AC16" s="221">
        <v>457</v>
      </c>
      <c r="AD16" s="221"/>
      <c r="AE16" s="15"/>
      <c r="AF16" s="15"/>
      <c r="AG16" s="15"/>
      <c r="AH16" s="506"/>
      <c r="AI16" s="335">
        <f t="shared" si="0"/>
        <v>9402.5000000000018</v>
      </c>
      <c r="AJ16" s="118"/>
      <c r="AK16" s="121"/>
      <c r="AL16" s="67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70"/>
      <c r="BQ16" s="180"/>
      <c r="BR16" s="72"/>
      <c r="BS16" s="73"/>
      <c r="BT16" s="74"/>
      <c r="BU16" s="15"/>
      <c r="BV16" s="3"/>
      <c r="BW16" s="2"/>
      <c r="BX16" s="2"/>
    </row>
    <row r="17" spans="2:76" x14ac:dyDescent="0.3">
      <c r="B17" s="774"/>
      <c r="C17" s="722" t="s">
        <v>1078</v>
      </c>
      <c r="D17" s="62">
        <v>278.60000000000002</v>
      </c>
      <c r="E17" s="283">
        <v>200.4</v>
      </c>
      <c r="F17" s="283">
        <v>194.8</v>
      </c>
      <c r="G17" s="283">
        <v>259.39999999999998</v>
      </c>
      <c r="H17" s="63">
        <v>466.9</v>
      </c>
      <c r="I17" s="63">
        <v>414.5</v>
      </c>
      <c r="J17" s="283">
        <v>471.9</v>
      </c>
      <c r="K17" s="283">
        <v>443.1</v>
      </c>
      <c r="L17" s="63">
        <v>462.3</v>
      </c>
      <c r="M17" s="63">
        <v>343.3</v>
      </c>
      <c r="N17" s="63">
        <v>257.2</v>
      </c>
      <c r="O17" s="63">
        <v>355.9</v>
      </c>
      <c r="P17" s="283">
        <v>489.93</v>
      </c>
      <c r="Q17" s="283">
        <v>496.4</v>
      </c>
      <c r="R17" s="283">
        <v>486.6</v>
      </c>
      <c r="S17" s="283">
        <v>477.1</v>
      </c>
      <c r="T17" s="141">
        <v>459.4</v>
      </c>
      <c r="U17" s="283">
        <v>449.9</v>
      </c>
      <c r="V17" s="283">
        <v>403.5</v>
      </c>
      <c r="W17" s="283">
        <v>453</v>
      </c>
      <c r="X17" s="63">
        <v>228.5</v>
      </c>
      <c r="Y17" s="63">
        <v>459.2</v>
      </c>
      <c r="Z17" s="15">
        <v>417.8</v>
      </c>
      <c r="AA17" s="61">
        <v>103.7</v>
      </c>
      <c r="AB17" s="323">
        <v>186.9</v>
      </c>
      <c r="AC17" s="15">
        <v>458.2</v>
      </c>
      <c r="AD17" s="15"/>
      <c r="AE17" s="15"/>
      <c r="AF17" s="15"/>
      <c r="AG17" s="221"/>
      <c r="AH17" s="729"/>
      <c r="AI17" s="335">
        <f t="shared" si="0"/>
        <v>9718.43</v>
      </c>
      <c r="AJ17" s="118">
        <v>100</v>
      </c>
      <c r="AK17" s="121">
        <f t="shared" ref="AK17:AK31" si="26">F17/(AJ17*432)</f>
        <v>4.5092592592592597E-3</v>
      </c>
      <c r="AL17" s="67">
        <f t="shared" ref="AL17:BA17" si="27">IF(OR(D17="",D17="Sem monitoramento"),"VAZIO",IFERROR(D17/($AJ17*24),"-"))</f>
        <v>0.11608333333333334</v>
      </c>
      <c r="AM17" s="68">
        <f t="shared" si="27"/>
        <v>8.3500000000000005E-2</v>
      </c>
      <c r="AN17" s="68">
        <f t="shared" si="27"/>
        <v>8.1166666666666665E-2</v>
      </c>
      <c r="AO17" s="68">
        <f t="shared" si="27"/>
        <v>0.10808333333333332</v>
      </c>
      <c r="AP17" s="68">
        <f t="shared" si="27"/>
        <v>0.19454166666666667</v>
      </c>
      <c r="AQ17" s="68">
        <f t="shared" si="27"/>
        <v>0.17270833333333332</v>
      </c>
      <c r="AR17" s="68">
        <f t="shared" si="27"/>
        <v>0.19662499999999999</v>
      </c>
      <c r="AS17" s="68">
        <f t="shared" si="27"/>
        <v>0.18462500000000001</v>
      </c>
      <c r="AT17" s="68">
        <f t="shared" si="27"/>
        <v>0.19262500000000002</v>
      </c>
      <c r="AU17" s="68">
        <f t="shared" si="27"/>
        <v>0.14304166666666668</v>
      </c>
      <c r="AV17" s="68">
        <f t="shared" si="27"/>
        <v>0.10716666666666666</v>
      </c>
      <c r="AW17" s="68">
        <f t="shared" si="27"/>
        <v>0.14829166666666665</v>
      </c>
      <c r="AX17" s="68">
        <f t="shared" si="27"/>
        <v>0.2041375</v>
      </c>
      <c r="AY17" s="68">
        <f t="shared" si="27"/>
        <v>0.20683333333333331</v>
      </c>
      <c r="AZ17" s="68">
        <f t="shared" si="27"/>
        <v>0.20275000000000001</v>
      </c>
      <c r="BA17" s="68">
        <f t="shared" si="27"/>
        <v>0.19879166666666667</v>
      </c>
      <c r="BB17" s="68">
        <f>IF(OR(T14="",T14="Sem monitoramento"),"VAZIO",IFERROR(T14/($AJ17*24),"-"))</f>
        <v>0.18158333333333335</v>
      </c>
      <c r="BC17" s="68">
        <f t="shared" ref="BC17:BF19" si="28">IF(OR(U17="",U17="Sem monitoramento"),"VAZIO",IFERROR(U17/($AJ17*24),"-"))</f>
        <v>0.18745833333333331</v>
      </c>
      <c r="BD17" s="68">
        <f t="shared" si="28"/>
        <v>0.168125</v>
      </c>
      <c r="BE17" s="68">
        <f t="shared" si="28"/>
        <v>0.18875</v>
      </c>
      <c r="BF17" s="68">
        <f t="shared" si="28"/>
        <v>9.5208333333333339E-2</v>
      </c>
      <c r="BG17" s="68" t="e">
        <f>IF(OR(#REF!="",#REF!="Sem monitoramento"),"VAZIO",IFERROR(#REF!/($AJ17*24),"-"))</f>
        <v>#REF!</v>
      </c>
      <c r="BH17" s="68" t="e">
        <f>IF(OR(#REF!="",#REF!="Sem monitoramento"),"VAZIO",IFERROR(#REF!/($AJ17*24),"-"))</f>
        <v>#REF!</v>
      </c>
      <c r="BI17" s="68">
        <f t="shared" ref="BI17:BO17" si="29">IF(OR(AA17="",AA17="Sem monitoramento"),"VAZIO",IFERROR(AA17/($AJ17*24),"-"))</f>
        <v>4.3208333333333335E-2</v>
      </c>
      <c r="BJ17" s="68">
        <f t="shared" si="29"/>
        <v>7.7875E-2</v>
      </c>
      <c r="BK17" s="68">
        <f t="shared" si="29"/>
        <v>0.19091666666666665</v>
      </c>
      <c r="BL17" s="68" t="str">
        <f t="shared" si="29"/>
        <v>VAZIO</v>
      </c>
      <c r="BM17" s="68" t="str">
        <f t="shared" si="29"/>
        <v>VAZIO</v>
      </c>
      <c r="BN17" s="68" t="str">
        <f t="shared" si="29"/>
        <v>VAZIO</v>
      </c>
      <c r="BO17" s="68" t="str">
        <f t="shared" si="29"/>
        <v>VAZIO</v>
      </c>
      <c r="BP17" s="70">
        <f t="shared" ref="BP17:BP32" si="30">AI17/(AJ17*(COUNTA(D17:AG17)*24))</f>
        <v>0.15574407051282052</v>
      </c>
      <c r="BQ17" s="180">
        <f>'FCs estimados em PVsyst'!Y14</f>
        <v>0.16425000000000001</v>
      </c>
      <c r="BR17" s="72">
        <f t="shared" si="24"/>
        <v>16.425000000000001</v>
      </c>
      <c r="BS17" s="73">
        <f t="shared" si="25"/>
        <v>-8.3083333333333342E-2</v>
      </c>
      <c r="BT17" s="74">
        <f t="shared" si="9"/>
        <v>-8.5059294871794866E-3</v>
      </c>
      <c r="BU17" s="15" t="s">
        <v>20</v>
      </c>
      <c r="BV17" s="3"/>
      <c r="BW17" s="2"/>
      <c r="BX17" s="2"/>
    </row>
    <row r="18" spans="2:76" x14ac:dyDescent="0.3">
      <c r="B18" s="775" t="s">
        <v>21</v>
      </c>
      <c r="C18" s="326" t="s">
        <v>22</v>
      </c>
      <c r="D18" s="223">
        <v>428.7</v>
      </c>
      <c r="E18" s="63">
        <v>217.2</v>
      </c>
      <c r="F18" s="308">
        <v>309.3</v>
      </c>
      <c r="G18" s="283">
        <v>244.1</v>
      </c>
      <c r="H18" s="283">
        <v>490.9</v>
      </c>
      <c r="I18" s="82">
        <v>490.3</v>
      </c>
      <c r="J18" s="82">
        <v>460.4</v>
      </c>
      <c r="K18" s="63">
        <v>499.1</v>
      </c>
      <c r="L18" s="63">
        <v>479.7</v>
      </c>
      <c r="M18" s="63">
        <v>404.4</v>
      </c>
      <c r="N18" s="480">
        <v>307.7</v>
      </c>
      <c r="O18" s="283">
        <v>319</v>
      </c>
      <c r="P18" s="519">
        <v>497.8</v>
      </c>
      <c r="Q18" s="283">
        <v>504.4</v>
      </c>
      <c r="R18" s="63">
        <v>498.4</v>
      </c>
      <c r="S18" s="283">
        <v>480.6</v>
      </c>
      <c r="T18" s="63">
        <v>479.3</v>
      </c>
      <c r="U18" s="63">
        <v>455.2</v>
      </c>
      <c r="V18" s="63">
        <v>431.5</v>
      </c>
      <c r="W18" s="283">
        <v>469.9</v>
      </c>
      <c r="X18" s="283">
        <v>240.4</v>
      </c>
      <c r="Y18" s="519">
        <v>469.6</v>
      </c>
      <c r="Z18" s="15">
        <v>471.4</v>
      </c>
      <c r="AA18" s="18">
        <v>183.5</v>
      </c>
      <c r="AB18" s="20">
        <v>205.8</v>
      </c>
      <c r="AC18" s="221">
        <v>404.3</v>
      </c>
      <c r="AD18" s="354"/>
      <c r="AE18" s="15"/>
      <c r="AF18" s="354"/>
      <c r="AG18" s="15"/>
      <c r="AH18" s="506"/>
      <c r="AI18" s="335">
        <f t="shared" si="0"/>
        <v>10442.899999999998</v>
      </c>
      <c r="AJ18" s="118">
        <v>100</v>
      </c>
      <c r="AK18" s="122">
        <f t="shared" si="26"/>
        <v>7.1597222222222227E-3</v>
      </c>
      <c r="AL18" s="67">
        <f t="shared" ref="AL18:AR24" si="31">IF(OR(D18="",D18="Sem monitoramento"),"VAZIO",IFERROR(D18/($AJ18*24),"-"))</f>
        <v>0.17862500000000001</v>
      </c>
      <c r="AM18" s="68">
        <f t="shared" si="31"/>
        <v>9.0499999999999997E-2</v>
      </c>
      <c r="AN18" s="68">
        <f t="shared" si="31"/>
        <v>0.12887500000000002</v>
      </c>
      <c r="AO18" s="68">
        <f t="shared" si="31"/>
        <v>0.10170833333333333</v>
      </c>
      <c r="AP18" s="68">
        <f t="shared" si="31"/>
        <v>0.20454166666666665</v>
      </c>
      <c r="AQ18" s="68">
        <f t="shared" si="31"/>
        <v>0.20429166666666668</v>
      </c>
      <c r="AR18" s="68">
        <f t="shared" si="31"/>
        <v>0.19183333333333333</v>
      </c>
      <c r="AS18" s="68" t="e">
        <f>IF(OR(#REF!="",#REF!="Sem monitoramento"),"VAZIO",IFERROR(#REF!/($AJ18*24),"-"))</f>
        <v>#REF!</v>
      </c>
      <c r="AT18" s="68" t="e">
        <f>IF(OR(#REF!="",#REF!="Sem monitoramento"),"VAZIO",IFERROR(#REF!/($AJ18*24),"-"))</f>
        <v>#REF!</v>
      </c>
      <c r="AU18" s="68">
        <f>IF(OR(M18="",M18="Sem monitoramento"),"VAZIO",IFERROR(M18/($AJ18*24),"-"))</f>
        <v>0.16849999999999998</v>
      </c>
      <c r="AV18" s="68">
        <f>IF(OR(N19="",N19="Sem monitoramento"),"VAZIO",IFERROR(N19/($AJ18*24),"-"))</f>
        <v>0.11887500000000001</v>
      </c>
      <c r="AW18" s="68">
        <f t="shared" ref="AW18:AW23" si="32">IF(OR(O18="",O18="Sem monitoramento"),"VAZIO",IFERROR(O18/($AJ18*24),"-"))</f>
        <v>0.13291666666666666</v>
      </c>
      <c r="AX18" s="68">
        <f>IF(OR(Q18="",Q18="Sem monitoramento"),"VAZIO",IFERROR(Q18/($AJ18*24),"-"))</f>
        <v>0.21016666666666667</v>
      </c>
      <c r="AY18" s="68" t="e">
        <f>IF(OR(#REF!="",#REF!="Sem monitoramento"),"VAZIO",IFERROR(#REF!/($AJ18*24),"-"))</f>
        <v>#REF!</v>
      </c>
      <c r="AZ18" s="68">
        <f>IF(OR(R18="",R18="Sem monitoramento"),"VAZIO",IFERROR(R18/($AJ18*24),"-"))</f>
        <v>0.20766666666666667</v>
      </c>
      <c r="BA18" s="68">
        <f>IF(OR(S18="",S18="Sem monitoramento"),"VAZIO",IFERROR(S18/($AJ18*24),"-"))</f>
        <v>0.20025000000000001</v>
      </c>
      <c r="BB18" s="68">
        <f>IF(OR(T18="",T18="Sem monitoramento"),"VAZIO",IFERROR(T18/($AJ18*24),"-"))</f>
        <v>0.19970833333333335</v>
      </c>
      <c r="BC18" s="68">
        <f t="shared" si="28"/>
        <v>0.18966666666666665</v>
      </c>
      <c r="BD18" s="68">
        <f t="shared" si="28"/>
        <v>0.17979166666666666</v>
      </c>
      <c r="BE18" s="68">
        <f t="shared" si="28"/>
        <v>0.19579166666666667</v>
      </c>
      <c r="BF18" s="68">
        <f t="shared" si="28"/>
        <v>0.10016666666666667</v>
      </c>
      <c r="BG18" s="68" t="e">
        <f>IF(OR(#REF!="",#REF!="Sem monitoramento"),"VAZIO",IFERROR(#REF!/($AJ18*24),"-"))</f>
        <v>#REF!</v>
      </c>
      <c r="BH18" s="68">
        <f t="shared" ref="BH18:BI25" si="33">IF(OR(Z18="",Z18="Sem monitoramento"),"VAZIO",IFERROR(Z18/($AJ18*24),"-"))</f>
        <v>0.19641666666666666</v>
      </c>
      <c r="BI18" s="68">
        <f t="shared" si="33"/>
        <v>7.6458333333333336E-2</v>
      </c>
      <c r="BJ18" s="68" t="e">
        <f>IF(OR(#REF!="",#REF!="Sem monitoramento"),"VAZIO",IFERROR(#REF!/($AJ18*24),"-"))</f>
        <v>#REF!</v>
      </c>
      <c r="BK18" s="68">
        <f t="shared" ref="BK18:BO20" si="34">IF(OR(AC18="",AC18="Sem monitoramento"),"VAZIO",IFERROR(AC18/($AJ18*24),"-"))</f>
        <v>0.16845833333333335</v>
      </c>
      <c r="BL18" s="68" t="str">
        <f t="shared" si="34"/>
        <v>VAZIO</v>
      </c>
      <c r="BM18" s="68" t="str">
        <f t="shared" si="34"/>
        <v>VAZIO</v>
      </c>
      <c r="BN18" s="68" t="str">
        <f t="shared" si="34"/>
        <v>VAZIO</v>
      </c>
      <c r="BO18" s="68" t="str">
        <f t="shared" si="34"/>
        <v>VAZIO</v>
      </c>
      <c r="BP18" s="70">
        <f t="shared" si="30"/>
        <v>0.16735416666666664</v>
      </c>
      <c r="BQ18" s="198">
        <f>$BQ$20</f>
        <v>0.168125</v>
      </c>
      <c r="BR18" s="90">
        <f t="shared" si="24"/>
        <v>16.8125</v>
      </c>
      <c r="BS18" s="73">
        <f t="shared" si="25"/>
        <v>-3.9249999999999979E-2</v>
      </c>
      <c r="BT18" s="74">
        <f t="shared" si="9"/>
        <v>-7.7083333333335946E-4</v>
      </c>
      <c r="BU18" s="15" t="s">
        <v>22</v>
      </c>
      <c r="BV18" s="3"/>
      <c r="BW18" s="2"/>
      <c r="BX18" s="2"/>
    </row>
    <row r="19" spans="2:76" x14ac:dyDescent="0.3">
      <c r="B19" s="775"/>
      <c r="C19" s="326" t="s">
        <v>23</v>
      </c>
      <c r="D19" s="223">
        <v>429.9</v>
      </c>
      <c r="E19" s="63">
        <v>217.1</v>
      </c>
      <c r="F19" s="308">
        <v>283.60000000000002</v>
      </c>
      <c r="G19" s="283">
        <v>240.8</v>
      </c>
      <c r="H19" s="63">
        <v>474.1</v>
      </c>
      <c r="I19" s="63">
        <v>467.6</v>
      </c>
      <c r="J19" s="63">
        <v>435.3</v>
      </c>
      <c r="K19" s="316">
        <v>476.6</v>
      </c>
      <c r="L19" s="316">
        <v>459.5</v>
      </c>
      <c r="M19" s="316">
        <v>384</v>
      </c>
      <c r="N19" s="283">
        <v>285.3</v>
      </c>
      <c r="O19" s="283">
        <v>308.10000000000002</v>
      </c>
      <c r="P19" s="519">
        <v>479.5</v>
      </c>
      <c r="Q19" s="283">
        <v>484.1</v>
      </c>
      <c r="R19" s="63">
        <v>477.8</v>
      </c>
      <c r="S19" s="283">
        <v>468.8</v>
      </c>
      <c r="T19" s="63">
        <v>457.6</v>
      </c>
      <c r="U19" s="283">
        <v>435</v>
      </c>
      <c r="V19" s="283">
        <v>431.2</v>
      </c>
      <c r="W19" s="283">
        <v>461.7</v>
      </c>
      <c r="X19" s="283">
        <v>241.5</v>
      </c>
      <c r="Y19" s="283">
        <v>450</v>
      </c>
      <c r="Z19" s="221">
        <v>450</v>
      </c>
      <c r="AA19" s="18">
        <v>184.8</v>
      </c>
      <c r="AB19" s="628">
        <v>202.3</v>
      </c>
      <c r="AC19" s="221">
        <v>402.7</v>
      </c>
      <c r="AD19" s="354"/>
      <c r="AE19" s="15"/>
      <c r="AF19" s="354"/>
      <c r="AG19" s="15"/>
      <c r="AH19" s="506"/>
      <c r="AI19" s="335">
        <f t="shared" si="0"/>
        <v>10088.900000000001</v>
      </c>
      <c r="AJ19" s="118">
        <v>100</v>
      </c>
      <c r="AK19" s="122">
        <f t="shared" si="26"/>
        <v>6.564814814814815E-3</v>
      </c>
      <c r="AL19" s="67">
        <f t="shared" si="31"/>
        <v>0.17912499999999998</v>
      </c>
      <c r="AM19" s="68">
        <f t="shared" si="31"/>
        <v>9.0458333333333335E-2</v>
      </c>
      <c r="AN19" s="68">
        <f t="shared" si="31"/>
        <v>0.11816666666666667</v>
      </c>
      <c r="AO19" s="68">
        <f t="shared" si="31"/>
        <v>0.10033333333333334</v>
      </c>
      <c r="AP19" s="68">
        <f t="shared" si="31"/>
        <v>0.19754166666666667</v>
      </c>
      <c r="AQ19" s="68">
        <f t="shared" si="31"/>
        <v>0.19483333333333333</v>
      </c>
      <c r="AR19" s="68">
        <f t="shared" si="31"/>
        <v>0.18137500000000001</v>
      </c>
      <c r="AS19" s="68">
        <f>IF(OR(K22="",K22="Sem monitoramento"),"VAZIO",IFERROR(K22/($AJ19*24),"-"))</f>
        <v>0.143875</v>
      </c>
      <c r="AT19" s="68">
        <f>IF(OR(L18="",L18="Sem monitoramento"),"VAZIO",IFERROR(L18/($AJ19*24),"-"))</f>
        <v>0.199875</v>
      </c>
      <c r="AU19" s="68">
        <f>IF(OR(M20="",M20="Sem monitoramento"),"VAZIO",IFERROR(M20/($AJ19*24),"-"))</f>
        <v>0.13116666666666668</v>
      </c>
      <c r="AV19" s="68" t="e">
        <f>IF(OR(#REF!="",#REF!="Sem monitoramento"),"VAZIO",IFERROR(#REF!/($AJ19*24),"-"))</f>
        <v>#REF!</v>
      </c>
      <c r="AW19" s="68">
        <f t="shared" si="32"/>
        <v>0.12837500000000002</v>
      </c>
      <c r="AX19" s="68">
        <f>IF(OR(Q19="",Q19="Sem monitoramento"),"VAZIO",IFERROR(Q19/($AJ19*24),"-"))</f>
        <v>0.20170833333333335</v>
      </c>
      <c r="AY19" s="68">
        <f>IF(OR(Q20="",Q20="Sem monitoramento"),"VAZIO",IFERROR(Q20/($AJ19*24),"-"))</f>
        <v>0.15895833333333334</v>
      </c>
      <c r="AZ19" s="68" t="e">
        <f>IF(OR(#REF!="",#REF!="Sem monitoramento"),"VAZIO",IFERROR(#REF!/($AJ19*24),"-"))</f>
        <v>#REF!</v>
      </c>
      <c r="BA19" s="68">
        <f>IF(OR(S19="",S19="Sem monitoramento"),"VAZIO",IFERROR(S19/($AJ19*24),"-"))</f>
        <v>0.19533333333333333</v>
      </c>
      <c r="BB19" s="68">
        <f>IF(OR(T19="",T19="Sem monitoramento"),"VAZIO",IFERROR(T19/($AJ19*24),"-"))</f>
        <v>0.19066666666666668</v>
      </c>
      <c r="BC19" s="68">
        <f t="shared" si="28"/>
        <v>0.18124999999999999</v>
      </c>
      <c r="BD19" s="68">
        <f t="shared" si="28"/>
        <v>0.17966666666666667</v>
      </c>
      <c r="BE19" s="68">
        <f t="shared" si="28"/>
        <v>0.19237499999999999</v>
      </c>
      <c r="BF19" s="68">
        <f t="shared" si="28"/>
        <v>0.10062500000000001</v>
      </c>
      <c r="BG19" s="68">
        <f>IF(OR(Y19="",Y19="Sem monitoramento"),"VAZIO",IFERROR(Y19/($AJ19*24),"-"))</f>
        <v>0.1875</v>
      </c>
      <c r="BH19" s="68">
        <f t="shared" si="33"/>
        <v>0.1875</v>
      </c>
      <c r="BI19" s="68">
        <f t="shared" si="33"/>
        <v>7.6999999999999999E-2</v>
      </c>
      <c r="BJ19" s="68">
        <f>IF(OR(AB18="",AB18="Sem monitoramento"),"VAZIO",IFERROR(AB18/($AJ19*24),"-"))</f>
        <v>8.5750000000000007E-2</v>
      </c>
      <c r="BK19" s="68">
        <f t="shared" si="34"/>
        <v>0.16779166666666667</v>
      </c>
      <c r="BL19" s="68" t="str">
        <f t="shared" si="34"/>
        <v>VAZIO</v>
      </c>
      <c r="BM19" s="68" t="str">
        <f t="shared" si="34"/>
        <v>VAZIO</v>
      </c>
      <c r="BN19" s="68" t="str">
        <f t="shared" si="34"/>
        <v>VAZIO</v>
      </c>
      <c r="BO19" s="68" t="str">
        <f t="shared" si="34"/>
        <v>VAZIO</v>
      </c>
      <c r="BP19" s="70">
        <f t="shared" si="30"/>
        <v>0.16168108974358977</v>
      </c>
      <c r="BQ19" s="198">
        <f>$BQ$20</f>
        <v>0.168125</v>
      </c>
      <c r="BR19" s="90">
        <f t="shared" si="24"/>
        <v>16.8125</v>
      </c>
      <c r="BS19" s="73">
        <f t="shared" si="25"/>
        <v>-4.9958333333333327E-2</v>
      </c>
      <c r="BT19" s="74">
        <f t="shared" si="9"/>
        <v>-6.4439102564102235E-3</v>
      </c>
      <c r="BU19" s="15" t="s">
        <v>23</v>
      </c>
      <c r="BV19" s="3"/>
      <c r="BW19" s="2"/>
      <c r="BX19" s="2"/>
    </row>
    <row r="20" spans="2:76" x14ac:dyDescent="0.3">
      <c r="B20" s="775"/>
      <c r="C20" s="326" t="s">
        <v>24</v>
      </c>
      <c r="D20" s="223">
        <v>269.2</v>
      </c>
      <c r="E20" s="63">
        <v>168.4</v>
      </c>
      <c r="F20" s="283">
        <v>222.2</v>
      </c>
      <c r="G20" s="283">
        <v>180.2</v>
      </c>
      <c r="H20" s="283">
        <v>383.7</v>
      </c>
      <c r="I20" s="63">
        <v>374.5</v>
      </c>
      <c r="J20" s="283">
        <v>314.10000000000002</v>
      </c>
      <c r="K20" s="63">
        <v>381.1</v>
      </c>
      <c r="L20" s="63">
        <v>368.1</v>
      </c>
      <c r="M20" s="283">
        <v>314.8</v>
      </c>
      <c r="N20" s="283">
        <v>226.2</v>
      </c>
      <c r="O20" s="283">
        <v>278.89999999999998</v>
      </c>
      <c r="P20" s="283">
        <v>370.4</v>
      </c>
      <c r="Q20" s="283">
        <v>381.5</v>
      </c>
      <c r="R20" s="63">
        <v>377.1</v>
      </c>
      <c r="S20" s="63">
        <v>344</v>
      </c>
      <c r="T20" s="63">
        <v>366.8</v>
      </c>
      <c r="U20" s="63">
        <v>349.8</v>
      </c>
      <c r="V20" s="283">
        <v>323.8</v>
      </c>
      <c r="W20" s="283">
        <v>356.5</v>
      </c>
      <c r="X20" s="316">
        <v>165.8</v>
      </c>
      <c r="Y20" s="283">
        <v>356.9</v>
      </c>
      <c r="Z20" s="63">
        <v>364.3</v>
      </c>
      <c r="AA20" s="18">
        <v>130.5</v>
      </c>
      <c r="AB20" s="323">
        <v>151.9</v>
      </c>
      <c r="AC20" s="15">
        <v>292.39999999999998</v>
      </c>
      <c r="AD20" s="283"/>
      <c r="AE20" s="221"/>
      <c r="AF20" s="15"/>
      <c r="AG20" s="15"/>
      <c r="AH20" s="506"/>
      <c r="AI20" s="335">
        <f t="shared" si="0"/>
        <v>7813.1</v>
      </c>
      <c r="AJ20" s="118">
        <v>80</v>
      </c>
      <c r="AK20" s="121">
        <f t="shared" si="26"/>
        <v>6.4293981481481476E-3</v>
      </c>
      <c r="AL20" s="67">
        <f t="shared" si="31"/>
        <v>0.14020833333333332</v>
      </c>
      <c r="AM20" s="68">
        <f t="shared" si="31"/>
        <v>8.7708333333333333E-2</v>
      </c>
      <c r="AN20" s="68">
        <f t="shared" si="31"/>
        <v>0.11572916666666666</v>
      </c>
      <c r="AO20" s="68">
        <f t="shared" si="31"/>
        <v>9.3854166666666655E-2</v>
      </c>
      <c r="AP20" s="68">
        <f t="shared" si="31"/>
        <v>0.19984374999999999</v>
      </c>
      <c r="AQ20" s="68">
        <f t="shared" si="31"/>
        <v>0.19505208333333332</v>
      </c>
      <c r="AR20" s="68">
        <f t="shared" si="31"/>
        <v>0.16359375000000001</v>
      </c>
      <c r="AS20" s="68">
        <f>IF(OR(K20="",K20="Sem monitoramento"),"VAZIO",IFERROR(K20/($AJ20*24),"-"))</f>
        <v>0.19848958333333336</v>
      </c>
      <c r="AT20" s="68">
        <f>IF(OR(L22="",L22="Sem monitoramento"),"VAZIO",IFERROR(L22/($AJ20*24),"-"))</f>
        <v>0.17744791666666665</v>
      </c>
      <c r="AU20" s="68" t="e">
        <f>IF(OR(#REF!="",#REF!="Sem monitoramento"),"VAZIO",IFERROR(#REF!/($AJ20*24),"-"))</f>
        <v>#REF!</v>
      </c>
      <c r="AV20" s="68">
        <f>IF(OR(N20="",N20="Sem monitoramento"),"VAZIO",IFERROR(N20/($AJ20*24),"-"))</f>
        <v>0.1178125</v>
      </c>
      <c r="AW20" s="68">
        <f t="shared" si="32"/>
        <v>0.14526041666666664</v>
      </c>
      <c r="AX20" s="68">
        <f t="shared" ref="AX20:AX32" si="35">IF(OR(P20="",P20="Sem monitoramento"),"VAZIO",IFERROR(P20/($AJ20*24),"-"))</f>
        <v>0.19291666666666665</v>
      </c>
      <c r="AY20" s="68" t="e">
        <f>IF(OR(#REF!="",#REF!="Sem monitoramento"),"VAZIO",IFERROR(#REF!/($AJ20*24),"-"))</f>
        <v>#REF!</v>
      </c>
      <c r="AZ20" s="68">
        <f>IF(OR(R20="",R20="Sem monitoramento"),"VAZIO",IFERROR(R20/($AJ20*24),"-"))</f>
        <v>0.19640625</v>
      </c>
      <c r="BA20" s="68">
        <f>IF(OR(S20="",S20="Sem monitoramento"),"VAZIO",IFERROR(S20/($AJ20*24),"-"))</f>
        <v>0.17916666666666667</v>
      </c>
      <c r="BB20" s="68">
        <f>IF(OR(T20="",T20="Sem monitoramento"),"VAZIO",IFERROR(T20/($AJ20*24),"-"))</f>
        <v>0.19104166666666667</v>
      </c>
      <c r="BC20" s="68">
        <f t="shared" ref="BC20:BC24" si="36">IF(OR(U20="",U20="Sem monitoramento"),"VAZIO",IFERROR(U20/($AJ20*24),"-"))</f>
        <v>0.1821875</v>
      </c>
      <c r="BD20" s="68" t="e">
        <f>IF(OR(#REF!="",#REF!="Sem monitoramento"),"VAZIO",IFERROR(#REF!/($AJ20*24),"-"))</f>
        <v>#REF!</v>
      </c>
      <c r="BE20" s="68">
        <f>IF(OR(W20="",W20="Sem monitoramento"),"VAZIO",IFERROR(W20/($AJ20*24),"-"))</f>
        <v>0.18567708333333333</v>
      </c>
      <c r="BF20" s="68">
        <f>IF(OR(X22="",X22="Sem monitoramento"),"VAZIO",IFERROR(X22/($AJ20*24),"-"))</f>
        <v>7.3385416666666675E-2</v>
      </c>
      <c r="BG20" s="68" t="e">
        <f>IF(OR(#REF!="",#REF!="Sem monitoramento"),"VAZIO",IFERROR(#REF!/($AJ20*24),"-"))</f>
        <v>#REF!</v>
      </c>
      <c r="BH20" s="68">
        <f t="shared" si="33"/>
        <v>0.18973958333333335</v>
      </c>
      <c r="BI20" s="68">
        <f t="shared" si="33"/>
        <v>6.7968749999999994E-2</v>
      </c>
      <c r="BJ20" s="68">
        <f>IF(OR(AB20="",AB20="Sem monitoramento"),"VAZIO",IFERROR(AB20/($AJ20*24),"-"))</f>
        <v>7.9114583333333335E-2</v>
      </c>
      <c r="BK20" s="68">
        <f t="shared" si="34"/>
        <v>0.15229166666666666</v>
      </c>
      <c r="BL20" s="68" t="str">
        <f t="shared" si="34"/>
        <v>VAZIO</v>
      </c>
      <c r="BM20" s="68" t="str">
        <f t="shared" si="34"/>
        <v>VAZIO</v>
      </c>
      <c r="BN20" s="68" t="str">
        <f t="shared" si="34"/>
        <v>VAZIO</v>
      </c>
      <c r="BO20" s="68" t="str">
        <f t="shared" si="34"/>
        <v>VAZIO</v>
      </c>
      <c r="BP20" s="70">
        <f t="shared" si="30"/>
        <v>0.15651241987179487</v>
      </c>
      <c r="BQ20" s="180">
        <f>'FCs estimados em PVsyst'!Y17</f>
        <v>0.168125</v>
      </c>
      <c r="BR20" s="72">
        <f t="shared" si="24"/>
        <v>13.45</v>
      </c>
      <c r="BS20" s="73">
        <f t="shared" si="25"/>
        <v>-5.2395833333333336E-2</v>
      </c>
      <c r="BT20" s="74">
        <f t="shared" si="9"/>
        <v>-1.1612580128205124E-2</v>
      </c>
      <c r="BU20" s="15" t="s">
        <v>24</v>
      </c>
      <c r="BV20" s="3"/>
      <c r="BW20" s="2"/>
      <c r="BX20" s="2"/>
    </row>
    <row r="21" spans="2:76" x14ac:dyDescent="0.3">
      <c r="B21" s="775"/>
      <c r="C21" s="326" t="s">
        <v>25</v>
      </c>
      <c r="D21" s="223">
        <v>328.7</v>
      </c>
      <c r="E21" s="63">
        <v>219.3</v>
      </c>
      <c r="F21" s="283">
        <v>303.3</v>
      </c>
      <c r="G21" s="63">
        <v>303.3</v>
      </c>
      <c r="H21" s="283">
        <v>497.3</v>
      </c>
      <c r="I21" s="63">
        <v>480.6</v>
      </c>
      <c r="J21" s="283">
        <v>403.5</v>
      </c>
      <c r="K21" s="316">
        <v>498.9</v>
      </c>
      <c r="L21" s="63">
        <v>488.8</v>
      </c>
      <c r="M21" s="63">
        <v>412</v>
      </c>
      <c r="N21" s="519">
        <v>318.2</v>
      </c>
      <c r="O21" s="283">
        <v>338.4</v>
      </c>
      <c r="P21" s="283">
        <v>481.7</v>
      </c>
      <c r="Q21" s="283">
        <v>497.8</v>
      </c>
      <c r="R21" s="316">
        <v>493.1</v>
      </c>
      <c r="S21" s="63">
        <v>431.6</v>
      </c>
      <c r="T21" s="283">
        <v>484.6</v>
      </c>
      <c r="U21" s="63">
        <v>420.7</v>
      </c>
      <c r="V21" s="519">
        <v>425.9</v>
      </c>
      <c r="W21" s="519">
        <v>445</v>
      </c>
      <c r="X21" s="283">
        <v>202.1</v>
      </c>
      <c r="Y21" s="283">
        <v>470.4</v>
      </c>
      <c r="Z21" s="316">
        <v>480.4</v>
      </c>
      <c r="AA21" s="18">
        <v>162.1</v>
      </c>
      <c r="AB21" s="323">
        <v>193.2</v>
      </c>
      <c r="AC21" s="283">
        <v>354.8</v>
      </c>
      <c r="AD21" s="283"/>
      <c r="AE21" s="283"/>
      <c r="AF21" s="283"/>
      <c r="AG21" s="283"/>
      <c r="AH21" s="731"/>
      <c r="AI21" s="335">
        <f t="shared" si="0"/>
        <v>10135.700000000001</v>
      </c>
      <c r="AJ21" s="118">
        <v>100</v>
      </c>
      <c r="AK21" s="121">
        <f t="shared" si="26"/>
        <v>7.0208333333333338E-3</v>
      </c>
      <c r="AL21" s="67">
        <f t="shared" si="31"/>
        <v>0.13695833333333332</v>
      </c>
      <c r="AM21" s="68">
        <f t="shared" si="31"/>
        <v>9.1374999999999998E-2</v>
      </c>
      <c r="AN21" s="68">
        <f t="shared" si="31"/>
        <v>0.12637500000000002</v>
      </c>
      <c r="AO21" s="68">
        <f t="shared" si="31"/>
        <v>0.12637500000000002</v>
      </c>
      <c r="AP21" s="68">
        <f t="shared" si="31"/>
        <v>0.20720833333333333</v>
      </c>
      <c r="AQ21" s="68">
        <f t="shared" si="31"/>
        <v>0.20025000000000001</v>
      </c>
      <c r="AR21" s="68">
        <f t="shared" si="31"/>
        <v>0.168125</v>
      </c>
      <c r="AS21" s="68">
        <f>IF(OR(K18="",K18="Sem monitoramento"),"VAZIO",IFERROR(K18/($AJ21*24),"-"))</f>
        <v>0.20795833333333336</v>
      </c>
      <c r="AT21" s="68">
        <f>IF(OR(L21="",L21="Sem monitoramento"),"VAZIO",IFERROR(L21/($AJ21*24),"-"))</f>
        <v>0.20366666666666666</v>
      </c>
      <c r="AU21" s="68">
        <f>IF(OR(M21="",M21="Sem monitoramento"),"VAZIO",IFERROR(M21/($AJ21*24),"-"))</f>
        <v>0.17166666666666666</v>
      </c>
      <c r="AV21" s="68">
        <f>IF(OR(N22="",N22="Sem monitoramento"),"VAZIO",IFERROR(N22/($AJ21*24),"-"))</f>
        <v>9.5666666666666664E-2</v>
      </c>
      <c r="AW21" s="68">
        <f t="shared" si="32"/>
        <v>0.14099999999999999</v>
      </c>
      <c r="AX21" s="68">
        <f t="shared" si="35"/>
        <v>0.20070833333333332</v>
      </c>
      <c r="AY21" s="68">
        <f t="shared" ref="AY21:AY32" si="37">IF(OR(Q21="",Q21="Sem monitoramento"),"VAZIO",IFERROR(Q21/($AJ21*24),"-"))</f>
        <v>0.20741666666666667</v>
      </c>
      <c r="AZ21" s="68">
        <f>IF(OR(R19="",R19="Sem monitoramento"),"VAZIO",IFERROR(R19/($AJ21*24),"-"))</f>
        <v>0.19908333333333333</v>
      </c>
      <c r="BA21" s="68">
        <f>IF(OR(S22="",S22="Sem monitoramento"),"VAZIO",IFERROR(S22/($AJ21*24),"-"))</f>
        <v>0.12433333333333332</v>
      </c>
      <c r="BB21" s="68" t="e">
        <f>IF(OR(#REF!="",#REF!="Sem monitoramento"),"VAZIO",IFERROR(#REF!/($AJ21*24),"-"))</f>
        <v>#REF!</v>
      </c>
      <c r="BC21" s="68">
        <f t="shared" si="36"/>
        <v>0.17529166666666665</v>
      </c>
      <c r="BD21" s="68">
        <f>IF(OR(V20="",V20="Sem monitoramento"),"VAZIO",IFERROR(V20/($AJ21*24),"-"))</f>
        <v>0.13491666666666668</v>
      </c>
      <c r="BE21" s="68">
        <f>IF(OR(W22="",W22="Sem monitoramento"),"VAZIO",IFERROR(W22/($AJ21*24),"-"))</f>
        <v>0.12862499999999999</v>
      </c>
      <c r="BF21" s="68">
        <f>IF(OR(X23="",X23="Sem monitoramento"),"VAZIO",IFERROR(X23/($AJ21*24),"-"))</f>
        <v>8.4916666666666668E-2</v>
      </c>
      <c r="BG21" s="68">
        <f>IF(OR(Y19="",Y19="Sem monitoramento"),"VAZIO",IFERROR(Y19/($AJ21*24),"-"))</f>
        <v>0.1875</v>
      </c>
      <c r="BH21" s="68">
        <f t="shared" si="33"/>
        <v>0.20016666666666666</v>
      </c>
      <c r="BI21" s="68">
        <f t="shared" si="33"/>
        <v>6.7541666666666667E-2</v>
      </c>
      <c r="BJ21" s="68">
        <f>IF(OR(AB21="",AB21="Sem monitoramento"),"VAZIO",IFERROR(AB21/($AJ21*24),"-"))</f>
        <v>8.0500000000000002E-2</v>
      </c>
      <c r="BK21" s="68">
        <f t="shared" ref="BK21:BK32" si="38">IF(OR(AC21="",AC21="Sem monitoramento"),"VAZIO",IFERROR(AC21/($AJ21*24),"-"))</f>
        <v>0.14783333333333334</v>
      </c>
      <c r="BL21" s="68" t="str">
        <f>IF(OR(AD22="",AD22="Sem monitoramento"),"VAZIO",IFERROR(AD22/($AJ21*24),"-"))</f>
        <v>VAZIO</v>
      </c>
      <c r="BM21" s="68" t="str">
        <f t="shared" ref="BM21:BO22" si="39">IF(OR(AE21="",AE21="Sem monitoramento"),"VAZIO",IFERROR(AE21/($AJ21*24),"-"))</f>
        <v>VAZIO</v>
      </c>
      <c r="BN21" s="68" t="str">
        <f t="shared" si="39"/>
        <v>VAZIO</v>
      </c>
      <c r="BO21" s="68" t="str">
        <f t="shared" si="39"/>
        <v>VAZIO</v>
      </c>
      <c r="BP21" s="70">
        <f t="shared" si="30"/>
        <v>0.16243108974358975</v>
      </c>
      <c r="BQ21" s="198">
        <f t="shared" ref="BQ21:BQ31" si="40">$BQ$20</f>
        <v>0.168125</v>
      </c>
      <c r="BR21" s="72">
        <f t="shared" si="24"/>
        <v>16.8125</v>
      </c>
      <c r="BS21" s="73">
        <f t="shared" si="25"/>
        <v>-4.1749999999999982E-2</v>
      </c>
      <c r="BT21" s="74">
        <f t="shared" si="9"/>
        <v>-5.6939102564102506E-3</v>
      </c>
      <c r="BU21" s="15" t="s">
        <v>25</v>
      </c>
      <c r="BV21" s="3"/>
      <c r="BW21" s="2"/>
      <c r="BX21" s="2"/>
    </row>
    <row r="22" spans="2:76" x14ac:dyDescent="0.3">
      <c r="B22" s="775"/>
      <c r="C22" s="326" t="s">
        <v>26</v>
      </c>
      <c r="D22" s="223">
        <v>233.1</v>
      </c>
      <c r="E22" s="283">
        <v>164.7</v>
      </c>
      <c r="F22" s="283">
        <v>227.7</v>
      </c>
      <c r="G22" s="283">
        <v>165.8</v>
      </c>
      <c r="H22" s="283">
        <v>344.7</v>
      </c>
      <c r="I22" s="63">
        <v>331.4</v>
      </c>
      <c r="J22" s="283">
        <v>288.60000000000002</v>
      </c>
      <c r="K22" s="63">
        <v>345.3</v>
      </c>
      <c r="L22" s="283">
        <v>340.7</v>
      </c>
      <c r="M22" s="316">
        <v>296.10000000000002</v>
      </c>
      <c r="N22" s="283">
        <v>229.6</v>
      </c>
      <c r="O22" s="283">
        <v>255.5</v>
      </c>
      <c r="P22" s="63">
        <v>334.4</v>
      </c>
      <c r="Q22" s="283">
        <v>341.4</v>
      </c>
      <c r="R22" s="63">
        <v>338.1</v>
      </c>
      <c r="S22" s="63">
        <v>298.39999999999998</v>
      </c>
      <c r="T22" s="316">
        <v>337.9</v>
      </c>
      <c r="U22" s="283">
        <v>318.39999999999998</v>
      </c>
      <c r="V22" s="283">
        <v>304</v>
      </c>
      <c r="W22" s="283">
        <v>308.7</v>
      </c>
      <c r="X22" s="283">
        <v>140.9</v>
      </c>
      <c r="Y22" s="283">
        <v>324.89999999999998</v>
      </c>
      <c r="Z22" s="63">
        <v>330.6</v>
      </c>
      <c r="AA22" s="320">
        <v>115.2</v>
      </c>
      <c r="AB22" s="323">
        <v>140.69999999999999</v>
      </c>
      <c r="AC22" s="221">
        <v>251.4</v>
      </c>
      <c r="AD22" s="283"/>
      <c r="AE22" s="221"/>
      <c r="AF22" s="221"/>
      <c r="AG22" s="221"/>
      <c r="AH22" s="729"/>
      <c r="AI22" s="335">
        <f t="shared" si="0"/>
        <v>7108.199999999998</v>
      </c>
      <c r="AJ22" s="118">
        <v>100</v>
      </c>
      <c r="AK22" s="121">
        <f t="shared" si="26"/>
        <v>5.2708333333333331E-3</v>
      </c>
      <c r="AL22" s="67">
        <f t="shared" si="31"/>
        <v>9.7125000000000003E-2</v>
      </c>
      <c r="AM22" s="68">
        <f t="shared" si="31"/>
        <v>6.8624999999999992E-2</v>
      </c>
      <c r="AN22" s="68">
        <f t="shared" si="31"/>
        <v>9.4875000000000001E-2</v>
      </c>
      <c r="AO22" s="68">
        <f t="shared" si="31"/>
        <v>6.9083333333333344E-2</v>
      </c>
      <c r="AP22" s="68">
        <f t="shared" si="31"/>
        <v>0.143625</v>
      </c>
      <c r="AQ22" s="68">
        <f t="shared" si="31"/>
        <v>0.13808333333333334</v>
      </c>
      <c r="AR22" s="68">
        <f t="shared" si="31"/>
        <v>0.12025000000000001</v>
      </c>
      <c r="AS22" s="68" t="e">
        <f>IF(OR(#REF!="",#REF!="Sem monitoramento"),"VAZIO",IFERROR(#REF!/($AJ22*24),"-"))</f>
        <v>#REF!</v>
      </c>
      <c r="AT22" s="68">
        <f t="shared" ref="AT22:AT32" si="41">IF(OR(L22="",L22="Sem monitoramento"),"VAZIO",IFERROR(L22/($AJ22*24),"-"))</f>
        <v>0.14195833333333333</v>
      </c>
      <c r="AU22" s="68">
        <f>IF(OR(M20="",M20="Sem monitoramento"),"VAZIO",IFERROR(M20/($AJ22*24),"-"))</f>
        <v>0.13116666666666668</v>
      </c>
      <c r="AV22" s="68">
        <f>IF(OR(N23="",N23="Sem monitoramento"),"VAZIO",IFERROR(N23/($AJ22*24),"-"))</f>
        <v>0.1205</v>
      </c>
      <c r="AW22" s="68">
        <f t="shared" si="32"/>
        <v>0.10645833333333334</v>
      </c>
      <c r="AX22" s="68">
        <f t="shared" si="35"/>
        <v>0.13933333333333334</v>
      </c>
      <c r="AY22" s="68">
        <f t="shared" si="37"/>
        <v>0.14224999999999999</v>
      </c>
      <c r="AZ22" s="68">
        <f t="shared" ref="AZ22:AZ32" si="42">IF(OR(R22="",R22="Sem monitoramento"),"VAZIO",IFERROR(R22/($AJ22*24),"-"))</f>
        <v>0.140875</v>
      </c>
      <c r="BA22" s="68">
        <f>IF(OR(S23="",S23="Sem monitoramento"),"VAZIO",IFERROR(S23/($AJ22*24),"-"))</f>
        <v>0.18425</v>
      </c>
      <c r="BB22" s="68">
        <f>IF(OR(T21="",T21="Sem monitoramento"),"VAZIO",IFERROR(T21/($AJ22*24),"-"))</f>
        <v>0.20191666666666669</v>
      </c>
      <c r="BC22" s="68">
        <f t="shared" si="36"/>
        <v>0.13266666666666665</v>
      </c>
      <c r="BD22" s="68">
        <f>IF(OR(V22="",V22="Sem monitoramento"),"VAZIO",IFERROR(V22/($AJ22*24),"-"))</f>
        <v>0.12666666666666668</v>
      </c>
      <c r="BE22" s="68" t="e">
        <f>IF(OR(#REF!="",#REF!="Sem monitoramento"),"VAZIO",IFERROR(#REF!/($AJ22*24),"-"))</f>
        <v>#REF!</v>
      </c>
      <c r="BF22" s="68">
        <f>IF(OR(X24="",X24="Sem monitoramento"),"VAZIO",IFERROR(X24/($AJ22*24),"-"))</f>
        <v>7.6666666666666661E-2</v>
      </c>
      <c r="BG22" s="68">
        <f>IF(OR(Y22="",Y22="Sem monitoramento"),"VAZIO",IFERROR(Y22/($AJ22*24),"-"))</f>
        <v>0.135375</v>
      </c>
      <c r="BH22" s="68">
        <f t="shared" si="33"/>
        <v>0.13775000000000001</v>
      </c>
      <c r="BI22" s="68">
        <f t="shared" si="33"/>
        <v>4.8000000000000001E-2</v>
      </c>
      <c r="BJ22" s="68">
        <f>IF(OR(AB21="",AB21="Sem monitoramento"),"VAZIO",IFERROR(AB21/($AJ22*24),"-"))</f>
        <v>8.0500000000000002E-2</v>
      </c>
      <c r="BK22" s="68">
        <f t="shared" si="38"/>
        <v>0.10475</v>
      </c>
      <c r="BL22" s="68" t="e">
        <f>IF(OR(#REF!="",#REF!="Sem monitoramento"),"VAZIO",IFERROR(#REF!/($AJ22*24),"-"))</f>
        <v>#REF!</v>
      </c>
      <c r="BM22" s="68" t="str">
        <f t="shared" si="39"/>
        <v>VAZIO</v>
      </c>
      <c r="BN22" s="68" t="str">
        <f t="shared" si="39"/>
        <v>VAZIO</v>
      </c>
      <c r="BO22" s="68" t="str">
        <f t="shared" si="39"/>
        <v>VAZIO</v>
      </c>
      <c r="BP22" s="70">
        <f t="shared" si="30"/>
        <v>0.11391346153846151</v>
      </c>
      <c r="BQ22" s="198">
        <f t="shared" si="40"/>
        <v>0.168125</v>
      </c>
      <c r="BR22" s="72">
        <f t="shared" si="24"/>
        <v>16.8125</v>
      </c>
      <c r="BS22" s="73">
        <f t="shared" si="25"/>
        <v>-7.3249999999999996E-2</v>
      </c>
      <c r="BT22" s="74">
        <f t="shared" si="9"/>
        <v>-5.4211538461538492E-2</v>
      </c>
      <c r="BU22" s="15" t="s">
        <v>26</v>
      </c>
      <c r="BV22" s="3"/>
      <c r="BW22" s="2"/>
      <c r="BX22" s="2"/>
    </row>
    <row r="23" spans="2:76" x14ac:dyDescent="0.3">
      <c r="B23" s="775"/>
      <c r="C23" s="326" t="s">
        <v>28</v>
      </c>
      <c r="D23" s="223">
        <v>274</v>
      </c>
      <c r="E23" s="283">
        <v>250.3</v>
      </c>
      <c r="F23" s="283">
        <v>302.89999999999998</v>
      </c>
      <c r="G23" s="283">
        <v>299.7</v>
      </c>
      <c r="H23" s="283">
        <v>408.9</v>
      </c>
      <c r="I23" s="283">
        <v>413.6</v>
      </c>
      <c r="J23" s="283">
        <v>431.4</v>
      </c>
      <c r="K23" s="63">
        <v>443.4</v>
      </c>
      <c r="L23" s="63">
        <v>435.1</v>
      </c>
      <c r="M23" s="63">
        <v>370.9</v>
      </c>
      <c r="N23" s="63">
        <v>289.2</v>
      </c>
      <c r="O23" s="283">
        <v>337.2</v>
      </c>
      <c r="P23" s="283">
        <v>470.7</v>
      </c>
      <c r="Q23" s="283">
        <v>476.5</v>
      </c>
      <c r="R23" s="283">
        <v>416.6</v>
      </c>
      <c r="S23" s="283">
        <v>442.2</v>
      </c>
      <c r="T23" s="63">
        <v>420</v>
      </c>
      <c r="U23" s="63">
        <v>426.4</v>
      </c>
      <c r="V23" s="283">
        <v>464.3</v>
      </c>
      <c r="W23" s="283">
        <v>422</v>
      </c>
      <c r="X23" s="63">
        <v>203.8</v>
      </c>
      <c r="Y23" s="519">
        <v>413</v>
      </c>
      <c r="Z23" s="15">
        <v>444.9</v>
      </c>
      <c r="AA23" s="18">
        <v>89.8</v>
      </c>
      <c r="AB23" s="20">
        <v>217.9</v>
      </c>
      <c r="AC23" s="15">
        <v>303.39999999999998</v>
      </c>
      <c r="AD23" s="221"/>
      <c r="AE23" s="15"/>
      <c r="AF23" s="15"/>
      <c r="AG23" s="15"/>
      <c r="AH23" s="506"/>
      <c r="AI23" s="335">
        <f t="shared" si="0"/>
        <v>9468.0999999999967</v>
      </c>
      <c r="AJ23" s="118">
        <v>100</v>
      </c>
      <c r="AK23" s="121">
        <f t="shared" si="26"/>
        <v>7.0115740740740737E-3</v>
      </c>
      <c r="AL23" s="67">
        <f t="shared" si="31"/>
        <v>0.11416666666666667</v>
      </c>
      <c r="AM23" s="68">
        <f t="shared" si="31"/>
        <v>0.10429166666666667</v>
      </c>
      <c r="AN23" s="68">
        <f t="shared" si="31"/>
        <v>0.12620833333333331</v>
      </c>
      <c r="AO23" s="68">
        <f t="shared" si="31"/>
        <v>0.124875</v>
      </c>
      <c r="AP23" s="68">
        <f t="shared" si="31"/>
        <v>0.170375</v>
      </c>
      <c r="AQ23" s="68">
        <f t="shared" si="31"/>
        <v>0.17233333333333334</v>
      </c>
      <c r="AR23" s="68">
        <f t="shared" si="31"/>
        <v>0.17974999999999999</v>
      </c>
      <c r="AS23" s="68">
        <f t="shared" ref="AS23:AS32" si="43">IF(OR(K23="",K23="Sem monitoramento"),"VAZIO",IFERROR(K23/($AJ23*24),"-"))</f>
        <v>0.18475</v>
      </c>
      <c r="AT23" s="68">
        <f t="shared" si="41"/>
        <v>0.18129166666666668</v>
      </c>
      <c r="AU23" s="68" t="e">
        <f>IF(OR(#REF!="",#REF!="Sem monitoramento"),"VAZIO",IFERROR(#REF!/($AJ23*24),"-"))</f>
        <v>#REF!</v>
      </c>
      <c r="AV23" s="68">
        <f>IF(OR(N23="",N23="Sem monitoramento"),"VAZIO",IFERROR(N23/($AJ23*24),"-"))</f>
        <v>0.1205</v>
      </c>
      <c r="AW23" s="68">
        <f t="shared" si="32"/>
        <v>0.14049999999999999</v>
      </c>
      <c r="AX23" s="68">
        <f t="shared" si="35"/>
        <v>0.19612499999999999</v>
      </c>
      <c r="AY23" s="68">
        <f t="shared" si="37"/>
        <v>0.19854166666666667</v>
      </c>
      <c r="AZ23" s="68">
        <f t="shared" si="42"/>
        <v>0.17358333333333334</v>
      </c>
      <c r="BA23" s="68">
        <f>IF(OR(S23="",S23="Sem monitoramento"),"VAZIO",IFERROR(S23/($AJ23*24),"-"))</f>
        <v>0.18425</v>
      </c>
      <c r="BB23" s="68">
        <f>IF(OR(T23="",T23="Sem monitoramento"),"VAZIO",IFERROR(T23/($AJ23*24),"-"))</f>
        <v>0.17499999999999999</v>
      </c>
      <c r="BC23" s="68">
        <f t="shared" si="36"/>
        <v>0.17766666666666667</v>
      </c>
      <c r="BD23" s="68">
        <f>IF(OR(V23="",V23="Sem monitoramento"),"VAZIO",IFERROR(V23/($AJ23*24),"-"))</f>
        <v>0.19345833333333334</v>
      </c>
      <c r="BE23" s="68">
        <f>IF(OR(W23="",W23="Sem monitoramento"),"VAZIO",IFERROR(W23/($AJ23*24),"-"))</f>
        <v>0.17583333333333334</v>
      </c>
      <c r="BF23" s="68">
        <f>IF(OR(X23="",X23="Sem monitoramento"),"VAZIO",IFERROR(X23/($AJ23*24),"-"))</f>
        <v>8.4916666666666668E-2</v>
      </c>
      <c r="BG23" s="68">
        <f>IF(OR(Y20="",Y20="Sem monitoramento"),"VAZIO",IFERROR(Y20/($AJ23*24),"-"))</f>
        <v>0.14870833333333333</v>
      </c>
      <c r="BH23" s="68">
        <f t="shared" si="33"/>
        <v>0.18537499999999998</v>
      </c>
      <c r="BI23" s="68">
        <f t="shared" si="33"/>
        <v>3.7416666666666668E-2</v>
      </c>
      <c r="BJ23" s="68">
        <f>IF(OR(AB22="",AB22="Sem monitoramento"),"VAZIO",IFERROR(AB22/($AJ23*24),"-"))</f>
        <v>5.8624999999999997E-2</v>
      </c>
      <c r="BK23" s="68">
        <f t="shared" si="38"/>
        <v>0.12641666666666665</v>
      </c>
      <c r="BL23" s="68" t="str">
        <f>IF(OR(AD23="",AD23="Sem monitoramento"),"VAZIO",IFERROR(AD23/($AJ23*24),"-"))</f>
        <v>VAZIO</v>
      </c>
      <c r="BM23" s="68" t="str">
        <f>IF(OR(AE23="",AE23="Sem monitoramento"),"VAZIO",IFERROR(AE23/($AJ23*24),"-"))</f>
        <v>VAZIO</v>
      </c>
      <c r="BN23" s="68" t="str">
        <f>IF(OR(AF23="",AF23="Sem monitoramento"),"VAZIO",IFERROR(AF23/($AJ23*24),"-"))</f>
        <v>VAZIO</v>
      </c>
      <c r="BO23" s="68" t="str">
        <f>IF(OR(AG24="",AG24="Sem monitoramento"),"VAZIO",IFERROR(AG24/($AJ23*24),"-"))</f>
        <v>VAZIO</v>
      </c>
      <c r="BP23" s="70">
        <f t="shared" si="30"/>
        <v>0.15173237179487173</v>
      </c>
      <c r="BQ23" s="198">
        <f t="shared" si="40"/>
        <v>0.168125</v>
      </c>
      <c r="BR23" s="72">
        <f t="shared" si="24"/>
        <v>16.8125</v>
      </c>
      <c r="BS23" s="73">
        <f t="shared" si="25"/>
        <v>-4.1916666666666685E-2</v>
      </c>
      <c r="BT23" s="74">
        <f t="shared" si="9"/>
        <v>-1.6392628205128268E-2</v>
      </c>
      <c r="BU23" s="15" t="s">
        <v>27</v>
      </c>
      <c r="BV23" s="3"/>
      <c r="BW23" s="2"/>
      <c r="BX23" s="2"/>
    </row>
    <row r="24" spans="2:76" x14ac:dyDescent="0.3">
      <c r="B24" s="775"/>
      <c r="C24" s="326" t="s">
        <v>29</v>
      </c>
      <c r="D24" s="223">
        <v>256.3</v>
      </c>
      <c r="E24" s="63">
        <v>230</v>
      </c>
      <c r="F24" s="283">
        <v>282.39999999999998</v>
      </c>
      <c r="G24" s="63">
        <v>278.10000000000002</v>
      </c>
      <c r="H24" s="283">
        <v>376.4</v>
      </c>
      <c r="I24" s="63">
        <v>379.4</v>
      </c>
      <c r="J24" s="63">
        <v>398</v>
      </c>
      <c r="K24" s="63">
        <v>410.1</v>
      </c>
      <c r="L24" s="63">
        <v>399.1</v>
      </c>
      <c r="M24" s="316">
        <v>339.7</v>
      </c>
      <c r="N24" s="519">
        <v>266.7</v>
      </c>
      <c r="O24" s="519">
        <v>307.5</v>
      </c>
      <c r="P24" s="283">
        <v>432.3</v>
      </c>
      <c r="Q24" s="283">
        <v>437.2</v>
      </c>
      <c r="R24" s="63">
        <v>381</v>
      </c>
      <c r="S24" s="63">
        <v>401.8</v>
      </c>
      <c r="T24" s="316">
        <v>386.9</v>
      </c>
      <c r="U24" s="63">
        <v>390.7</v>
      </c>
      <c r="V24" s="283">
        <v>422.9</v>
      </c>
      <c r="W24" s="283">
        <v>383.3</v>
      </c>
      <c r="X24" s="63">
        <v>184</v>
      </c>
      <c r="Y24" s="63">
        <v>376.4</v>
      </c>
      <c r="Z24" s="15">
        <v>403.4</v>
      </c>
      <c r="AA24" s="18">
        <v>80.400000000000006</v>
      </c>
      <c r="AB24" s="20">
        <v>197.1</v>
      </c>
      <c r="AC24" s="15">
        <v>274.5</v>
      </c>
      <c r="AD24" s="519"/>
      <c r="AE24" s="15"/>
      <c r="AF24" s="15"/>
      <c r="AG24" s="15"/>
      <c r="AH24" s="506"/>
      <c r="AI24" s="335">
        <f t="shared" si="0"/>
        <v>8675.5999999999985</v>
      </c>
      <c r="AJ24" s="118">
        <v>100</v>
      </c>
      <c r="AK24" s="121">
        <f t="shared" si="26"/>
        <v>6.5370370370370365E-3</v>
      </c>
      <c r="AL24" s="67">
        <f t="shared" si="31"/>
        <v>0.10679166666666667</v>
      </c>
      <c r="AM24" s="68">
        <f t="shared" si="31"/>
        <v>9.583333333333334E-2</v>
      </c>
      <c r="AN24" s="68">
        <f t="shared" si="31"/>
        <v>0.11766666666666666</v>
      </c>
      <c r="AO24" s="68">
        <f t="shared" si="31"/>
        <v>0.11587500000000001</v>
      </c>
      <c r="AP24" s="68">
        <f t="shared" si="31"/>
        <v>0.15683333333333332</v>
      </c>
      <c r="AQ24" s="68">
        <f t="shared" si="31"/>
        <v>0.15808333333333333</v>
      </c>
      <c r="AR24" s="68">
        <f t="shared" si="31"/>
        <v>0.16583333333333333</v>
      </c>
      <c r="AS24" s="68">
        <f t="shared" si="43"/>
        <v>0.170875</v>
      </c>
      <c r="AT24" s="68">
        <f t="shared" si="41"/>
        <v>0.16629166666666667</v>
      </c>
      <c r="AU24" s="68">
        <f>IF(OR(M23="",M23="Sem monitoramento"),"VAZIO",IFERROR(M23/($AJ24*24),"-"))</f>
        <v>0.15454166666666666</v>
      </c>
      <c r="AV24" s="68">
        <f>IF(OR(N25="",N25="Sem monitoramento"),"VAZIO",IFERROR(N25/($AJ24*24),"-"))</f>
        <v>0.42916666666666664</v>
      </c>
      <c r="AW24" s="68">
        <f>IF(OR(O21="",O21="Sem monitoramento"),"VAZIO",IFERROR(O21/($AJ24*24),"-"))</f>
        <v>0.14099999999999999</v>
      </c>
      <c r="AX24" s="68">
        <f t="shared" si="35"/>
        <v>0.18012500000000001</v>
      </c>
      <c r="AY24" s="68">
        <f t="shared" si="37"/>
        <v>0.18216666666666667</v>
      </c>
      <c r="AZ24" s="68">
        <f t="shared" si="42"/>
        <v>0.15875</v>
      </c>
      <c r="BA24" s="68">
        <f t="shared" ref="BA24:BA32" si="44">IF(OR(S24="",S24="Sem monitoramento"),"VAZIO",IFERROR(S24/($AJ24*24),"-"))</f>
        <v>0.16741666666666666</v>
      </c>
      <c r="BB24" s="68" t="e">
        <f>IF(OR(#REF!="",#REF!="Sem monitoramento"),"VAZIO",IFERROR(#REF!/($AJ24*24),"-"))</f>
        <v>#REF!</v>
      </c>
      <c r="BC24" s="68">
        <f t="shared" si="36"/>
        <v>0.16279166666666667</v>
      </c>
      <c r="BD24" s="68">
        <f>IF(OR(V24="",V24="Sem monitoramento"),"VAZIO",IFERROR(V24/($AJ24*24),"-"))</f>
        <v>0.17620833333333333</v>
      </c>
      <c r="BE24" s="68" t="e">
        <f>IF(OR(#REF!="",#REF!="Sem monitoramento"),"VAZIO",IFERROR(#REF!/($AJ24*24),"-"))</f>
        <v>#REF!</v>
      </c>
      <c r="BF24" s="68">
        <f>IF(OR(X24="",X24="Sem monitoramento"),"VAZIO",IFERROR(X24/($AJ24*24),"-"))</f>
        <v>7.6666666666666661E-2</v>
      </c>
      <c r="BG24" s="68">
        <f>IF(OR(Y24="",Y24="Sem monitoramento"),"VAZIO",IFERROR(Y24/($AJ24*24),"-"))</f>
        <v>0.15683333333333332</v>
      </c>
      <c r="BH24" s="68">
        <f t="shared" si="33"/>
        <v>0.16808333333333333</v>
      </c>
      <c r="BI24" s="68">
        <f t="shared" si="33"/>
        <v>3.3500000000000002E-2</v>
      </c>
      <c r="BJ24" s="68">
        <f t="shared" ref="BJ24:BJ32" si="45">IF(OR(AB24="",AB24="Sem monitoramento"),"VAZIO",IFERROR(AB24/($AJ24*24),"-"))</f>
        <v>8.2125000000000004E-2</v>
      </c>
      <c r="BK24" s="68">
        <f t="shared" si="38"/>
        <v>0.114375</v>
      </c>
      <c r="BL24" s="68" t="str">
        <f>IF(OR(AD25="",AD25="Sem monitoramento"),"VAZIO",IFERROR(AD25/($AJ24*24),"-"))</f>
        <v>VAZIO</v>
      </c>
      <c r="BM24" s="68" t="str">
        <f t="shared" ref="BM24:BN28" si="46">IF(OR(AE24="",AE24="Sem monitoramento"),"VAZIO",IFERROR(AE24/($AJ24*24),"-"))</f>
        <v>VAZIO</v>
      </c>
      <c r="BN24" s="68" t="str">
        <f t="shared" si="46"/>
        <v>VAZIO</v>
      </c>
      <c r="BO24" s="68" t="e">
        <f>IF(OR(#REF!="",#REF!="Sem monitoramento"),"VAZIO",IFERROR(#REF!/($AJ24*24),"-"))</f>
        <v>#REF!</v>
      </c>
      <c r="BP24" s="70">
        <f t="shared" si="30"/>
        <v>0.13903205128205126</v>
      </c>
      <c r="BQ24" s="198">
        <f t="shared" si="40"/>
        <v>0.168125</v>
      </c>
      <c r="BR24" s="72">
        <f t="shared" si="24"/>
        <v>16.8125</v>
      </c>
      <c r="BS24" s="73">
        <f t="shared" si="25"/>
        <v>-5.0458333333333341E-2</v>
      </c>
      <c r="BT24" s="74">
        <f t="shared" si="9"/>
        <v>-2.9092948717948736E-2</v>
      </c>
      <c r="BU24" s="15" t="s">
        <v>28</v>
      </c>
      <c r="BV24" s="3"/>
      <c r="BW24" s="2"/>
      <c r="BX24" s="2"/>
    </row>
    <row r="25" spans="2:76" x14ac:dyDescent="0.3">
      <c r="B25" s="775"/>
      <c r="C25" s="326" t="s">
        <v>30</v>
      </c>
      <c r="D25" s="223">
        <v>986.5</v>
      </c>
      <c r="E25" s="63">
        <v>900.9</v>
      </c>
      <c r="F25" s="283">
        <v>1094.5</v>
      </c>
      <c r="G25" s="63">
        <v>1079</v>
      </c>
      <c r="H25" s="283">
        <v>1459</v>
      </c>
      <c r="I25" s="63">
        <v>1474.9</v>
      </c>
      <c r="J25" s="316">
        <v>1545.4</v>
      </c>
      <c r="K25" s="63">
        <v>1594.8</v>
      </c>
      <c r="L25" s="63">
        <v>1557.3</v>
      </c>
      <c r="M25" s="63">
        <v>1329</v>
      </c>
      <c r="N25" s="63">
        <v>1030</v>
      </c>
      <c r="O25" s="283">
        <v>1299.9000000000001</v>
      </c>
      <c r="P25" s="283">
        <v>1683.2</v>
      </c>
      <c r="Q25" s="283">
        <v>1696.4</v>
      </c>
      <c r="R25" s="63">
        <v>1484.6</v>
      </c>
      <c r="S25" s="63">
        <v>1571.2</v>
      </c>
      <c r="T25" s="63">
        <v>1509.6</v>
      </c>
      <c r="U25" s="316">
        <v>1520</v>
      </c>
      <c r="V25" s="283">
        <v>1669.2</v>
      </c>
      <c r="W25" s="316">
        <v>1496.6</v>
      </c>
      <c r="X25" s="316">
        <v>715.4</v>
      </c>
      <c r="Y25" s="63">
        <v>1469</v>
      </c>
      <c r="Z25" s="15">
        <v>1579</v>
      </c>
      <c r="AA25" s="18">
        <v>314.7</v>
      </c>
      <c r="AB25" s="323">
        <v>770</v>
      </c>
      <c r="AC25" s="221">
        <v>1159</v>
      </c>
      <c r="AD25" s="15"/>
      <c r="AE25" s="15"/>
      <c r="AF25" s="15"/>
      <c r="AG25" s="15"/>
      <c r="AH25" s="506"/>
      <c r="AI25" s="335">
        <f t="shared" si="0"/>
        <v>33989.1</v>
      </c>
      <c r="AJ25" s="118">
        <v>383</v>
      </c>
      <c r="AK25" s="121">
        <f t="shared" si="26"/>
        <v>6.6150517358089158E-3</v>
      </c>
      <c r="AL25" s="67">
        <f t="shared" ref="AL25:AQ26" si="47">IF(OR(D25="",D25="Sem monitoramento"),"VAZIO",IFERROR(D25/($AJ25*24),"-"))</f>
        <v>0.10732158398607484</v>
      </c>
      <c r="AM25" s="68">
        <f t="shared" si="47"/>
        <v>9.8009138381201039E-2</v>
      </c>
      <c r="AN25" s="68">
        <f t="shared" si="47"/>
        <v>0.11907093124456049</v>
      </c>
      <c r="AO25" s="68">
        <f t="shared" si="47"/>
        <v>0.11738468233246301</v>
      </c>
      <c r="AP25" s="68">
        <f t="shared" si="47"/>
        <v>0.15872497824194953</v>
      </c>
      <c r="AQ25" s="68">
        <f t="shared" si="47"/>
        <v>0.16045474325500436</v>
      </c>
      <c r="AR25" s="68">
        <f>IF(OR(J30="",J30="Sem monitoramento"),"VAZIO",IFERROR(J30/($AJ25*24),"-"))</f>
        <v>4.5050043516100959E-2</v>
      </c>
      <c r="AS25" s="68">
        <f t="shared" si="43"/>
        <v>0.17349869451697128</v>
      </c>
      <c r="AT25" s="68">
        <f t="shared" si="41"/>
        <v>0.16941906005221932</v>
      </c>
      <c r="AU25" s="68">
        <f t="shared" ref="AU25:AU32" si="48">IF(OR(M25="",M25="Sem monitoramento"),"VAZIO",IFERROR(M25/($AJ25*24),"-"))</f>
        <v>0.14458224543080939</v>
      </c>
      <c r="AV25" s="68" t="e">
        <f>IF(OR(#REF!="",#REF!="Sem monitoramento"),"VAZIO",IFERROR(#REF!/($AJ25*24),"-"))</f>
        <v>#REF!</v>
      </c>
      <c r="AW25" s="68">
        <f t="shared" ref="AW25:AW32" si="49">IF(OR(O25="",O25="Sem monitoramento"),"VAZIO",IFERROR(O25/($AJ25*24),"-"))</f>
        <v>0.14141644908616188</v>
      </c>
      <c r="AX25" s="68">
        <f t="shared" si="35"/>
        <v>0.18311575282854656</v>
      </c>
      <c r="AY25" s="68">
        <f t="shared" si="37"/>
        <v>0.18455178416013926</v>
      </c>
      <c r="AZ25" s="68">
        <f t="shared" si="42"/>
        <v>0.16151000870322019</v>
      </c>
      <c r="BA25" s="68">
        <f t="shared" si="44"/>
        <v>0.17093124456048739</v>
      </c>
      <c r="BB25" s="68">
        <f>IF(OR(T25="",T25="Sem monitoramento"),"VAZIO",IFERROR(T25/($AJ25*24),"-"))</f>
        <v>0.16422976501305481</v>
      </c>
      <c r="BC25" s="68">
        <f>IF(OR(U26="",U26="Sem monitoramento"),"VAZIO",IFERROR(U26/($AJ25*24),"-"))</f>
        <v>3.3724978241949519E-2</v>
      </c>
      <c r="BD25" s="68" t="e">
        <f>IF(OR(#REF!="",#REF!="Sem monitoramento"),"VAZIO",IFERROR(#REF!/($AJ25*24),"-"))</f>
        <v>#REF!</v>
      </c>
      <c r="BE25" s="68" t="e">
        <f>IF(OR(#REF!="",#REF!="Sem monitoramento"),"VAZIO",IFERROR(#REF!/($AJ25*24),"-"))</f>
        <v>#REF!</v>
      </c>
      <c r="BF25" s="68" t="e">
        <f>IF(OR(#REF!="",#REF!="Sem monitoramento"),"VAZIO",IFERROR(#REF!/($AJ25*24),"-"))</f>
        <v>#REF!</v>
      </c>
      <c r="BG25" s="68">
        <f t="shared" ref="BG25:BG32" si="50">IF(OR(Y25="",Y25="Sem monitoramento"),"VAZIO",IFERROR(Y25/($AJ25*24),"-"))</f>
        <v>0.15981288076588337</v>
      </c>
      <c r="BH25" s="68">
        <f t="shared" si="33"/>
        <v>0.17177980852915578</v>
      </c>
      <c r="BI25" s="68">
        <f t="shared" si="33"/>
        <v>3.423629242819843E-2</v>
      </c>
      <c r="BJ25" s="68">
        <f t="shared" si="45"/>
        <v>8.3768494342906882E-2</v>
      </c>
      <c r="BK25" s="68">
        <f t="shared" si="38"/>
        <v>0.12608790252393384</v>
      </c>
      <c r="BL25" s="68" t="e">
        <f>IF(OR(#REF!="",#REF!="Sem monitoramento"),"VAZIO",IFERROR(#REF!/($AJ25*24),"-"))</f>
        <v>#REF!</v>
      </c>
      <c r="BM25" s="68" t="str">
        <f t="shared" si="46"/>
        <v>VAZIO</v>
      </c>
      <c r="BN25" s="68" t="str">
        <f t="shared" si="46"/>
        <v>VAZIO</v>
      </c>
      <c r="BO25" s="68" t="str">
        <f>IF(OR(AG25="",AG25="Sem monitoramento"),"VAZIO",IFERROR(AG25/($AJ25*24),"-"))</f>
        <v>VAZIO</v>
      </c>
      <c r="BP25" s="70">
        <f t="shared" si="30"/>
        <v>0.14221856798553925</v>
      </c>
      <c r="BQ25" s="198">
        <f t="shared" si="40"/>
        <v>0.168125</v>
      </c>
      <c r="BR25" s="72">
        <f>AJ25*BQ25</f>
        <v>64.391874999999999</v>
      </c>
      <c r="BS25" s="73">
        <f t="shared" si="25"/>
        <v>-4.9054068755439509E-2</v>
      </c>
      <c r="BT25" s="74">
        <f t="shared" si="9"/>
        <v>-2.5906432014460745E-2</v>
      </c>
      <c r="BU25" s="15" t="s">
        <v>29</v>
      </c>
      <c r="BV25" s="3"/>
      <c r="BW25" s="2"/>
      <c r="BX25" s="2"/>
    </row>
    <row r="26" spans="2:76" x14ac:dyDescent="0.3">
      <c r="B26" s="775"/>
      <c r="C26" s="326" t="s">
        <v>111</v>
      </c>
      <c r="D26" s="223">
        <v>189.2</v>
      </c>
      <c r="E26" s="63">
        <v>228.3</v>
      </c>
      <c r="F26" s="63">
        <v>163.19999999999999</v>
      </c>
      <c r="G26" s="63">
        <v>170.1</v>
      </c>
      <c r="H26" s="63">
        <v>547.29999999999995</v>
      </c>
      <c r="I26" s="63">
        <v>251.8</v>
      </c>
      <c r="J26" s="63">
        <v>537.70000000000005</v>
      </c>
      <c r="K26" s="63">
        <v>553.5</v>
      </c>
      <c r="L26" s="63">
        <v>436.7</v>
      </c>
      <c r="M26" s="63">
        <v>392.2</v>
      </c>
      <c r="N26" s="63">
        <v>468.6</v>
      </c>
      <c r="O26" s="63">
        <v>336.4</v>
      </c>
      <c r="P26" s="63">
        <v>541.20000000000005</v>
      </c>
      <c r="Q26" s="283">
        <v>529.20000000000005</v>
      </c>
      <c r="R26" s="63">
        <v>560.20000000000005</v>
      </c>
      <c r="S26" s="63">
        <v>564.6</v>
      </c>
      <c r="T26" s="316">
        <v>538.29999999999995</v>
      </c>
      <c r="U26" s="282">
        <v>310</v>
      </c>
      <c r="V26" s="283">
        <v>434.2</v>
      </c>
      <c r="W26" s="512">
        <v>560.70000000000005</v>
      </c>
      <c r="X26" s="63">
        <v>432.3</v>
      </c>
      <c r="Y26" s="63">
        <v>521.4</v>
      </c>
      <c r="Z26" s="148">
        <v>486.6</v>
      </c>
      <c r="AA26" s="18">
        <v>108</v>
      </c>
      <c r="AB26" s="20">
        <v>213.9</v>
      </c>
      <c r="AC26" s="15">
        <v>432.3</v>
      </c>
      <c r="AD26" s="15"/>
      <c r="AE26" s="15"/>
      <c r="AF26" s="15"/>
      <c r="AG26" s="15"/>
      <c r="AH26" s="506"/>
      <c r="AI26" s="335">
        <f t="shared" si="0"/>
        <v>10507.899999999998</v>
      </c>
      <c r="AJ26" s="118">
        <v>100</v>
      </c>
      <c r="AK26" s="121">
        <f t="shared" si="26"/>
        <v>3.7777777777777775E-3</v>
      </c>
      <c r="AL26" s="67">
        <f t="shared" si="47"/>
        <v>7.8833333333333325E-2</v>
      </c>
      <c r="AM26" s="68">
        <f t="shared" si="47"/>
        <v>9.5125000000000001E-2</v>
      </c>
      <c r="AN26" s="68">
        <f t="shared" si="47"/>
        <v>6.7999999999999991E-2</v>
      </c>
      <c r="AO26" s="68">
        <f t="shared" si="47"/>
        <v>7.0874999999999994E-2</v>
      </c>
      <c r="AP26" s="68">
        <f t="shared" si="47"/>
        <v>0.22804166666666664</v>
      </c>
      <c r="AQ26" s="68">
        <f t="shared" si="47"/>
        <v>0.10491666666666667</v>
      </c>
      <c r="AR26" s="68">
        <f>IF(OR(J26="",J26="Sem monitoramento"),"VAZIO",IFERROR(J26/($AJ26*24),"-"))</f>
        <v>0.22404166666666669</v>
      </c>
      <c r="AS26" s="68">
        <f t="shared" si="43"/>
        <v>0.230625</v>
      </c>
      <c r="AT26" s="68">
        <f t="shared" si="41"/>
        <v>0.18195833333333333</v>
      </c>
      <c r="AU26" s="68">
        <f t="shared" si="48"/>
        <v>0.16341666666666665</v>
      </c>
      <c r="AV26" s="68" t="e">
        <f>IF(OR(#REF!="",#REF!="Sem monitoramento"),"VAZIO",IFERROR(#REF!/($AJ26*24),"-"))</f>
        <v>#REF!</v>
      </c>
      <c r="AW26" s="68">
        <f t="shared" si="49"/>
        <v>0.14016666666666666</v>
      </c>
      <c r="AX26" s="68">
        <f t="shared" si="35"/>
        <v>0.22550000000000001</v>
      </c>
      <c r="AY26" s="68">
        <f t="shared" si="37"/>
        <v>0.22050000000000003</v>
      </c>
      <c r="AZ26" s="68">
        <f t="shared" si="42"/>
        <v>0.23341666666666669</v>
      </c>
      <c r="BA26" s="68">
        <f t="shared" si="44"/>
        <v>0.23525000000000001</v>
      </c>
      <c r="BB26" s="68">
        <f>IF(OR(T27="",T27="Sem monitoramento"),"VAZIO",IFERROR(T27/($AJ26*24),"-"))</f>
        <v>0.18708333333333332</v>
      </c>
      <c r="BC26" s="68">
        <f>IF(OR(U27="",U27="Sem monitoramento"),"VAZIO",IFERROR(U27/($AJ26*24),"-"))</f>
        <v>0.17870833333333333</v>
      </c>
      <c r="BD26" s="68">
        <f t="shared" ref="BD26:BD32" si="51">IF(OR(V26="",V26="Sem monitoramento"),"VAZIO",IFERROR(V26/($AJ26*24),"-"))</f>
        <v>0.18091666666666667</v>
      </c>
      <c r="BE26" s="68" t="e">
        <f>IF(OR(#REF!="",#REF!="Sem monitoramento"),"VAZIO",IFERROR(#REF!/($AJ26*24),"-"))</f>
        <v>#REF!</v>
      </c>
      <c r="BF26" s="68">
        <f>IF(OR(X26="",X26="Sem monitoramento"),"VAZIO",IFERROR(X26/($AJ26*24),"-"))</f>
        <v>0.18012500000000001</v>
      </c>
      <c r="BG26" s="68">
        <f t="shared" si="50"/>
        <v>0.21725</v>
      </c>
      <c r="BH26" s="68">
        <f>IF(OR(Z27="",Z27="Sem monitoramento"),"VAZIO",IFERROR(Z27/($AJ26*24),"-"))</f>
        <v>0.17887500000000001</v>
      </c>
      <c r="BI26" s="68">
        <f>IF(OR(AA26="",AA26="Sem monitoramento"),"VAZIO",IFERROR(AA26/($AJ26*24),"-"))</f>
        <v>4.4999999999999998E-2</v>
      </c>
      <c r="BJ26" s="68">
        <f t="shared" si="45"/>
        <v>8.9124999999999996E-2</v>
      </c>
      <c r="BK26" s="68">
        <f t="shared" si="38"/>
        <v>0.18012500000000001</v>
      </c>
      <c r="BL26" s="68" t="str">
        <f t="shared" ref="BL26:BL32" si="52">IF(OR(AD26="",AD26="Sem monitoramento"),"VAZIO",IFERROR(AD26/($AJ26*24),"-"))</f>
        <v>VAZIO</v>
      </c>
      <c r="BM26" s="68" t="str">
        <f t="shared" si="46"/>
        <v>VAZIO</v>
      </c>
      <c r="BN26" s="68" t="str">
        <f t="shared" si="46"/>
        <v>VAZIO</v>
      </c>
      <c r="BO26" s="68" t="str">
        <f>IF(OR(AG26="",AG26="Sem monitoramento"),"VAZIO",IFERROR(AG26/($AJ26*24),"-"))</f>
        <v>VAZIO</v>
      </c>
      <c r="BP26" s="70">
        <f t="shared" si="30"/>
        <v>0.1683958333333333</v>
      </c>
      <c r="BQ26" s="198">
        <f t="shared" si="40"/>
        <v>0.168125</v>
      </c>
      <c r="BR26" s="72">
        <f t="shared" si="24"/>
        <v>16.8125</v>
      </c>
      <c r="BS26" s="73">
        <f t="shared" si="25"/>
        <v>-0.10012500000000001</v>
      </c>
      <c r="BT26" s="74">
        <f t="shared" si="9"/>
        <v>2.7083333333330351E-4</v>
      </c>
      <c r="BU26" s="15" t="s">
        <v>30</v>
      </c>
      <c r="BV26" s="3"/>
      <c r="BW26" s="2"/>
      <c r="BX26" s="2"/>
    </row>
    <row r="27" spans="2:76" x14ac:dyDescent="0.3">
      <c r="B27" s="775"/>
      <c r="C27" s="326" t="s">
        <v>32</v>
      </c>
      <c r="D27" s="62">
        <v>384.1</v>
      </c>
      <c r="E27" s="283">
        <v>179.9</v>
      </c>
      <c r="F27" s="63">
        <v>177</v>
      </c>
      <c r="G27" s="63">
        <v>177</v>
      </c>
      <c r="H27" s="63">
        <v>461.4</v>
      </c>
      <c r="I27" s="283">
        <v>360.8</v>
      </c>
      <c r="J27" s="63">
        <v>437.4</v>
      </c>
      <c r="K27" s="63">
        <v>473.2</v>
      </c>
      <c r="L27" s="63">
        <v>418.6</v>
      </c>
      <c r="M27" s="283">
        <v>366.2</v>
      </c>
      <c r="N27" s="519">
        <v>318.60000000000002</v>
      </c>
      <c r="O27" s="63">
        <v>450.3</v>
      </c>
      <c r="P27" s="63">
        <v>473.7</v>
      </c>
      <c r="Q27" s="283">
        <v>464.2</v>
      </c>
      <c r="R27" s="283">
        <v>425.8</v>
      </c>
      <c r="S27" s="63">
        <v>462.5</v>
      </c>
      <c r="T27" s="63">
        <v>449</v>
      </c>
      <c r="U27" s="63">
        <v>428.9</v>
      </c>
      <c r="V27" s="283">
        <v>337.4</v>
      </c>
      <c r="W27" s="283">
        <v>473.2</v>
      </c>
      <c r="X27" s="63">
        <v>284.2</v>
      </c>
      <c r="Y27" s="63">
        <v>434</v>
      </c>
      <c r="Z27" s="221">
        <v>429.3</v>
      </c>
      <c r="AA27" s="320">
        <v>92.9</v>
      </c>
      <c r="AB27" s="323">
        <v>289</v>
      </c>
      <c r="AC27" s="15">
        <v>391.2</v>
      </c>
      <c r="AD27" s="221"/>
      <c r="AE27" s="15"/>
      <c r="AF27" s="283"/>
      <c r="AG27" s="283"/>
      <c r="AH27" s="731"/>
      <c r="AI27" s="335">
        <f t="shared" si="0"/>
        <v>9639.7999999999975</v>
      </c>
      <c r="AJ27" s="118">
        <v>100</v>
      </c>
      <c r="AK27" s="121">
        <f t="shared" si="26"/>
        <v>4.0972222222222226E-3</v>
      </c>
      <c r="AL27" s="67">
        <f t="shared" ref="AL27:AO28" si="53">IF(OR(D27="",D27="Sem monitoramento"),"VAZIO",IFERROR(D27/($AJ27*24),"-"))</f>
        <v>0.16004166666666667</v>
      </c>
      <c r="AM27" s="68">
        <f t="shared" si="53"/>
        <v>7.4958333333333335E-2</v>
      </c>
      <c r="AN27" s="68">
        <f t="shared" si="53"/>
        <v>7.3749999999999996E-2</v>
      </c>
      <c r="AO27" s="68">
        <f t="shared" si="53"/>
        <v>7.3749999999999996E-2</v>
      </c>
      <c r="AP27" s="68" t="e">
        <f>IF(OR(#REF!="",#REF!="Sem monitoramento"),"VAZIO",IFERROR(#REF!/($AJ27*24),"-"))</f>
        <v>#REF!</v>
      </c>
      <c r="AQ27" s="68">
        <f t="shared" ref="AQ27:AQ32" si="54">IF(OR(I27="",I27="Sem monitoramento"),"VAZIO",IFERROR(I27/($AJ27*24),"-"))</f>
        <v>0.15033333333333335</v>
      </c>
      <c r="AR27" s="68">
        <f>IF(OR(J27="",J27="Sem monitoramento"),"VAZIO",IFERROR(J27/($AJ27*24),"-"))</f>
        <v>0.18225</v>
      </c>
      <c r="AS27" s="68">
        <f t="shared" si="43"/>
        <v>0.19716666666666666</v>
      </c>
      <c r="AT27" s="68">
        <f t="shared" si="41"/>
        <v>0.17441666666666666</v>
      </c>
      <c r="AU27" s="68">
        <f t="shared" si="48"/>
        <v>0.15258333333333332</v>
      </c>
      <c r="AV27" s="68">
        <f>IF(OR(N26="",N26="Sem monitoramento"),"VAZIO",IFERROR(N26/($AJ27*24),"-"))</f>
        <v>0.19525000000000001</v>
      </c>
      <c r="AW27" s="68">
        <f t="shared" si="49"/>
        <v>0.18762500000000001</v>
      </c>
      <c r="AX27" s="68">
        <f t="shared" si="35"/>
        <v>0.19737499999999999</v>
      </c>
      <c r="AY27" s="68">
        <f t="shared" si="37"/>
        <v>0.19341666666666665</v>
      </c>
      <c r="AZ27" s="68">
        <f t="shared" si="42"/>
        <v>0.17741666666666667</v>
      </c>
      <c r="BA27" s="68">
        <f t="shared" si="44"/>
        <v>0.19270833333333334</v>
      </c>
      <c r="BB27" s="68" t="e">
        <f>IF(OR(#REF!="",#REF!="Sem monitoramento"),"VAZIO",IFERROR(#REF!/($AJ27*24),"-"))</f>
        <v>#REF!</v>
      </c>
      <c r="BC27" s="68" t="e">
        <f>IF(OR(#REF!="",#REF!="Sem monitoramento"),"VAZIO",IFERROR(#REF!/($AJ27*24),"-"))</f>
        <v>#REF!</v>
      </c>
      <c r="BD27" s="68">
        <f t="shared" si="51"/>
        <v>0.14058333333333331</v>
      </c>
      <c r="BE27" s="68">
        <f>IF(OR(W26="",W26="Sem monitoramento"),"VAZIO",IFERROR(W26/($AJ27*24),"-"))</f>
        <v>0.23362500000000003</v>
      </c>
      <c r="BF27" s="68">
        <f>IF(OR(X27="",X27="Sem monitoramento"),"VAZIO",IFERROR(X27/($AJ27*24),"-"))</f>
        <v>0.11841666666666666</v>
      </c>
      <c r="BG27" s="68">
        <f t="shared" si="50"/>
        <v>0.18083333333333335</v>
      </c>
      <c r="BH27" s="68" t="e">
        <f>IF(OR(#REF!="",#REF!="Sem monitoramento"),"VAZIO",IFERROR(#REF!/($AJ27*24),"-"))</f>
        <v>#REF!</v>
      </c>
      <c r="BI27" s="68">
        <f>IF(OR(AA27="",AA27="Sem monitoramento"),"VAZIO",IFERROR(AA27/($AJ27*24),"-"))</f>
        <v>3.8708333333333338E-2</v>
      </c>
      <c r="BJ27" s="68">
        <f t="shared" si="45"/>
        <v>0.12041666666666667</v>
      </c>
      <c r="BK27" s="68">
        <f t="shared" si="38"/>
        <v>0.16300000000000001</v>
      </c>
      <c r="BL27" s="68" t="str">
        <f t="shared" si="52"/>
        <v>VAZIO</v>
      </c>
      <c r="BM27" s="68" t="str">
        <f t="shared" si="46"/>
        <v>VAZIO</v>
      </c>
      <c r="BN27" s="68" t="str">
        <f t="shared" si="46"/>
        <v>VAZIO</v>
      </c>
      <c r="BO27" s="68" t="str">
        <f>IF(OR(AG27="",AG27="Sem monitoramento"),"VAZIO",IFERROR(AG27/($AJ27*24),"-"))</f>
        <v>VAZIO</v>
      </c>
      <c r="BP27" s="70">
        <f t="shared" si="30"/>
        <v>0.15448397435897432</v>
      </c>
      <c r="BQ27" s="198">
        <f t="shared" si="40"/>
        <v>0.168125</v>
      </c>
      <c r="BR27" s="72">
        <f t="shared" si="24"/>
        <v>16.8125</v>
      </c>
      <c r="BS27" s="73">
        <f t="shared" si="25"/>
        <v>-9.4375000000000001E-2</v>
      </c>
      <c r="BT27" s="74">
        <f t="shared" si="9"/>
        <v>-1.3641025641025678E-2</v>
      </c>
      <c r="BU27" s="15" t="s">
        <v>111</v>
      </c>
      <c r="BV27" s="3"/>
      <c r="BW27" s="2"/>
      <c r="BX27" s="2"/>
    </row>
    <row r="28" spans="2:76" x14ac:dyDescent="0.3">
      <c r="B28" s="775"/>
      <c r="C28" s="326" t="s">
        <v>288</v>
      </c>
      <c r="D28" s="223">
        <v>266.10000000000002</v>
      </c>
      <c r="E28" s="63">
        <v>119.2</v>
      </c>
      <c r="F28" s="63">
        <v>106.6</v>
      </c>
      <c r="G28" s="308">
        <v>362.1</v>
      </c>
      <c r="H28" s="283">
        <v>406.8</v>
      </c>
      <c r="I28" s="519">
        <v>232.5</v>
      </c>
      <c r="J28" s="283">
        <v>439.3</v>
      </c>
      <c r="K28" s="283">
        <v>444.3</v>
      </c>
      <c r="L28" s="283">
        <v>327.5</v>
      </c>
      <c r="M28" s="283">
        <v>302.2</v>
      </c>
      <c r="N28" s="283">
        <v>294.3</v>
      </c>
      <c r="O28" s="283">
        <v>299.60000000000002</v>
      </c>
      <c r="P28" s="63">
        <v>438.6</v>
      </c>
      <c r="Q28" s="283">
        <v>440.7</v>
      </c>
      <c r="R28" s="282">
        <v>88.7</v>
      </c>
      <c r="S28" s="63">
        <v>446.5</v>
      </c>
      <c r="T28" s="283">
        <v>421.2</v>
      </c>
      <c r="U28" s="283">
        <v>418.7</v>
      </c>
      <c r="V28" s="283">
        <v>325.3</v>
      </c>
      <c r="W28" s="283">
        <v>414</v>
      </c>
      <c r="X28" s="283">
        <v>432.1</v>
      </c>
      <c r="Y28" s="283">
        <v>404.9</v>
      </c>
      <c r="Z28" s="221">
        <v>379</v>
      </c>
      <c r="AA28" s="283">
        <v>72.3</v>
      </c>
      <c r="AB28" s="323">
        <v>273.8</v>
      </c>
      <c r="AC28" s="283">
        <v>376.4</v>
      </c>
      <c r="AD28" s="283"/>
      <c r="AE28" s="283"/>
      <c r="AF28" s="283"/>
      <c r="AG28" s="283"/>
      <c r="AH28" s="731"/>
      <c r="AI28" s="335">
        <f t="shared" si="0"/>
        <v>8532.7000000000007</v>
      </c>
      <c r="AJ28" s="118">
        <v>100</v>
      </c>
      <c r="AK28" s="121">
        <f t="shared" si="26"/>
        <v>2.4675925925925924E-3</v>
      </c>
      <c r="AL28" s="67">
        <f t="shared" si="53"/>
        <v>0.11087500000000002</v>
      </c>
      <c r="AM28" s="68">
        <f t="shared" si="53"/>
        <v>4.9666666666666665E-2</v>
      </c>
      <c r="AN28" s="68">
        <f t="shared" si="53"/>
        <v>4.4416666666666667E-2</v>
      </c>
      <c r="AO28" s="68">
        <f t="shared" si="53"/>
        <v>0.15087500000000001</v>
      </c>
      <c r="AP28" s="68">
        <f>IF(OR(H27="",H27="Sem monitoramento"),"VAZIO",IFERROR(H27/($AJ28*24),"-"))</f>
        <v>0.19225</v>
      </c>
      <c r="AQ28" s="68">
        <f t="shared" si="54"/>
        <v>9.6875000000000003E-2</v>
      </c>
      <c r="AR28" s="68">
        <f>IF(OR(J28="",J28="Sem monitoramento"),"VAZIO",IFERROR(J28/($AJ28*24),"-"))</f>
        <v>0.18304166666666666</v>
      </c>
      <c r="AS28" s="68">
        <f t="shared" si="43"/>
        <v>0.18512500000000001</v>
      </c>
      <c r="AT28" s="68">
        <f t="shared" si="41"/>
        <v>0.13645833333333332</v>
      </c>
      <c r="AU28" s="68">
        <f t="shared" si="48"/>
        <v>0.12591666666666665</v>
      </c>
      <c r="AV28" s="68">
        <f>IF(OR(N28="",N28="Sem monitoramento"),"VAZIO",IFERROR(N28/($AJ28*24),"-"))</f>
        <v>0.122625</v>
      </c>
      <c r="AW28" s="68">
        <f t="shared" si="49"/>
        <v>0.12483333333333334</v>
      </c>
      <c r="AX28" s="68">
        <f t="shared" si="35"/>
        <v>0.18275</v>
      </c>
      <c r="AY28" s="68">
        <f t="shared" si="37"/>
        <v>0.18362499999999998</v>
      </c>
      <c r="AZ28" s="68">
        <f t="shared" si="42"/>
        <v>3.6958333333333336E-2</v>
      </c>
      <c r="BA28" s="68">
        <f t="shared" si="44"/>
        <v>0.18604166666666666</v>
      </c>
      <c r="BB28" s="68">
        <f t="shared" ref="BB28:BC32" si="55">IF(OR(T28="",T28="Sem monitoramento"),"VAZIO",IFERROR(T28/($AJ28*24),"-"))</f>
        <v>0.17549999999999999</v>
      </c>
      <c r="BC28" s="68">
        <f t="shared" si="55"/>
        <v>0.17445833333333333</v>
      </c>
      <c r="BD28" s="68">
        <f t="shared" si="51"/>
        <v>0.13554166666666667</v>
      </c>
      <c r="BE28" s="68">
        <f>IF(OR(W28="",W28="Sem monitoramento"),"VAZIO",IFERROR(W28/($AJ28*24),"-"))</f>
        <v>0.17249999999999999</v>
      </c>
      <c r="BF28" s="68">
        <f>IF(OR(X28="",X28="Sem monitoramento"),"VAZIO",IFERROR(X28/($AJ28*24),"-"))</f>
        <v>0.18004166666666668</v>
      </c>
      <c r="BG28" s="68">
        <f t="shared" si="50"/>
        <v>0.16870833333333332</v>
      </c>
      <c r="BH28" s="68">
        <f>IF(OR(Z28="",Z28="Sem monitoramento"),"VAZIO",IFERROR(Z28/($AJ28*24),"-"))</f>
        <v>0.15791666666666668</v>
      </c>
      <c r="BI28" s="68" t="e">
        <f>IF(OR(#REF!="",#REF!="Sem monitoramento"),"VAZIO",IFERROR(#REF!/($AJ28*24),"-"))</f>
        <v>#REF!</v>
      </c>
      <c r="BJ28" s="68">
        <f t="shared" si="45"/>
        <v>0.11408333333333334</v>
      </c>
      <c r="BK28" s="68">
        <f t="shared" si="38"/>
        <v>0.15683333333333332</v>
      </c>
      <c r="BL28" s="68" t="str">
        <f t="shared" si="52"/>
        <v>VAZIO</v>
      </c>
      <c r="BM28" s="68" t="str">
        <f t="shared" si="46"/>
        <v>VAZIO</v>
      </c>
      <c r="BN28" s="68" t="str">
        <f t="shared" si="46"/>
        <v>VAZIO</v>
      </c>
      <c r="BO28" s="68" t="str">
        <f>IF(OR(AG28="",AG28="Sem monitoramento"),"VAZIO",IFERROR(AG28/($AJ28*24),"-"))</f>
        <v>VAZIO</v>
      </c>
      <c r="BP28" s="70">
        <f t="shared" si="30"/>
        <v>0.13674198717948718</v>
      </c>
      <c r="BQ28" s="198">
        <f t="shared" si="40"/>
        <v>0.168125</v>
      </c>
      <c r="BR28" s="72">
        <f t="shared" si="24"/>
        <v>16.8125</v>
      </c>
      <c r="BS28" s="73">
        <f t="shared" si="25"/>
        <v>-0.12370833333333334</v>
      </c>
      <c r="BT28" s="74">
        <f t="shared" si="9"/>
        <v>-3.1383012820512812E-2</v>
      </c>
      <c r="BU28" s="15" t="s">
        <v>32</v>
      </c>
      <c r="BV28" s="3"/>
      <c r="BW28" s="2"/>
      <c r="BX28" s="2"/>
    </row>
    <row r="29" spans="2:76" x14ac:dyDescent="0.3">
      <c r="B29" s="775"/>
      <c r="C29" s="326" t="s">
        <v>112</v>
      </c>
      <c r="D29" s="223">
        <v>216.7</v>
      </c>
      <c r="E29" s="223">
        <v>99.5</v>
      </c>
      <c r="F29" s="63">
        <v>91.8</v>
      </c>
      <c r="G29" s="308">
        <v>246.2</v>
      </c>
      <c r="H29" s="283">
        <v>332.1</v>
      </c>
      <c r="I29" s="283">
        <v>186.1</v>
      </c>
      <c r="J29" s="283">
        <v>358.5</v>
      </c>
      <c r="K29" s="283">
        <v>389.5</v>
      </c>
      <c r="L29" s="283">
        <v>289.5</v>
      </c>
      <c r="M29" s="63">
        <v>281.39999999999998</v>
      </c>
      <c r="N29" s="63">
        <v>277.89999999999998</v>
      </c>
      <c r="O29" s="283">
        <v>289.89999999999998</v>
      </c>
      <c r="P29" s="283">
        <v>403.6</v>
      </c>
      <c r="Q29" s="283">
        <v>430.4</v>
      </c>
      <c r="R29" s="282">
        <v>71.8</v>
      </c>
      <c r="S29" s="283">
        <v>425</v>
      </c>
      <c r="T29" s="283">
        <v>425.6</v>
      </c>
      <c r="U29" s="283">
        <v>441.2</v>
      </c>
      <c r="V29" s="283">
        <v>293.10000000000002</v>
      </c>
      <c r="W29" s="283">
        <v>366</v>
      </c>
      <c r="X29" s="283">
        <v>374.1</v>
      </c>
      <c r="Y29" s="283">
        <v>395.2</v>
      </c>
      <c r="Z29" s="283">
        <v>390</v>
      </c>
      <c r="AA29" s="934">
        <v>75.7</v>
      </c>
      <c r="AB29" s="323">
        <v>275.89999999999998</v>
      </c>
      <c r="AC29" s="283">
        <v>341</v>
      </c>
      <c r="AD29" s="283"/>
      <c r="AE29" s="221"/>
      <c r="AF29" s="221"/>
      <c r="AG29" s="221"/>
      <c r="AH29" s="729"/>
      <c r="AI29" s="335">
        <f t="shared" si="0"/>
        <v>7767.7000000000007</v>
      </c>
      <c r="AJ29" s="301">
        <v>100</v>
      </c>
      <c r="AK29" s="121">
        <f t="shared" si="26"/>
        <v>2.1249999999999997E-3</v>
      </c>
      <c r="AL29" s="302" t="e">
        <f>IF(OR(#REF!="",#REF!="Sem monitoramento"),"VAZIO",IFERROR(#REF!/($AJ29*24),"-"))</f>
        <v>#REF!</v>
      </c>
      <c r="AM29" s="303" t="e">
        <f>IF(OR(#REF!="",#REF!="Sem monitoramento"),"VAZIO",IFERROR(#REF!/($AJ29*24),"-"))</f>
        <v>#REF!</v>
      </c>
      <c r="AN29" s="303">
        <f t="shared" ref="AN29:AO32" si="56">IF(OR(F29="",F29="Sem monitoramento"),"VAZIO",IFERROR(F29/($AJ29*24),"-"))</f>
        <v>3.8249999999999999E-2</v>
      </c>
      <c r="AO29" s="303">
        <f t="shared" si="56"/>
        <v>0.10258333333333333</v>
      </c>
      <c r="AP29" s="303" t="e">
        <f>IF(OR(#REF!="",#REF!="Sem monitoramento"),"VAZIO",IFERROR(#REF!/($AJ29*24),"-"))</f>
        <v>#REF!</v>
      </c>
      <c r="AQ29" s="303">
        <f t="shared" si="54"/>
        <v>7.7541666666666662E-2</v>
      </c>
      <c r="AR29" s="303">
        <f>IF(OR(J29="",J29="Sem monitoramento"),"VAZIO",IFERROR(J29/($AJ29*24),"-"))</f>
        <v>0.14937500000000001</v>
      </c>
      <c r="AS29" s="303">
        <f t="shared" si="43"/>
        <v>0.16229166666666667</v>
      </c>
      <c r="AT29" s="303">
        <f t="shared" si="41"/>
        <v>0.120625</v>
      </c>
      <c r="AU29" s="303">
        <f t="shared" si="48"/>
        <v>0.11724999999999999</v>
      </c>
      <c r="AV29" s="303">
        <f>IF(OR(N29="",N29="Sem monitoramento"),"VAZIO",IFERROR(N29/($AJ29*24),"-"))</f>
        <v>0.11579166666666665</v>
      </c>
      <c r="AW29" s="303">
        <f t="shared" si="49"/>
        <v>0.12079166666666666</v>
      </c>
      <c r="AX29" s="303">
        <f t="shared" si="35"/>
        <v>0.16816666666666669</v>
      </c>
      <c r="AY29" s="303">
        <f t="shared" si="37"/>
        <v>0.17933333333333332</v>
      </c>
      <c r="AZ29" s="303">
        <f t="shared" si="42"/>
        <v>2.9916666666666664E-2</v>
      </c>
      <c r="BA29" s="303">
        <f t="shared" si="44"/>
        <v>0.17708333333333334</v>
      </c>
      <c r="BB29" s="303">
        <f t="shared" si="55"/>
        <v>0.17733333333333334</v>
      </c>
      <c r="BC29" s="303">
        <f t="shared" si="55"/>
        <v>0.18383333333333332</v>
      </c>
      <c r="BD29" s="303">
        <f t="shared" si="51"/>
        <v>0.12212500000000001</v>
      </c>
      <c r="BE29" s="303" t="e">
        <f>IF(OR(#REF!="",#REF!="Sem monitoramento"),"VAZIO",IFERROR(#REF!/($AJ29*24),"-"))</f>
        <v>#REF!</v>
      </c>
      <c r="BF29" s="303" t="e">
        <f>IF(OR(#REF!="",#REF!="Sem monitoramento"),"VAZIO",IFERROR(#REF!/($AJ29*24),"-"))</f>
        <v>#REF!</v>
      </c>
      <c r="BG29" s="303">
        <f t="shared" si="50"/>
        <v>0.16466666666666666</v>
      </c>
      <c r="BH29" s="303">
        <f>IF(OR(Z29="",Z29="Sem monitoramento"),"VAZIO",IFERROR(Z29/($AJ29*24),"-"))</f>
        <v>0.16250000000000001</v>
      </c>
      <c r="BI29" s="303">
        <f>IF(OR(AA28="",AA28="Sem monitoramento"),"VAZIO",IFERROR(AA28/($AJ29*24),"-"))</f>
        <v>3.0124999999999999E-2</v>
      </c>
      <c r="BJ29" s="303">
        <f t="shared" si="45"/>
        <v>0.11495833333333333</v>
      </c>
      <c r="BK29" s="303">
        <f t="shared" si="38"/>
        <v>0.14208333333333334</v>
      </c>
      <c r="BL29" s="303" t="str">
        <f t="shared" si="52"/>
        <v>VAZIO</v>
      </c>
      <c r="BM29" s="303" t="str">
        <f>IF(OR(AE29="",AE29="Sem monitoramento"),"VAZIO",IFERROR(AE29/($AJ29*24),"-"))</f>
        <v>VAZIO</v>
      </c>
      <c r="BN29" s="303" t="e">
        <f>IF(OR(#REF!="",#REF!="Sem monitoramento"),"VAZIO",IFERROR(#REF!/($AJ29*24),"-"))</f>
        <v>#REF!</v>
      </c>
      <c r="BO29" s="303" t="e">
        <f>IF(OR(#REF!="",#REF!="Sem monitoramento"),"VAZIO",IFERROR(#REF!/($AJ29*24),"-"))</f>
        <v>#REF!</v>
      </c>
      <c r="BP29" s="304">
        <f t="shared" si="30"/>
        <v>0.1244823717948718</v>
      </c>
      <c r="BQ29" s="198">
        <f t="shared" si="40"/>
        <v>0.168125</v>
      </c>
      <c r="BR29" s="72">
        <f t="shared" si="24"/>
        <v>16.8125</v>
      </c>
      <c r="BS29" s="73">
        <f t="shared" si="25"/>
        <v>-0.12987499999999999</v>
      </c>
      <c r="BT29" s="74">
        <f>BP29-BQ29</f>
        <v>-4.3642628205128195E-2</v>
      </c>
      <c r="BU29" s="15" t="s">
        <v>440</v>
      </c>
      <c r="BV29" s="3"/>
      <c r="BW29" s="2"/>
      <c r="BX29" s="2"/>
    </row>
    <row r="30" spans="2:76" ht="15" thickBot="1" x14ac:dyDescent="0.35">
      <c r="B30" s="775"/>
      <c r="C30" s="326" t="s">
        <v>289</v>
      </c>
      <c r="D30" s="223">
        <v>257.10000000000002</v>
      </c>
      <c r="E30" s="283">
        <v>112.3</v>
      </c>
      <c r="F30" s="283">
        <v>106.5</v>
      </c>
      <c r="G30" s="308">
        <v>338.3</v>
      </c>
      <c r="H30" s="283">
        <v>358.2</v>
      </c>
      <c r="I30" s="308">
        <v>209.1</v>
      </c>
      <c r="J30" s="63">
        <v>414.1</v>
      </c>
      <c r="K30" s="283">
        <v>419.8</v>
      </c>
      <c r="L30" s="283">
        <v>268.10000000000002</v>
      </c>
      <c r="M30" s="283">
        <v>276.8</v>
      </c>
      <c r="N30" s="316">
        <v>289.7</v>
      </c>
      <c r="O30" s="283">
        <v>277.2</v>
      </c>
      <c r="P30" s="283">
        <v>411.5</v>
      </c>
      <c r="Q30" s="283">
        <v>423.1</v>
      </c>
      <c r="R30" s="282">
        <v>50.8</v>
      </c>
      <c r="S30" s="283">
        <v>417.1</v>
      </c>
      <c r="T30" s="283">
        <v>402.5</v>
      </c>
      <c r="U30" s="283">
        <v>407</v>
      </c>
      <c r="V30" s="283">
        <v>275.10000000000002</v>
      </c>
      <c r="W30" s="283">
        <v>374.7</v>
      </c>
      <c r="X30" s="519">
        <v>374.7</v>
      </c>
      <c r="Y30" s="283">
        <v>395</v>
      </c>
      <c r="Z30" s="221">
        <v>389</v>
      </c>
      <c r="AA30" s="320">
        <v>76</v>
      </c>
      <c r="AB30" s="323">
        <v>277</v>
      </c>
      <c r="AC30" s="283">
        <v>344</v>
      </c>
      <c r="AD30" s="283"/>
      <c r="AE30" s="221"/>
      <c r="AF30" s="241"/>
      <c r="AG30" s="221"/>
      <c r="AH30" s="729"/>
      <c r="AI30" s="335">
        <f t="shared" si="0"/>
        <v>7944.7000000000007</v>
      </c>
      <c r="AJ30" s="119">
        <v>100</v>
      </c>
      <c r="AK30" s="121">
        <f t="shared" si="26"/>
        <v>2.4652777777777776E-3</v>
      </c>
      <c r="AL30" s="98">
        <f>IF(OR(D29="",D29="Sem monitoramento"),"VAZIO",IFERROR(D29/($AJ30*24),"-"))</f>
        <v>9.0291666666666659E-2</v>
      </c>
      <c r="AM30" s="99">
        <f>IF(OR(E30="",E30="Sem monitoramento"),"VAZIO",IFERROR(E30/($AJ30*24),"-"))</f>
        <v>4.6791666666666669E-2</v>
      </c>
      <c r="AN30" s="99">
        <f t="shared" si="56"/>
        <v>4.4374999999999998E-2</v>
      </c>
      <c r="AO30" s="99">
        <f t="shared" si="56"/>
        <v>0.14095833333333332</v>
      </c>
      <c r="AP30" s="99">
        <f>IF(OR(H30="",H30="Sem monitoramento"),"VAZIO",IFERROR(H30/($AJ30*24),"-"))</f>
        <v>0.14924999999999999</v>
      </c>
      <c r="AQ30" s="99">
        <f t="shared" si="54"/>
        <v>8.7124999999999994E-2</v>
      </c>
      <c r="AR30" s="99">
        <f>IF(OR(J31="",J31="Sem monitoramento"),"VAZIO",IFERROR(J31/($AJ30*24),"-"))</f>
        <v>0</v>
      </c>
      <c r="AS30" s="99">
        <f t="shared" si="43"/>
        <v>0.17491666666666666</v>
      </c>
      <c r="AT30" s="99">
        <f t="shared" si="41"/>
        <v>0.11170833333333334</v>
      </c>
      <c r="AU30" s="99">
        <f t="shared" si="48"/>
        <v>0.11533333333333334</v>
      </c>
      <c r="AV30" s="99">
        <f>IF(OR(N31="",N31="Sem monitoramento"),"VAZIO",IFERROR(N31/($AJ30*24),"-"))</f>
        <v>0.10625</v>
      </c>
      <c r="AW30" s="99">
        <f t="shared" si="49"/>
        <v>0.11549999999999999</v>
      </c>
      <c r="AX30" s="99">
        <f t="shared" si="35"/>
        <v>0.17145833333333332</v>
      </c>
      <c r="AY30" s="99">
        <f t="shared" si="37"/>
        <v>0.17629166666666668</v>
      </c>
      <c r="AZ30" s="99">
        <f t="shared" si="42"/>
        <v>2.1166666666666667E-2</v>
      </c>
      <c r="BA30" s="99">
        <f t="shared" si="44"/>
        <v>0.17379166666666668</v>
      </c>
      <c r="BB30" s="99">
        <f t="shared" si="55"/>
        <v>0.16770833333333332</v>
      </c>
      <c r="BC30" s="99">
        <f t="shared" si="55"/>
        <v>0.16958333333333334</v>
      </c>
      <c r="BD30" s="99">
        <f t="shared" si="51"/>
        <v>0.114625</v>
      </c>
      <c r="BE30" s="99">
        <f>IF(OR(X29="",X29="Sem monitoramento"),"VAZIO",IFERROR(X29/($AJ30*24),"-"))</f>
        <v>0.15587500000000001</v>
      </c>
      <c r="BF30" s="99" t="e">
        <f>IF(OR(#REF!="",#REF!="Sem monitoramento"),"VAZIO",IFERROR(#REF!/($AJ30*24),"-"))</f>
        <v>#REF!</v>
      </c>
      <c r="BG30" s="99">
        <f t="shared" si="50"/>
        <v>0.16458333333333333</v>
      </c>
      <c r="BH30" s="99">
        <f>IF(OR(Z30="",Z30="Sem monitoramento"),"VAZIO",IFERROR(Z30/($AJ30*24),"-"))</f>
        <v>0.16208333333333333</v>
      </c>
      <c r="BI30" s="99">
        <f>IF(OR(AA30="",AA30="Sem monitoramento"),"VAZIO",IFERROR(AA30/($AJ30*24),"-"))</f>
        <v>3.1666666666666669E-2</v>
      </c>
      <c r="BJ30" s="99">
        <f t="shared" si="45"/>
        <v>0.11541666666666667</v>
      </c>
      <c r="BK30" s="99">
        <f t="shared" si="38"/>
        <v>0.14333333333333334</v>
      </c>
      <c r="BL30" s="99" t="str">
        <f t="shared" si="52"/>
        <v>VAZIO</v>
      </c>
      <c r="BM30" s="99" t="str">
        <f>IF(OR(AE30="",AE30="Sem monitoramento"),"VAZIO",IFERROR(AE30/($AJ30*24),"-"))</f>
        <v>VAZIO</v>
      </c>
      <c r="BN30" s="99" t="str">
        <f>IF(OR(AF29="",AF29="Sem monitoramento"),"VAZIO",IFERROR(AF29/($AJ30*24),"-"))</f>
        <v>VAZIO</v>
      </c>
      <c r="BO30" s="99" t="str">
        <f>IF(OR(AG29="",AG29="Sem monitoramento"),"VAZIO",IFERROR(AG29/($AJ30*24),"-"))</f>
        <v>VAZIO</v>
      </c>
      <c r="BP30" s="101">
        <f t="shared" si="30"/>
        <v>0.12731891025641026</v>
      </c>
      <c r="BQ30" s="198">
        <f t="shared" si="40"/>
        <v>0.168125</v>
      </c>
      <c r="BR30" s="72">
        <f t="shared" si="24"/>
        <v>16.8125</v>
      </c>
      <c r="BS30" s="73">
        <f t="shared" si="25"/>
        <v>-0.12375</v>
      </c>
      <c r="BT30" s="74">
        <f t="shared" si="9"/>
        <v>-4.0806089743589735E-2</v>
      </c>
      <c r="BU30" s="15" t="s">
        <v>112</v>
      </c>
      <c r="BV30" s="3"/>
      <c r="BW30" s="2"/>
      <c r="BX30" s="2"/>
    </row>
    <row r="31" spans="2:76" ht="15" thickBot="1" x14ac:dyDescent="0.35">
      <c r="B31" s="773" t="s">
        <v>290</v>
      </c>
      <c r="C31" s="326" t="s">
        <v>291</v>
      </c>
      <c r="D31" s="223">
        <v>283.5</v>
      </c>
      <c r="E31" s="480">
        <v>152.1</v>
      </c>
      <c r="F31" s="283">
        <v>182.5</v>
      </c>
      <c r="G31" s="283">
        <v>305.10000000000002</v>
      </c>
      <c r="H31" s="733">
        <v>119.6</v>
      </c>
      <c r="I31" s="508">
        <v>310</v>
      </c>
      <c r="J31" s="312">
        <v>0</v>
      </c>
      <c r="K31" s="282">
        <v>0</v>
      </c>
      <c r="L31" s="282">
        <v>0</v>
      </c>
      <c r="M31" s="282">
        <v>144</v>
      </c>
      <c r="N31" s="283">
        <v>255</v>
      </c>
      <c r="O31" s="283">
        <v>244</v>
      </c>
      <c r="P31" s="283">
        <v>401</v>
      </c>
      <c r="Q31" s="283">
        <v>399</v>
      </c>
      <c r="R31" s="283">
        <v>388</v>
      </c>
      <c r="S31" s="283">
        <v>400</v>
      </c>
      <c r="T31" s="283">
        <v>375</v>
      </c>
      <c r="U31" s="283">
        <v>267.5</v>
      </c>
      <c r="V31" s="283">
        <v>345.5</v>
      </c>
      <c r="W31" s="283">
        <v>375</v>
      </c>
      <c r="X31" s="283">
        <v>155.19999999999999</v>
      </c>
      <c r="Y31" s="320">
        <v>334.1</v>
      </c>
      <c r="Z31" s="320">
        <v>375.8</v>
      </c>
      <c r="AA31" s="320">
        <v>83.6</v>
      </c>
      <c r="AB31" s="323">
        <v>216</v>
      </c>
      <c r="AC31" s="15">
        <v>343.6</v>
      </c>
      <c r="AD31" s="221"/>
      <c r="AE31" s="221"/>
      <c r="AF31" s="15"/>
      <c r="AG31" s="15"/>
      <c r="AH31" s="506"/>
      <c r="AI31" s="335">
        <f t="shared" si="0"/>
        <v>6455.1000000000013</v>
      </c>
      <c r="AJ31" s="2">
        <v>100</v>
      </c>
      <c r="AK31" s="285">
        <f t="shared" si="26"/>
        <v>4.2245370370370371E-3</v>
      </c>
      <c r="AL31" s="98">
        <f>IF(OR(D31="",D31="Sem monitoramento"),"VAZIO",IFERROR(D31/($AJ31*24),"-"))</f>
        <v>0.11812499999999999</v>
      </c>
      <c r="AM31" s="99">
        <f>IF(OR(E29="",E29="Sem monitoramento"),"VAZIO",IFERROR(E29/($AJ31*24),"-"))</f>
        <v>4.1458333333333333E-2</v>
      </c>
      <c r="AN31" s="99">
        <f t="shared" si="56"/>
        <v>7.604166666666666E-2</v>
      </c>
      <c r="AO31" s="99">
        <f t="shared" si="56"/>
        <v>0.12712500000000002</v>
      </c>
      <c r="AP31" s="99">
        <f>IF(OR(H29="",H29="Sem monitoramento"),"VAZIO",IFERROR(H29/($AJ31*24),"-"))</f>
        <v>0.138375</v>
      </c>
      <c r="AQ31" s="99">
        <f t="shared" si="54"/>
        <v>0.12916666666666668</v>
      </c>
      <c r="AR31" s="99" t="e">
        <f>IF(OR(#REF!="",#REF!="Sem monitoramento"),"VAZIO",IFERROR(#REF!/($AJ31*24),"-"))</f>
        <v>#REF!</v>
      </c>
      <c r="AS31" s="99">
        <f t="shared" si="43"/>
        <v>0</v>
      </c>
      <c r="AT31" s="99">
        <f t="shared" si="41"/>
        <v>0</v>
      </c>
      <c r="AU31" s="99">
        <f t="shared" si="48"/>
        <v>0.06</v>
      </c>
      <c r="AV31" s="99" t="e">
        <f>IF(OR(#REF!="",#REF!="Sem monitoramento"),"VAZIO",IFERROR(#REF!/($AJ31*24),"-"))</f>
        <v>#REF!</v>
      </c>
      <c r="AW31" s="99">
        <f t="shared" si="49"/>
        <v>0.10166666666666667</v>
      </c>
      <c r="AX31" s="99">
        <f t="shared" si="35"/>
        <v>0.16708333333333333</v>
      </c>
      <c r="AY31" s="99">
        <f t="shared" si="37"/>
        <v>0.16625000000000001</v>
      </c>
      <c r="AZ31" s="99">
        <f t="shared" si="42"/>
        <v>0.16166666666666665</v>
      </c>
      <c r="BA31" s="99">
        <f t="shared" si="44"/>
        <v>0.16666666666666666</v>
      </c>
      <c r="BB31" s="99">
        <f t="shared" si="55"/>
        <v>0.15625</v>
      </c>
      <c r="BC31" s="99">
        <f t="shared" si="55"/>
        <v>0.11145833333333334</v>
      </c>
      <c r="BD31" s="99">
        <f t="shared" si="51"/>
        <v>0.14395833333333333</v>
      </c>
      <c r="BE31" s="99">
        <f>IF(OR(W31="",W31="Sem monitoramento"),"VAZIO",IFERROR(W31/($AJ31*24),"-"))</f>
        <v>0.15625</v>
      </c>
      <c r="BF31" s="99">
        <f>IF(OR(X31="",X31="Sem monitoramento"),"VAZIO",IFERROR(X31/($AJ31*24),"-"))</f>
        <v>6.4666666666666664E-2</v>
      </c>
      <c r="BG31" s="99">
        <f t="shared" si="50"/>
        <v>0.13920833333333335</v>
      </c>
      <c r="BH31" s="99">
        <f>IF(OR(Z31="",Z31="Sem monitoramento"),"VAZIO",IFERROR(Z31/($AJ31*24),"-"))</f>
        <v>0.15658333333333332</v>
      </c>
      <c r="BI31" s="99">
        <f>IF(OR(AA31="",AA31="Sem monitoramento"),"VAZIO",IFERROR(AA31/($AJ31*24),"-"))</f>
        <v>3.4833333333333334E-2</v>
      </c>
      <c r="BJ31" s="99">
        <f t="shared" si="45"/>
        <v>0.09</v>
      </c>
      <c r="BK31" s="99">
        <f t="shared" si="38"/>
        <v>0.14316666666666666</v>
      </c>
      <c r="BL31" s="99" t="str">
        <f t="shared" si="52"/>
        <v>VAZIO</v>
      </c>
      <c r="BM31" s="99" t="str">
        <f>IF(OR(AE31="",AE31="Sem monitoramento"),"VAZIO",IFERROR(AE31/($AJ31*24),"-"))</f>
        <v>VAZIO</v>
      </c>
      <c r="BN31" s="286" t="str">
        <f>IF(OR(AF31="",AF31="Sem monitoramento"),"VAZIO",IFERROR(AF31/($AJ31*24),"-"))</f>
        <v>VAZIO</v>
      </c>
      <c r="BO31" s="286" t="str">
        <f>IF(OR(AG31="",AG31="Sem monitoramento"),"VAZIO",IFERROR(AG31/($AJ31*24),"-"))</f>
        <v>VAZIO</v>
      </c>
      <c r="BP31" s="286">
        <f t="shared" si="30"/>
        <v>0.1034471153846154</v>
      </c>
      <c r="BQ31" s="198">
        <f t="shared" si="40"/>
        <v>0.168125</v>
      </c>
      <c r="BR31" s="72">
        <f t="shared" si="24"/>
        <v>16.8125</v>
      </c>
      <c r="BS31" s="73">
        <f t="shared" si="25"/>
        <v>-9.2083333333333336E-2</v>
      </c>
      <c r="BT31" s="74">
        <f t="shared" si="9"/>
        <v>-6.4677884615384595E-2</v>
      </c>
      <c r="BU31" s="2"/>
      <c r="BV31" s="3"/>
      <c r="BW31" s="2"/>
      <c r="BX31" s="2"/>
    </row>
    <row r="32" spans="2:76" ht="15" thickBot="1" x14ac:dyDescent="0.35">
      <c r="B32" s="777"/>
      <c r="C32" s="329" t="s">
        <v>563</v>
      </c>
      <c r="D32" s="224">
        <v>225.85</v>
      </c>
      <c r="E32" s="93">
        <v>107.9</v>
      </c>
      <c r="F32" s="93">
        <v>208.66</v>
      </c>
      <c r="G32" s="115">
        <v>298.7</v>
      </c>
      <c r="H32" s="532">
        <v>392.2</v>
      </c>
      <c r="I32" s="115">
        <v>347.4</v>
      </c>
      <c r="J32" s="115">
        <v>316.8</v>
      </c>
      <c r="K32" s="93">
        <v>369</v>
      </c>
      <c r="L32" s="93">
        <v>299.64999999999998</v>
      </c>
      <c r="M32" s="93">
        <v>298.8</v>
      </c>
      <c r="N32" s="93">
        <v>243.3</v>
      </c>
      <c r="O32" s="318">
        <v>209.1</v>
      </c>
      <c r="P32" s="93">
        <v>398</v>
      </c>
      <c r="Q32" s="318">
        <v>391.3</v>
      </c>
      <c r="R32" s="318">
        <v>393.9</v>
      </c>
      <c r="S32" s="318">
        <v>399.6</v>
      </c>
      <c r="T32" s="318">
        <v>382.8</v>
      </c>
      <c r="U32" s="318">
        <v>364.4</v>
      </c>
      <c r="V32" s="318">
        <v>335.5</v>
      </c>
      <c r="W32" s="318">
        <v>382.9</v>
      </c>
      <c r="X32" s="277">
        <v>136.80000000000001</v>
      </c>
      <c r="Y32" s="318">
        <v>345.7</v>
      </c>
      <c r="Z32" s="318">
        <v>347.6</v>
      </c>
      <c r="AA32" s="318">
        <v>74.599999999999994</v>
      </c>
      <c r="AB32" s="655">
        <v>193.3</v>
      </c>
      <c r="AC32" s="22">
        <v>375.8</v>
      </c>
      <c r="AD32" s="277"/>
      <c r="AE32" s="93"/>
      <c r="AF32" s="22"/>
      <c r="AG32" s="277"/>
      <c r="AH32" s="241"/>
      <c r="AI32" s="335">
        <f t="shared" si="0"/>
        <v>7839.5600000000013</v>
      </c>
      <c r="AJ32" s="2"/>
      <c r="AK32" s="285"/>
      <c r="AL32" s="286" t="str">
        <f>IF(OR(D32="",D32="Sem monitoramento"),"VAZIO",IFERROR(D32/($AJ32*24),"-"))</f>
        <v>-</v>
      </c>
      <c r="AM32" s="286" t="str">
        <f>IF(OR(E32="",E32="Sem monitoramento"),"VAZIO",IFERROR(E32/($AJ32*24),"-"))</f>
        <v>-</v>
      </c>
      <c r="AN32" s="286" t="str">
        <f t="shared" si="56"/>
        <v>-</v>
      </c>
      <c r="AO32" s="286" t="str">
        <f t="shared" si="56"/>
        <v>-</v>
      </c>
      <c r="AP32" s="286" t="str">
        <f>IF(OR(H32="",H32="Sem monitoramento"),"VAZIO",IFERROR(H32/($AJ32*24),"-"))</f>
        <v>-</v>
      </c>
      <c r="AQ32" s="286" t="str">
        <f t="shared" si="54"/>
        <v>-</v>
      </c>
      <c r="AR32" s="286" t="str">
        <f>IF(OR(J32="",J32="Sem monitoramento"),"VAZIO",IFERROR(J32/($AJ32*24),"-"))</f>
        <v>-</v>
      </c>
      <c r="AS32" s="286" t="str">
        <f t="shared" si="43"/>
        <v>-</v>
      </c>
      <c r="AT32" s="286" t="str">
        <f t="shared" si="41"/>
        <v>-</v>
      </c>
      <c r="AU32" s="286" t="str">
        <f t="shared" si="48"/>
        <v>-</v>
      </c>
      <c r="AV32" s="286" t="str">
        <f>IF(OR(N32="",N32="Sem monitoramento"),"VAZIO",IFERROR(N32/($AJ32*24),"-"))</f>
        <v>-</v>
      </c>
      <c r="AW32" s="286" t="str">
        <f t="shared" si="49"/>
        <v>-</v>
      </c>
      <c r="AX32" s="286" t="str">
        <f t="shared" si="35"/>
        <v>-</v>
      </c>
      <c r="AY32" s="286" t="str">
        <f t="shared" si="37"/>
        <v>-</v>
      </c>
      <c r="AZ32" s="286" t="str">
        <f t="shared" si="42"/>
        <v>-</v>
      </c>
      <c r="BA32" s="286" t="str">
        <f t="shared" si="44"/>
        <v>-</v>
      </c>
      <c r="BB32" s="286" t="str">
        <f t="shared" si="55"/>
        <v>-</v>
      </c>
      <c r="BC32" s="286" t="str">
        <f t="shared" si="55"/>
        <v>-</v>
      </c>
      <c r="BD32" s="286" t="str">
        <f t="shared" si="51"/>
        <v>-</v>
      </c>
      <c r="BE32" s="286" t="str">
        <f>IF(OR(W32="",W32="Sem monitoramento"),"VAZIO",IFERROR(W32/($AJ32*24),"-"))</f>
        <v>-</v>
      </c>
      <c r="BF32" s="286" t="str">
        <f>IF(OR(X32="",X32="Sem monitoramento"),"VAZIO",IFERROR(X32/($AJ32*24),"-"))</f>
        <v>-</v>
      </c>
      <c r="BG32" s="286" t="str">
        <f t="shared" si="50"/>
        <v>-</v>
      </c>
      <c r="BH32" s="286" t="str">
        <f>IF(OR(Z32="",Z32="Sem monitoramento"),"VAZIO",IFERROR(Z32/($AJ32*24),"-"))</f>
        <v>-</v>
      </c>
      <c r="BI32" s="286" t="str">
        <f>IF(OR(AA32="",AA32="Sem monitoramento"),"VAZIO",IFERROR(AA32/($AJ32*24),"-"))</f>
        <v>-</v>
      </c>
      <c r="BJ32" s="286" t="str">
        <f t="shared" si="45"/>
        <v>-</v>
      </c>
      <c r="BK32" s="286" t="str">
        <f t="shared" si="38"/>
        <v>-</v>
      </c>
      <c r="BL32" s="286" t="str">
        <f t="shared" si="52"/>
        <v>VAZIO</v>
      </c>
      <c r="BM32" s="286" t="str">
        <f>IF(OR(AE32="",AE32="Sem monitoramento"),"VAZIO",IFERROR(AE32/($AJ32*24),"-"))</f>
        <v>VAZIO</v>
      </c>
      <c r="BN32" s="286" t="str">
        <f>IF(OR(AF32="",AF32="Sem monitoramento"),"VAZIO",IFERROR(AF32/($AJ32*24),"-"))</f>
        <v>VAZIO</v>
      </c>
      <c r="BO32" s="286" t="str">
        <f>IF(OR(AG32="",AG32="Sem monitoramento"),"VAZIO",IFERROR(AG32/($AJ32*24),"-"))</f>
        <v>VAZIO</v>
      </c>
      <c r="BP32" s="286" t="e">
        <f t="shared" si="30"/>
        <v>#DIV/0!</v>
      </c>
      <c r="BQ32" s="198"/>
      <c r="BR32" s="287"/>
      <c r="BS32" s="288"/>
      <c r="BT32" s="289"/>
      <c r="BU32" s="2"/>
      <c r="BV32" s="3"/>
      <c r="BW32" s="2"/>
      <c r="BX32" s="2"/>
    </row>
    <row r="33" spans="2:76" ht="18" x14ac:dyDescent="0.3">
      <c r="B33" s="776" t="s">
        <v>113</v>
      </c>
      <c r="C33" s="776"/>
      <c r="D33" s="103">
        <f>SUM(D5:D32)</f>
        <v>6817.7500000000009</v>
      </c>
      <c r="E33" s="103">
        <f>SUM(E5:E32)</f>
        <v>4902.5</v>
      </c>
      <c r="F33" s="103">
        <f>SUM(F5:F32)</f>
        <v>5445.96</v>
      </c>
      <c r="G33" s="103">
        <f>SUM(G5:G32)</f>
        <v>6652.5000000000009</v>
      </c>
      <c r="H33" s="103">
        <f t="shared" ref="H33:AH33" si="57">SUM(H5:H32)</f>
        <v>10395.6</v>
      </c>
      <c r="I33" s="103">
        <f t="shared" si="57"/>
        <v>9760.1</v>
      </c>
      <c r="J33" s="103">
        <f t="shared" si="57"/>
        <v>9986.4</v>
      </c>
      <c r="K33" s="103">
        <f t="shared" si="57"/>
        <v>10820.8</v>
      </c>
      <c r="L33" s="103">
        <f t="shared" si="57"/>
        <v>9846.7500000000018</v>
      </c>
      <c r="M33" s="103">
        <f t="shared" si="57"/>
        <v>8376.4</v>
      </c>
      <c r="N33" s="103">
        <f t="shared" si="57"/>
        <v>6979.9</v>
      </c>
      <c r="O33" s="103">
        <f t="shared" si="57"/>
        <v>8144.5</v>
      </c>
      <c r="P33" s="103">
        <f>SUM(P5:P32)</f>
        <v>11370.93</v>
      </c>
      <c r="Q33" s="103">
        <f t="shared" si="57"/>
        <v>11582.700000000003</v>
      </c>
      <c r="R33" s="103">
        <f t="shared" si="57"/>
        <v>9744.7000000000007</v>
      </c>
      <c r="S33" s="103">
        <f t="shared" si="57"/>
        <v>10791</v>
      </c>
      <c r="T33" s="103">
        <f>SUM(T5:T32)</f>
        <v>10821.3</v>
      </c>
      <c r="U33" s="103">
        <f>SUM(U5:U32)</f>
        <v>10328.200000000001</v>
      </c>
      <c r="V33" s="103">
        <f t="shared" si="57"/>
        <v>9796.7999999999993</v>
      </c>
      <c r="W33" s="103">
        <f t="shared" si="57"/>
        <v>10181.700000000001</v>
      </c>
      <c r="X33" s="103">
        <f t="shared" si="57"/>
        <v>5764.8000000000011</v>
      </c>
      <c r="Y33" s="103">
        <f t="shared" si="57"/>
        <v>10475.599999999999</v>
      </c>
      <c r="Z33" s="103">
        <f t="shared" si="57"/>
        <v>10584.599999999999</v>
      </c>
      <c r="AA33" s="103">
        <f t="shared" si="57"/>
        <v>2561.7999999999997</v>
      </c>
      <c r="AB33" s="103">
        <f>SUM(AB5:AB32)</f>
        <v>5142.5</v>
      </c>
      <c r="AC33" s="103">
        <f t="shared" si="57"/>
        <v>9016.0999999999985</v>
      </c>
      <c r="AD33" s="103">
        <f t="shared" si="57"/>
        <v>0</v>
      </c>
      <c r="AE33" s="103">
        <f t="shared" si="57"/>
        <v>0</v>
      </c>
      <c r="AF33" s="103">
        <f t="shared" si="57"/>
        <v>0</v>
      </c>
      <c r="AG33" s="103">
        <f t="shared" si="57"/>
        <v>0</v>
      </c>
      <c r="AH33" s="103">
        <f t="shared" si="57"/>
        <v>0</v>
      </c>
      <c r="AI33" s="189">
        <f>SUM(AI5:AI32)</f>
        <v>226291.89</v>
      </c>
      <c r="AJ33" s="104">
        <f>SUM(AJ5:AJ32)</f>
        <v>2329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V33" s="3"/>
      <c r="BW33" s="2"/>
      <c r="BX33" s="2"/>
    </row>
    <row r="34" spans="2:76" ht="18.600000000000001" thickBot="1" x14ac:dyDescent="0.3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190" t="str">
        <f>_xlfn.CONCAT(ROUND(AI33/1000,3)," MWh")</f>
        <v>226,292 MWh</v>
      </c>
      <c r="AJ34" s="2"/>
      <c r="AN34" s="778">
        <v>12</v>
      </c>
      <c r="AW34">
        <v>1000</v>
      </c>
      <c r="AX34">
        <v>1000</v>
      </c>
      <c r="BR34" s="9"/>
      <c r="BT34" s="2"/>
      <c r="BV34" s="2"/>
      <c r="BW34" s="2"/>
      <c r="BX34" s="2"/>
    </row>
    <row r="35" spans="2:76" ht="15" thickBot="1" x14ac:dyDescent="0.35">
      <c r="C35" s="105"/>
      <c r="D35" t="s">
        <v>36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161"/>
      <c r="U35" s="2"/>
      <c r="V35" s="2"/>
      <c r="W35" s="2"/>
      <c r="X35" s="2"/>
      <c r="Y35" s="2"/>
      <c r="Z35" s="2"/>
      <c r="AA35" s="2"/>
      <c r="AB35" s="2"/>
      <c r="AC35" s="2"/>
      <c r="AD35" s="2">
        <v>1497</v>
      </c>
      <c r="AE35" s="767" t="s">
        <v>194</v>
      </c>
      <c r="AF35" s="767"/>
      <c r="AG35" s="767"/>
      <c r="AH35" s="15"/>
      <c r="AI35" s="191" t="str">
        <f>_xlfn.CONCAT(ROUND($AI$33/COUNTIF($D$33:$AG$33,"&lt;&gt;0"),3)," kWh")</f>
        <v>8703,534 kWh</v>
      </c>
      <c r="AJ35" s="2"/>
      <c r="AK35" s="2"/>
      <c r="AL35" s="2"/>
      <c r="AM35" s="2"/>
      <c r="AN35" s="779"/>
      <c r="AV35">
        <v>900</v>
      </c>
      <c r="AW35">
        <v>100</v>
      </c>
      <c r="BR35" s="11"/>
      <c r="BT35" s="106"/>
      <c r="BU35" s="3" t="s">
        <v>114</v>
      </c>
    </row>
    <row r="36" spans="2:76" ht="15" thickBot="1" x14ac:dyDescent="0.35">
      <c r="C36" s="107"/>
      <c r="D36" t="s">
        <v>115</v>
      </c>
      <c r="E36" s="2"/>
      <c r="F36" s="2"/>
      <c r="G36" s="2"/>
      <c r="H36" s="161"/>
      <c r="I36" s="2"/>
      <c r="J36" s="161"/>
      <c r="K36" s="314">
        <v>45533.1</v>
      </c>
      <c r="L36" s="161">
        <v>270.5</v>
      </c>
      <c r="M36" s="2">
        <v>46064.2</v>
      </c>
      <c r="N36" s="2">
        <v>42.5</v>
      </c>
      <c r="O36" s="2"/>
      <c r="P36" s="2"/>
      <c r="Q36" s="2"/>
      <c r="R36" s="2"/>
      <c r="S36" s="2"/>
      <c r="T36" s="2">
        <v>151771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767" t="s">
        <v>195</v>
      </c>
      <c r="AF36" s="767"/>
      <c r="AG36" s="767"/>
      <c r="AH36" s="15"/>
      <c r="AI36" s="191" t="str">
        <f>_xlfn.CONCAT(ROUND($AI$33/COUNTIF($D$33:$AG$33,"&lt;&gt;0"),3)*30," kWh")</f>
        <v>261106,02 kWh</v>
      </c>
      <c r="AJ36" s="2"/>
      <c r="AK36" s="2"/>
      <c r="AL36" s="2"/>
      <c r="AM36" s="2"/>
      <c r="AN36" s="780"/>
      <c r="BR36" s="2"/>
      <c r="BT36" s="109"/>
      <c r="BU36" s="5" t="s">
        <v>116</v>
      </c>
    </row>
    <row r="37" spans="2:76" x14ac:dyDescent="0.3">
      <c r="I37">
        <v>50190</v>
      </c>
      <c r="K37" s="313">
        <v>45214.2</v>
      </c>
      <c r="L37" s="102">
        <f>K36-K37</f>
        <v>318.90000000000146</v>
      </c>
      <c r="M37" s="102"/>
      <c r="N37" s="315">
        <f>M36-K36-N36</f>
        <v>488.59999999999854</v>
      </c>
      <c r="T37">
        <v>152247</v>
      </c>
      <c r="AC37">
        <v>52911.8</v>
      </c>
      <c r="AE37" s="767" t="s">
        <v>195</v>
      </c>
      <c r="AF37" s="767"/>
      <c r="AG37" s="767"/>
      <c r="AH37" s="15"/>
      <c r="AI37" s="191" t="str">
        <f>_xlfn.CONCAT(ROUND(($AI$33/COUNTIF($D$33:$AG$33,"&lt;&gt;0"))*30/1000,3)," MWh")</f>
        <v>261,106 MWh</v>
      </c>
      <c r="AN37" s="778">
        <v>67</v>
      </c>
    </row>
    <row r="38" spans="2:76" x14ac:dyDescent="0.3">
      <c r="E38" s="436">
        <v>558.9</v>
      </c>
      <c r="F38">
        <v>403.7</v>
      </c>
      <c r="G38">
        <v>563.5</v>
      </c>
      <c r="I38">
        <v>51533</v>
      </c>
      <c r="T38">
        <f>T37-T36+1.8</f>
        <v>477.8</v>
      </c>
      <c r="X38" s="102"/>
      <c r="AC38">
        <v>53196</v>
      </c>
      <c r="AN38" s="779"/>
    </row>
    <row r="39" spans="2:76" x14ac:dyDescent="0.3">
      <c r="I39">
        <f>I38-I37</f>
        <v>1343</v>
      </c>
      <c r="AC39">
        <v>60.6</v>
      </c>
      <c r="AN39" s="780"/>
    </row>
    <row r="40" spans="2:76" x14ac:dyDescent="0.3">
      <c r="AC40">
        <f>AC38-AC37+AC39</f>
        <v>344.79999999999711</v>
      </c>
      <c r="AD40">
        <v>53642</v>
      </c>
      <c r="AE40">
        <f>AD40-AC38</f>
        <v>446</v>
      </c>
      <c r="AF40">
        <v>53925.599999999999</v>
      </c>
      <c r="AN40" s="778">
        <v>49</v>
      </c>
    </row>
    <row r="41" spans="2:76" x14ac:dyDescent="0.3">
      <c r="N41">
        <v>91151.5</v>
      </c>
      <c r="O41">
        <f>N42-N41</f>
        <v>734</v>
      </c>
      <c r="X41" s="102"/>
      <c r="AF41">
        <f>AF40-20.4</f>
        <v>53905.2</v>
      </c>
      <c r="AN41" s="779"/>
    </row>
    <row r="42" spans="2:76" x14ac:dyDescent="0.3">
      <c r="N42">
        <v>91885.5</v>
      </c>
      <c r="X42" s="102"/>
      <c r="AF42">
        <f>AF41-AD40</f>
        <v>263.19999999999709</v>
      </c>
      <c r="AN42" s="780"/>
    </row>
    <row r="43" spans="2:76" x14ac:dyDescent="0.3">
      <c r="E43" t="str">
        <f>TEXT(E44,"dddd")</f>
        <v>sábado</v>
      </c>
      <c r="F43" t="str">
        <f>TEXT(F44,"dddd")</f>
        <v>domingo</v>
      </c>
      <c r="L43" t="str">
        <f>TEXT(L44,"dddd")</f>
        <v>sábado</v>
      </c>
      <c r="M43" t="str">
        <f>TEXT(M44,"dddd")</f>
        <v>domingo</v>
      </c>
      <c r="S43" t="str">
        <f>TEXT(S44,"dddd")</f>
        <v>sábado</v>
      </c>
      <c r="T43" t="str">
        <f>TEXT(T44,"dddd")</f>
        <v>domingo</v>
      </c>
      <c r="Z43" t="str">
        <f>TEXT(Z44,"dddd")</f>
        <v>sábado</v>
      </c>
      <c r="AA43" t="str">
        <f>TEXT(AA44,"dddd")</f>
        <v>domingo</v>
      </c>
      <c r="AG43" t="str">
        <f>TEXT(AG44,"dddd")</f>
        <v>sábado</v>
      </c>
      <c r="AN43" s="778">
        <v>33</v>
      </c>
    </row>
    <row r="44" spans="2:76" x14ac:dyDescent="0.3">
      <c r="B44" s="141" t="s">
        <v>117</v>
      </c>
      <c r="C44" s="141" t="s">
        <v>118</v>
      </c>
      <c r="D44" s="140">
        <v>45170</v>
      </c>
      <c r="E44" s="140">
        <v>45171</v>
      </c>
      <c r="F44" s="140">
        <v>45172</v>
      </c>
      <c r="G44" s="140">
        <v>45173</v>
      </c>
      <c r="H44" s="140">
        <v>45174</v>
      </c>
      <c r="I44" s="140">
        <v>45175</v>
      </c>
      <c r="J44" s="140">
        <v>45176</v>
      </c>
      <c r="K44" s="140">
        <v>45177</v>
      </c>
      <c r="L44" s="140">
        <v>45178</v>
      </c>
      <c r="M44" s="140">
        <v>45179</v>
      </c>
      <c r="N44" s="140">
        <v>45180</v>
      </c>
      <c r="O44" s="140">
        <v>45181</v>
      </c>
      <c r="P44" s="140">
        <v>45182</v>
      </c>
      <c r="Q44" s="140">
        <v>45183</v>
      </c>
      <c r="R44" s="140">
        <v>45184</v>
      </c>
      <c r="S44" s="140">
        <v>45185</v>
      </c>
      <c r="T44" s="140">
        <v>45186</v>
      </c>
      <c r="U44" s="140">
        <v>45187</v>
      </c>
      <c r="V44" s="140">
        <v>45188</v>
      </c>
      <c r="W44" s="140">
        <v>45189</v>
      </c>
      <c r="X44" s="140">
        <v>45190</v>
      </c>
      <c r="Y44" s="140">
        <v>45191</v>
      </c>
      <c r="Z44" s="140">
        <v>45192</v>
      </c>
      <c r="AA44" s="140">
        <v>45193</v>
      </c>
      <c r="AB44" s="140">
        <v>45194</v>
      </c>
      <c r="AC44" s="140">
        <v>45195</v>
      </c>
      <c r="AD44" s="140">
        <v>45196</v>
      </c>
      <c r="AE44" s="140">
        <v>45197</v>
      </c>
      <c r="AF44" s="140">
        <v>45198</v>
      </c>
      <c r="AG44" s="140">
        <v>45199</v>
      </c>
      <c r="AH44" s="281"/>
      <c r="AM44" s="63">
        <v>19.7</v>
      </c>
      <c r="AN44" s="779"/>
    </row>
    <row r="45" spans="2:76" x14ac:dyDescent="0.3">
      <c r="B45" s="751" t="s">
        <v>6</v>
      </c>
      <c r="C45" s="18" t="s">
        <v>7</v>
      </c>
      <c r="D45" s="163">
        <f>D5+Agosto23!AF41</f>
        <v>48865.8</v>
      </c>
      <c r="E45" s="164">
        <f t="shared" ref="E45:F55" si="58">D45+E5</f>
        <v>48887.3</v>
      </c>
      <c r="F45" s="164">
        <f t="shared" si="58"/>
        <v>48903.700000000004</v>
      </c>
      <c r="G45" s="165">
        <v>49036.4</v>
      </c>
      <c r="H45" s="166">
        <v>49076</v>
      </c>
      <c r="I45" s="163">
        <f t="shared" ref="I45:V55" si="59">H45+I5</f>
        <v>49118.8</v>
      </c>
      <c r="J45" s="163">
        <f t="shared" si="59"/>
        <v>49161.8</v>
      </c>
      <c r="K45" s="163">
        <f t="shared" si="59"/>
        <v>49204.600000000006</v>
      </c>
      <c r="L45" s="163">
        <f t="shared" si="59"/>
        <v>49245.100000000006</v>
      </c>
      <c r="M45" s="163">
        <f t="shared" si="59"/>
        <v>49276.500000000007</v>
      </c>
      <c r="N45" s="163">
        <f t="shared" si="59"/>
        <v>49297.100000000006</v>
      </c>
      <c r="O45" s="163">
        <f t="shared" si="59"/>
        <v>49330.400000000009</v>
      </c>
      <c r="P45" s="163">
        <f t="shared" si="59"/>
        <v>49373.80000000001</v>
      </c>
      <c r="Q45" s="163">
        <f t="shared" si="59"/>
        <v>49418.200000000012</v>
      </c>
      <c r="R45" s="163">
        <f t="shared" si="59"/>
        <v>49463.30000000001</v>
      </c>
      <c r="S45" s="163">
        <f t="shared" si="59"/>
        <v>49504.80000000001</v>
      </c>
      <c r="T45" s="163">
        <f t="shared" si="59"/>
        <v>49547.500000000007</v>
      </c>
      <c r="U45" s="163">
        <f t="shared" si="59"/>
        <v>49586.200000000004</v>
      </c>
      <c r="V45" s="163">
        <f t="shared" si="59"/>
        <v>49625.200000000004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M45" s="63">
        <f>20.7+88.5</f>
        <v>109.2</v>
      </c>
      <c r="AN45" s="780"/>
    </row>
    <row r="46" spans="2:76" x14ac:dyDescent="0.3">
      <c r="B46" s="752"/>
      <c r="C46" s="18" t="s">
        <v>8</v>
      </c>
      <c r="D46" s="163">
        <f>D6+Agosto23!AF42</f>
        <v>98908.1</v>
      </c>
      <c r="E46" s="164">
        <f t="shared" si="58"/>
        <v>99058</v>
      </c>
      <c r="F46" s="164">
        <f t="shared" si="58"/>
        <v>99152.2</v>
      </c>
      <c r="G46" s="165">
        <f>21775+78123.8</f>
        <v>99898.8</v>
      </c>
      <c r="H46" s="166">
        <f>21823+78322.8</f>
        <v>100145.8</v>
      </c>
      <c r="I46" s="163">
        <f t="shared" si="59"/>
        <v>100451.40000000001</v>
      </c>
      <c r="J46" s="163">
        <f t="shared" si="59"/>
        <v>100736.00000000001</v>
      </c>
      <c r="K46" s="163">
        <f t="shared" si="59"/>
        <v>101038.90000000001</v>
      </c>
      <c r="L46" s="163">
        <f t="shared" si="59"/>
        <v>101309.1</v>
      </c>
      <c r="M46" s="163">
        <f t="shared" si="59"/>
        <v>101534.40000000001</v>
      </c>
      <c r="N46" s="163">
        <f t="shared" si="59"/>
        <v>101694.90000000001</v>
      </c>
      <c r="O46" s="163">
        <f t="shared" si="59"/>
        <v>101908.8</v>
      </c>
      <c r="P46" s="163">
        <f t="shared" si="59"/>
        <v>102207.7</v>
      </c>
      <c r="Q46" s="163">
        <f t="shared" si="59"/>
        <v>102526.09999999999</v>
      </c>
      <c r="R46" s="163">
        <f t="shared" si="59"/>
        <v>102819.2</v>
      </c>
      <c r="S46" s="163">
        <f t="shared" si="59"/>
        <v>103085.5</v>
      </c>
      <c r="T46" s="163">
        <f t="shared" si="59"/>
        <v>103379.6</v>
      </c>
      <c r="U46" s="163">
        <f t="shared" si="59"/>
        <v>103664</v>
      </c>
      <c r="V46" s="163">
        <f t="shared" si="59"/>
        <v>103941.1</v>
      </c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M46" s="63">
        <v>82.2</v>
      </c>
      <c r="AN46" s="778">
        <v>12</v>
      </c>
    </row>
    <row r="47" spans="2:76" x14ac:dyDescent="0.3">
      <c r="B47" s="752"/>
      <c r="C47" s="18" t="s">
        <v>9</v>
      </c>
      <c r="D47" s="163">
        <f>D7+Agosto23!AF43</f>
        <v>69783.5</v>
      </c>
      <c r="E47" s="164">
        <f t="shared" si="58"/>
        <v>69891</v>
      </c>
      <c r="F47" s="164">
        <f t="shared" si="58"/>
        <v>69969.8</v>
      </c>
      <c r="G47" s="165">
        <v>70458.2</v>
      </c>
      <c r="H47" s="166">
        <v>70615.5</v>
      </c>
      <c r="I47" s="163">
        <f t="shared" si="59"/>
        <v>70843.3</v>
      </c>
      <c r="J47" s="163">
        <f>I47+J11</f>
        <v>71232.600000000006</v>
      </c>
      <c r="K47" s="163">
        <f t="shared" si="59"/>
        <v>71454</v>
      </c>
      <c r="L47" s="163">
        <f t="shared" si="59"/>
        <v>71652.2</v>
      </c>
      <c r="M47" s="163">
        <f t="shared" si="59"/>
        <v>71809.5</v>
      </c>
      <c r="N47" s="163">
        <f t="shared" si="59"/>
        <v>71911.199999999997</v>
      </c>
      <c r="O47" s="163">
        <f t="shared" si="59"/>
        <v>72081.099999999991</v>
      </c>
      <c r="P47" s="163">
        <f t="shared" si="59"/>
        <v>72295.899999999994</v>
      </c>
      <c r="Q47" s="163">
        <f t="shared" si="59"/>
        <v>72524.099999999991</v>
      </c>
      <c r="R47" s="163">
        <f t="shared" si="59"/>
        <v>72744.599999999991</v>
      </c>
      <c r="S47" s="163">
        <f t="shared" si="59"/>
        <v>72940.2</v>
      </c>
      <c r="T47" s="163">
        <f t="shared" si="59"/>
        <v>73148.800000000003</v>
      </c>
      <c r="U47" s="163" t="e">
        <f>T47+#REF!</f>
        <v>#REF!</v>
      </c>
      <c r="V47" s="163" t="e">
        <f t="shared" si="59"/>
        <v>#REF!</v>
      </c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M47" s="63">
        <v>57.3</v>
      </c>
      <c r="AN47" s="779"/>
    </row>
    <row r="48" spans="2:76" x14ac:dyDescent="0.3">
      <c r="B48" s="752"/>
      <c r="C48" s="18" t="s">
        <v>10</v>
      </c>
      <c r="D48" s="163">
        <f>D8+Agosto23!AF44</f>
        <v>95688.3</v>
      </c>
      <c r="E48" s="164">
        <f t="shared" si="58"/>
        <v>95748.800000000003</v>
      </c>
      <c r="F48" s="164">
        <f t="shared" si="58"/>
        <v>95794.3</v>
      </c>
      <c r="G48" s="165">
        <v>96154</v>
      </c>
      <c r="H48" s="166">
        <v>96261.9</v>
      </c>
      <c r="I48" s="163" t="e">
        <f>H48+#REF!</f>
        <v>#REF!</v>
      </c>
      <c r="J48" s="163" t="e">
        <f t="shared" si="59"/>
        <v>#REF!</v>
      </c>
      <c r="K48" s="163" t="e">
        <f t="shared" si="59"/>
        <v>#REF!</v>
      </c>
      <c r="L48" s="163" t="e">
        <f t="shared" si="59"/>
        <v>#REF!</v>
      </c>
      <c r="M48" s="163" t="e">
        <f t="shared" si="59"/>
        <v>#REF!</v>
      </c>
      <c r="N48" s="163" t="e">
        <f t="shared" si="59"/>
        <v>#REF!</v>
      </c>
      <c r="O48" s="163" t="e">
        <f t="shared" si="59"/>
        <v>#REF!</v>
      </c>
      <c r="P48" s="163" t="e">
        <f t="shared" si="59"/>
        <v>#REF!</v>
      </c>
      <c r="Q48" s="163" t="e">
        <f t="shared" si="59"/>
        <v>#REF!</v>
      </c>
      <c r="R48" s="163" t="e">
        <f t="shared" si="59"/>
        <v>#REF!</v>
      </c>
      <c r="S48" s="163" t="e">
        <f t="shared" si="59"/>
        <v>#REF!</v>
      </c>
      <c r="T48" s="163" t="e">
        <f t="shared" si="59"/>
        <v>#REF!</v>
      </c>
      <c r="U48" s="163" t="e">
        <f>T48+#REF!</f>
        <v>#REF!</v>
      </c>
      <c r="V48" s="163" t="e">
        <f t="shared" si="59"/>
        <v>#REF!</v>
      </c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M48" s="63">
        <v>17.7</v>
      </c>
      <c r="AN48" s="780"/>
    </row>
    <row r="49" spans="2:40" x14ac:dyDescent="0.3">
      <c r="B49" s="752"/>
      <c r="C49" s="18" t="s">
        <v>11</v>
      </c>
      <c r="D49" s="163">
        <f>D10+Agosto23!AF45</f>
        <v>18781.900000000001</v>
      </c>
      <c r="E49" s="164">
        <f t="shared" si="58"/>
        <v>18804.400000000001</v>
      </c>
      <c r="F49" s="164">
        <f t="shared" si="58"/>
        <v>18824.5</v>
      </c>
      <c r="G49" s="165">
        <v>18957</v>
      </c>
      <c r="H49" s="166">
        <v>18998</v>
      </c>
      <c r="I49" s="163">
        <f>H49+I9</f>
        <v>19049.8</v>
      </c>
      <c r="J49" s="163">
        <f>I49+J10</f>
        <v>19099.3</v>
      </c>
      <c r="K49" s="163">
        <f>J49+K10</f>
        <v>19148.5</v>
      </c>
      <c r="L49" s="163">
        <f t="shared" si="59"/>
        <v>19203.099999999999</v>
      </c>
      <c r="M49" s="163">
        <f t="shared" si="59"/>
        <v>19244.899999999998</v>
      </c>
      <c r="N49" s="163">
        <f t="shared" si="59"/>
        <v>19275.499999999996</v>
      </c>
      <c r="O49" s="163">
        <f t="shared" si="59"/>
        <v>19314.799999999996</v>
      </c>
      <c r="P49" s="163">
        <f>O49+P10</f>
        <v>19365.699999999997</v>
      </c>
      <c r="Q49" s="163">
        <f t="shared" si="59"/>
        <v>19426.299999999996</v>
      </c>
      <c r="R49" s="163">
        <f t="shared" si="59"/>
        <v>19480.999999999996</v>
      </c>
      <c r="S49" s="163">
        <f t="shared" si="59"/>
        <v>19535.099999999995</v>
      </c>
      <c r="T49" s="163">
        <f t="shared" si="59"/>
        <v>19587.299999999996</v>
      </c>
      <c r="U49" s="163">
        <f>T49+U7</f>
        <v>19788.299999999996</v>
      </c>
      <c r="V49" s="163">
        <f t="shared" si="59"/>
        <v>19838.299999999996</v>
      </c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M49" s="63">
        <v>37.700000000000003</v>
      </c>
      <c r="AN49" s="778">
        <v>25</v>
      </c>
    </row>
    <row r="50" spans="2:40" x14ac:dyDescent="0.3">
      <c r="B50" s="752"/>
      <c r="C50" s="18" t="s">
        <v>12</v>
      </c>
      <c r="D50" s="163" t="e">
        <f>#REF!+Agosto23!AF46</f>
        <v>#REF!</v>
      </c>
      <c r="E50" s="164" t="e">
        <f t="shared" si="58"/>
        <v>#REF!</v>
      </c>
      <c r="F50" s="164" t="e">
        <f t="shared" si="58"/>
        <v>#REF!</v>
      </c>
      <c r="G50" s="165">
        <v>58550</v>
      </c>
      <c r="H50" s="166">
        <v>58640</v>
      </c>
      <c r="I50" s="163">
        <f>H50+I8</f>
        <v>58771.3</v>
      </c>
      <c r="J50" s="163" t="e">
        <f>I50+#REF!</f>
        <v>#REF!</v>
      </c>
      <c r="K50" s="163" t="e">
        <f>J50+#REF!</f>
        <v>#REF!</v>
      </c>
      <c r="L50" s="163" t="e">
        <f t="shared" si="59"/>
        <v>#REF!</v>
      </c>
      <c r="M50" s="163" t="e">
        <f t="shared" si="59"/>
        <v>#REF!</v>
      </c>
      <c r="N50" s="163" t="e">
        <f t="shared" si="59"/>
        <v>#REF!</v>
      </c>
      <c r="O50" s="163" t="e">
        <f t="shared" si="59"/>
        <v>#REF!</v>
      </c>
      <c r="P50" s="163" t="e">
        <f>O50+#REF!</f>
        <v>#REF!</v>
      </c>
      <c r="Q50" s="163" t="e">
        <f t="shared" si="59"/>
        <v>#REF!</v>
      </c>
      <c r="R50" s="163" t="e">
        <f t="shared" si="59"/>
        <v>#REF!</v>
      </c>
      <c r="S50" s="163" t="e">
        <f t="shared" si="59"/>
        <v>#REF!</v>
      </c>
      <c r="T50" s="163" t="e">
        <f t="shared" si="59"/>
        <v>#REF!</v>
      </c>
      <c r="U50" s="163" t="e">
        <f>T50+U8</f>
        <v>#REF!</v>
      </c>
      <c r="V50" s="163" t="e">
        <f t="shared" si="59"/>
        <v>#REF!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M50" s="63">
        <v>151.30000000000001</v>
      </c>
      <c r="AN50" s="779"/>
    </row>
    <row r="51" spans="2:40" x14ac:dyDescent="0.3">
      <c r="B51" s="752"/>
      <c r="C51" s="18" t="s">
        <v>13</v>
      </c>
      <c r="D51" s="163">
        <f>D11+Agosto23!AF47</f>
        <v>230234.30000000002</v>
      </c>
      <c r="E51" s="164">
        <f t="shared" si="58"/>
        <v>230459.2</v>
      </c>
      <c r="F51" s="164">
        <f t="shared" si="58"/>
        <v>230689.40000000002</v>
      </c>
      <c r="G51" s="165">
        <v>231148.9</v>
      </c>
      <c r="H51" s="166">
        <v>231319.5</v>
      </c>
      <c r="I51" s="163">
        <f t="shared" ref="I51:L55" si="60">H51+I11</f>
        <v>231821.9</v>
      </c>
      <c r="J51" s="163" t="e">
        <f>I51+#REF!</f>
        <v>#REF!</v>
      </c>
      <c r="K51" s="163" t="e">
        <f t="shared" si="60"/>
        <v>#REF!</v>
      </c>
      <c r="L51" s="163" t="e">
        <f t="shared" si="60"/>
        <v>#REF!</v>
      </c>
      <c r="M51" s="163" t="e">
        <f>L51+M12</f>
        <v>#REF!</v>
      </c>
      <c r="N51" s="163" t="e">
        <f t="shared" si="59"/>
        <v>#REF!</v>
      </c>
      <c r="O51" s="163" t="e">
        <f t="shared" si="59"/>
        <v>#REF!</v>
      </c>
      <c r="P51" s="163" t="e">
        <f t="shared" si="59"/>
        <v>#REF!</v>
      </c>
      <c r="Q51" s="163" t="e">
        <f t="shared" si="59"/>
        <v>#REF!</v>
      </c>
      <c r="R51" s="163" t="e">
        <f t="shared" si="59"/>
        <v>#REF!</v>
      </c>
      <c r="S51" s="163" t="e">
        <f t="shared" si="59"/>
        <v>#REF!</v>
      </c>
      <c r="T51" s="163" t="e">
        <f t="shared" si="59"/>
        <v>#REF!</v>
      </c>
      <c r="U51" s="163" t="e">
        <f>T51+U11</f>
        <v>#REF!</v>
      </c>
      <c r="V51" s="163" t="e">
        <f t="shared" si="59"/>
        <v>#REF!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M51" s="82">
        <v>81.099999999999994</v>
      </c>
      <c r="AN51" s="780"/>
    </row>
    <row r="52" spans="2:40" x14ac:dyDescent="0.3">
      <c r="B52" s="753"/>
      <c r="C52" s="18" t="s">
        <v>14</v>
      </c>
      <c r="D52" s="163">
        <f>D12+Agosto23!AF48</f>
        <v>722</v>
      </c>
      <c r="E52" s="164">
        <f t="shared" si="58"/>
        <v>837</v>
      </c>
      <c r="F52" s="164">
        <f t="shared" si="58"/>
        <v>939</v>
      </c>
      <c r="G52" s="165">
        <v>1440</v>
      </c>
      <c r="H52" s="166">
        <v>1620</v>
      </c>
      <c r="I52" s="163">
        <f t="shared" si="60"/>
        <v>1885</v>
      </c>
      <c r="J52" s="163">
        <f t="shared" si="60"/>
        <v>2160</v>
      </c>
      <c r="K52" s="163">
        <f t="shared" si="60"/>
        <v>2438</v>
      </c>
      <c r="L52" s="163">
        <f t="shared" si="60"/>
        <v>2709</v>
      </c>
      <c r="M52" s="163">
        <f>L52+M13</f>
        <v>3001.6</v>
      </c>
      <c r="N52" s="163">
        <f t="shared" si="59"/>
        <v>3171.6</v>
      </c>
      <c r="O52" s="163">
        <f t="shared" si="59"/>
        <v>3356.6</v>
      </c>
      <c r="P52" s="163">
        <f t="shared" si="59"/>
        <v>3678.6</v>
      </c>
      <c r="Q52" s="163">
        <f t="shared" si="59"/>
        <v>4023.6</v>
      </c>
      <c r="R52" s="163">
        <f t="shared" si="59"/>
        <v>4278.6000000000004</v>
      </c>
      <c r="S52" s="163">
        <f t="shared" si="59"/>
        <v>4503.6000000000004</v>
      </c>
      <c r="T52" s="163">
        <f t="shared" si="59"/>
        <v>4763.6000000000004</v>
      </c>
      <c r="U52" s="163">
        <f>T52+U12</f>
        <v>5028.6000000000004</v>
      </c>
      <c r="V52" s="163">
        <f t="shared" si="59"/>
        <v>5252.6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M52" s="63">
        <v>156.9</v>
      </c>
      <c r="AN52" s="778">
        <v>78</v>
      </c>
    </row>
    <row r="53" spans="2:40" x14ac:dyDescent="0.3">
      <c r="B53" s="751" t="s">
        <v>16</v>
      </c>
      <c r="C53" s="18" t="s">
        <v>17</v>
      </c>
      <c r="D53" s="163">
        <f>D13+Agosto23!AF49</f>
        <v>137136.20000000001</v>
      </c>
      <c r="E53" s="164">
        <f t="shared" si="58"/>
        <v>137336.20000000001</v>
      </c>
      <c r="F53" s="164">
        <f t="shared" si="58"/>
        <v>137505.90000000002</v>
      </c>
      <c r="G53" s="165">
        <v>138545</v>
      </c>
      <c r="H53" s="166">
        <v>138937</v>
      </c>
      <c r="I53" s="163">
        <f t="shared" si="60"/>
        <v>139348.1</v>
      </c>
      <c r="J53" s="163">
        <f t="shared" si="60"/>
        <v>139785.4</v>
      </c>
      <c r="K53" s="163">
        <f t="shared" si="60"/>
        <v>140224.79999999999</v>
      </c>
      <c r="L53" s="163">
        <f t="shared" si="60"/>
        <v>140649.09999999998</v>
      </c>
      <c r="M53" s="163" t="e">
        <f>L53+#REF!</f>
        <v>#REF!</v>
      </c>
      <c r="N53" s="163" t="e">
        <f t="shared" si="59"/>
        <v>#REF!</v>
      </c>
      <c r="O53" s="163" t="e">
        <f t="shared" si="59"/>
        <v>#REF!</v>
      </c>
      <c r="P53" s="163" t="e">
        <f t="shared" si="59"/>
        <v>#REF!</v>
      </c>
      <c r="Q53" s="163" t="e">
        <f t="shared" si="59"/>
        <v>#REF!</v>
      </c>
      <c r="R53" s="163" t="e">
        <f t="shared" si="59"/>
        <v>#REF!</v>
      </c>
      <c r="S53" s="163" t="e">
        <f t="shared" si="59"/>
        <v>#REF!</v>
      </c>
      <c r="T53" s="163" t="e">
        <f t="shared" si="59"/>
        <v>#REF!</v>
      </c>
      <c r="U53" s="163" t="e">
        <f>T53+U13</f>
        <v>#REF!</v>
      </c>
      <c r="V53" s="163" t="e">
        <f t="shared" si="59"/>
        <v>#REF!</v>
      </c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M53" s="63">
        <v>195.6</v>
      </c>
      <c r="AN53" s="779"/>
    </row>
    <row r="54" spans="2:40" x14ac:dyDescent="0.3">
      <c r="B54" s="752"/>
      <c r="C54" s="18" t="s">
        <v>18</v>
      </c>
      <c r="D54" s="163">
        <f>D14+Agosto23!AF50</f>
        <v>127496.6</v>
      </c>
      <c r="E54" s="164">
        <f t="shared" si="58"/>
        <v>127698.5</v>
      </c>
      <c r="F54" s="164">
        <f t="shared" si="58"/>
        <v>127905.9</v>
      </c>
      <c r="G54" s="165">
        <v>128878</v>
      </c>
      <c r="H54" s="166">
        <v>129112</v>
      </c>
      <c r="I54" s="163">
        <f t="shared" si="60"/>
        <v>129566.7</v>
      </c>
      <c r="J54" s="163">
        <f t="shared" si="60"/>
        <v>129921.8</v>
      </c>
      <c r="K54" s="163">
        <f t="shared" si="60"/>
        <v>130385.7</v>
      </c>
      <c r="L54" s="163">
        <f t="shared" si="60"/>
        <v>130811.2</v>
      </c>
      <c r="M54" s="163">
        <f>L54+M14</f>
        <v>131148.70000000001</v>
      </c>
      <c r="N54" s="163">
        <f t="shared" si="59"/>
        <v>131384.80000000002</v>
      </c>
      <c r="O54" s="163">
        <f t="shared" si="59"/>
        <v>131706.90000000002</v>
      </c>
      <c r="P54" s="163">
        <f t="shared" si="59"/>
        <v>132166.00000000003</v>
      </c>
      <c r="Q54" s="163">
        <f t="shared" si="59"/>
        <v>132631.60000000003</v>
      </c>
      <c r="R54" s="163">
        <f t="shared" si="59"/>
        <v>132986.50000000003</v>
      </c>
      <c r="S54" s="163">
        <f t="shared" si="59"/>
        <v>133390.20000000004</v>
      </c>
      <c r="T54" s="163" t="e">
        <f>S54+#REF!</f>
        <v>#REF!</v>
      </c>
      <c r="U54" s="163" t="e">
        <f>T54+U14</f>
        <v>#REF!</v>
      </c>
      <c r="V54" s="163" t="e">
        <f t="shared" si="59"/>
        <v>#REF!</v>
      </c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M54" s="63">
        <v>55.4</v>
      </c>
      <c r="AN54" s="780"/>
    </row>
    <row r="55" spans="2:40" x14ac:dyDescent="0.3">
      <c r="B55" s="752"/>
      <c r="C55" s="18" t="s">
        <v>19</v>
      </c>
      <c r="D55" s="163">
        <f>D15+Agosto23!AF51</f>
        <v>37754.300000000003</v>
      </c>
      <c r="E55" s="164">
        <f t="shared" si="58"/>
        <v>37801.4</v>
      </c>
      <c r="F55" s="164">
        <f t="shared" si="58"/>
        <v>37850.5</v>
      </c>
      <c r="G55" s="165">
        <v>38160</v>
      </c>
      <c r="H55" s="166">
        <v>38222</v>
      </c>
      <c r="I55" s="163">
        <f t="shared" si="60"/>
        <v>38325.1</v>
      </c>
      <c r="J55" s="163">
        <f t="shared" si="60"/>
        <v>38405.5</v>
      </c>
      <c r="K55" s="163">
        <f t="shared" si="60"/>
        <v>38510.699999999997</v>
      </c>
      <c r="L55" s="163">
        <f t="shared" si="60"/>
        <v>38605.699999999997</v>
      </c>
      <c r="M55" s="163">
        <f>L55+M15</f>
        <v>38683</v>
      </c>
      <c r="N55" s="163">
        <f t="shared" si="59"/>
        <v>38736.300000000003</v>
      </c>
      <c r="O55" s="163">
        <f t="shared" si="59"/>
        <v>38809.5</v>
      </c>
      <c r="P55" s="163">
        <f t="shared" si="59"/>
        <v>38911.699999999997</v>
      </c>
      <c r="Q55" s="163">
        <f t="shared" si="59"/>
        <v>39015.599999999999</v>
      </c>
      <c r="R55" s="163">
        <f t="shared" si="59"/>
        <v>39097</v>
      </c>
      <c r="S55" s="163">
        <f t="shared" si="59"/>
        <v>39189</v>
      </c>
      <c r="T55" s="163">
        <f>S55+T15</f>
        <v>39283.599999999999</v>
      </c>
      <c r="U55" s="163">
        <f>T55+U15</f>
        <v>39378.799999999996</v>
      </c>
      <c r="V55" s="163">
        <f t="shared" si="59"/>
        <v>39463.499999999993</v>
      </c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M55" s="63">
        <v>183.6</v>
      </c>
      <c r="AN55" s="778">
        <v>60</v>
      </c>
    </row>
    <row r="56" spans="2:40" x14ac:dyDescent="0.3">
      <c r="B56" s="753"/>
      <c r="C56" s="18" t="s">
        <v>20</v>
      </c>
      <c r="D56" s="163">
        <f>D17+Agosto23!AF52</f>
        <v>97180.5</v>
      </c>
      <c r="E56" s="164">
        <f t="shared" ref="E56:F67" si="61">D56+E17</f>
        <v>97380.9</v>
      </c>
      <c r="F56" s="164">
        <f t="shared" si="61"/>
        <v>97575.7</v>
      </c>
      <c r="G56" s="165">
        <v>98510</v>
      </c>
      <c r="H56" s="166">
        <v>98809</v>
      </c>
      <c r="I56" s="163">
        <f t="shared" ref="I56:V60" si="62">H56+I17</f>
        <v>99223.5</v>
      </c>
      <c r="J56" s="163">
        <f t="shared" si="62"/>
        <v>99695.4</v>
      </c>
      <c r="K56" s="163">
        <f t="shared" si="62"/>
        <v>100138.5</v>
      </c>
      <c r="L56" s="163">
        <f t="shared" si="62"/>
        <v>100600.8</v>
      </c>
      <c r="M56" s="163">
        <f t="shared" si="62"/>
        <v>100944.1</v>
      </c>
      <c r="N56" s="163">
        <f t="shared" si="62"/>
        <v>101201.3</v>
      </c>
      <c r="O56" s="163">
        <f t="shared" si="62"/>
        <v>101557.2</v>
      </c>
      <c r="P56" s="163">
        <f t="shared" si="62"/>
        <v>102047.12999999999</v>
      </c>
      <c r="Q56" s="163">
        <f t="shared" si="62"/>
        <v>102543.52999999998</v>
      </c>
      <c r="R56" s="163">
        <f t="shared" si="62"/>
        <v>103030.12999999999</v>
      </c>
      <c r="S56" s="163">
        <f t="shared" si="62"/>
        <v>103507.23</v>
      </c>
      <c r="T56" s="163">
        <f>S56+T14</f>
        <v>103943.03</v>
      </c>
      <c r="U56" s="163">
        <f t="shared" si="62"/>
        <v>104392.93</v>
      </c>
      <c r="V56" s="163">
        <f t="shared" si="62"/>
        <v>104796.43</v>
      </c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M56" s="63" t="s">
        <v>31</v>
      </c>
      <c r="AN56" s="779"/>
    </row>
    <row r="57" spans="2:40" x14ac:dyDescent="0.3">
      <c r="B57" s="754" t="s">
        <v>21</v>
      </c>
      <c r="C57" s="18" t="s">
        <v>22</v>
      </c>
      <c r="D57" s="163">
        <f>D18+Agosto23!AF53</f>
        <v>66128.800000000003</v>
      </c>
      <c r="E57" s="164">
        <f t="shared" si="61"/>
        <v>66346</v>
      </c>
      <c r="F57" s="164">
        <f t="shared" si="61"/>
        <v>66655.3</v>
      </c>
      <c r="G57" s="165">
        <v>67299</v>
      </c>
      <c r="H57" s="166">
        <v>67726</v>
      </c>
      <c r="I57" s="163">
        <f t="shared" si="62"/>
        <v>68216.3</v>
      </c>
      <c r="J57" s="163">
        <f t="shared" si="62"/>
        <v>68676.7</v>
      </c>
      <c r="K57" s="163" t="e">
        <f>J57+#REF!</f>
        <v>#REF!</v>
      </c>
      <c r="L57" s="163" t="e">
        <f>K57+#REF!</f>
        <v>#REF!</v>
      </c>
      <c r="M57" s="163" t="e">
        <f t="shared" si="62"/>
        <v>#REF!</v>
      </c>
      <c r="N57" s="163" t="e">
        <f>M57+N19</f>
        <v>#REF!</v>
      </c>
      <c r="O57" s="163" t="e">
        <f t="shared" si="62"/>
        <v>#REF!</v>
      </c>
      <c r="P57" s="163" t="e">
        <f>O57+Q18</f>
        <v>#REF!</v>
      </c>
      <c r="Q57" s="163" t="e">
        <f>P57+#REF!</f>
        <v>#REF!</v>
      </c>
      <c r="R57" s="163" t="e">
        <f t="shared" si="62"/>
        <v>#REF!</v>
      </c>
      <c r="S57" s="163" t="e">
        <f t="shared" si="62"/>
        <v>#REF!</v>
      </c>
      <c r="T57" s="163" t="e">
        <f t="shared" si="62"/>
        <v>#REF!</v>
      </c>
      <c r="U57" s="163" t="e">
        <f t="shared" si="62"/>
        <v>#REF!</v>
      </c>
      <c r="V57" s="163" t="e">
        <f t="shared" si="62"/>
        <v>#REF!</v>
      </c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M57" s="63">
        <v>40.200000000000003</v>
      </c>
      <c r="AN57" s="780"/>
    </row>
    <row r="58" spans="2:40" x14ac:dyDescent="0.3">
      <c r="B58" s="754"/>
      <c r="C58" s="18" t="s">
        <v>23</v>
      </c>
      <c r="D58" s="163">
        <f>D19+Agosto23!AF54</f>
        <v>74687.5</v>
      </c>
      <c r="E58" s="164">
        <f t="shared" si="61"/>
        <v>74904.600000000006</v>
      </c>
      <c r="F58" s="164">
        <f t="shared" si="61"/>
        <v>75188.200000000012</v>
      </c>
      <c r="G58" s="165">
        <v>75901</v>
      </c>
      <c r="H58" s="166">
        <v>76333</v>
      </c>
      <c r="I58" s="163">
        <f t="shared" si="62"/>
        <v>76800.600000000006</v>
      </c>
      <c r="J58" s="163">
        <f t="shared" si="62"/>
        <v>77235.900000000009</v>
      </c>
      <c r="K58" s="163">
        <f>J58+K22</f>
        <v>77581.200000000012</v>
      </c>
      <c r="L58" s="163">
        <f>K58+L18</f>
        <v>78060.900000000009</v>
      </c>
      <c r="M58" s="163">
        <f>L58+M20</f>
        <v>78375.700000000012</v>
      </c>
      <c r="N58" s="163" t="e">
        <f>M58+#REF!</f>
        <v>#REF!</v>
      </c>
      <c r="O58" s="163" t="e">
        <f t="shared" si="62"/>
        <v>#REF!</v>
      </c>
      <c r="P58" s="163" t="e">
        <f>O58+Q19</f>
        <v>#REF!</v>
      </c>
      <c r="Q58" s="163" t="e">
        <f>P58+Q20</f>
        <v>#REF!</v>
      </c>
      <c r="R58" s="163" t="e">
        <f>Q58+#REF!</f>
        <v>#REF!</v>
      </c>
      <c r="S58" s="163" t="e">
        <f t="shared" si="62"/>
        <v>#REF!</v>
      </c>
      <c r="T58" s="163" t="e">
        <f t="shared" si="62"/>
        <v>#REF!</v>
      </c>
      <c r="U58" s="163" t="e">
        <f t="shared" si="62"/>
        <v>#REF!</v>
      </c>
      <c r="V58" s="163" t="e">
        <f t="shared" si="62"/>
        <v>#REF!</v>
      </c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M58" s="63">
        <v>115</v>
      </c>
      <c r="AN58" s="784">
        <v>100</v>
      </c>
    </row>
    <row r="59" spans="2:40" x14ac:dyDescent="0.3">
      <c r="B59" s="754"/>
      <c r="C59" s="18" t="s">
        <v>24</v>
      </c>
      <c r="D59" s="163">
        <f>D20+Agosto23!AF55</f>
        <v>136249.90000000002</v>
      </c>
      <c r="E59" s="164">
        <f t="shared" si="61"/>
        <v>136418.30000000002</v>
      </c>
      <c r="F59" s="164">
        <f t="shared" si="61"/>
        <v>136640.50000000003</v>
      </c>
      <c r="G59" s="165">
        <v>137294</v>
      </c>
      <c r="H59" s="166">
        <v>137664</v>
      </c>
      <c r="I59" s="163">
        <f>H59+I20</f>
        <v>138038.5</v>
      </c>
      <c r="J59" s="163">
        <f t="shared" si="62"/>
        <v>138352.6</v>
      </c>
      <c r="K59" s="163">
        <f t="shared" si="62"/>
        <v>138733.70000000001</v>
      </c>
      <c r="L59" s="163">
        <f>K59+L22</f>
        <v>139074.40000000002</v>
      </c>
      <c r="M59" s="163" t="e">
        <f>L59+#REF!</f>
        <v>#REF!</v>
      </c>
      <c r="N59" s="163" t="e">
        <f t="shared" si="62"/>
        <v>#REF!</v>
      </c>
      <c r="O59" s="163" t="e">
        <f t="shared" si="62"/>
        <v>#REF!</v>
      </c>
      <c r="P59" s="163" t="e">
        <f t="shared" si="62"/>
        <v>#REF!</v>
      </c>
      <c r="Q59" s="163" t="e">
        <f>P59+#REF!</f>
        <v>#REF!</v>
      </c>
      <c r="R59" s="163" t="e">
        <f t="shared" si="62"/>
        <v>#REF!</v>
      </c>
      <c r="S59" s="163" t="e">
        <f t="shared" si="62"/>
        <v>#REF!</v>
      </c>
      <c r="T59" s="163" t="e">
        <f t="shared" si="62"/>
        <v>#REF!</v>
      </c>
      <c r="U59" s="163" t="e">
        <f>T59+U20</f>
        <v>#REF!</v>
      </c>
      <c r="V59" s="163" t="e">
        <f>U59+#REF!</f>
        <v>#REF!</v>
      </c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M59" s="63">
        <v>160.30000000000001</v>
      </c>
      <c r="AN59" s="785"/>
    </row>
    <row r="60" spans="2:40" x14ac:dyDescent="0.3">
      <c r="B60" s="754"/>
      <c r="C60" s="18" t="s">
        <v>25</v>
      </c>
      <c r="D60" s="163">
        <f>D21+Agosto23!AF56</f>
        <v>174659.7</v>
      </c>
      <c r="E60" s="164">
        <f t="shared" si="61"/>
        <v>174879</v>
      </c>
      <c r="F60" s="164">
        <f t="shared" si="61"/>
        <v>175182.3</v>
      </c>
      <c r="G60" s="165">
        <v>176032</v>
      </c>
      <c r="H60" s="166">
        <v>176536</v>
      </c>
      <c r="I60" s="163">
        <f>H60+I21</f>
        <v>177016.6</v>
      </c>
      <c r="J60" s="163">
        <f t="shared" si="62"/>
        <v>177420.1</v>
      </c>
      <c r="K60" s="163">
        <f>J60+K18</f>
        <v>177919.2</v>
      </c>
      <c r="L60" s="163">
        <f t="shared" si="62"/>
        <v>178408</v>
      </c>
      <c r="M60" s="163">
        <f t="shared" si="62"/>
        <v>178820</v>
      </c>
      <c r="N60" s="163">
        <f>M60+N22</f>
        <v>179049.60000000001</v>
      </c>
      <c r="O60" s="163" t="e">
        <f>N60+#REF!</f>
        <v>#REF!</v>
      </c>
      <c r="P60" s="163" t="e">
        <f t="shared" si="62"/>
        <v>#REF!</v>
      </c>
      <c r="Q60" s="163" t="e">
        <f t="shared" si="62"/>
        <v>#REF!</v>
      </c>
      <c r="R60" s="163" t="e">
        <f>Q60+R19</f>
        <v>#REF!</v>
      </c>
      <c r="S60" s="163" t="e">
        <f>R60+S22</f>
        <v>#REF!</v>
      </c>
      <c r="T60" s="163" t="e">
        <f>S60+#REF!</f>
        <v>#REF!</v>
      </c>
      <c r="U60" s="163" t="e">
        <f>T60+U21</f>
        <v>#REF!</v>
      </c>
      <c r="V60" s="163" t="e">
        <f>U60+V20</f>
        <v>#REF!</v>
      </c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M60" s="63">
        <v>136.9</v>
      </c>
      <c r="AN60" s="786"/>
    </row>
    <row r="61" spans="2:40" x14ac:dyDescent="0.3">
      <c r="B61" s="754"/>
      <c r="C61" s="18" t="s">
        <v>26</v>
      </c>
      <c r="D61" s="163">
        <f>D22+Agosto23!AF57</f>
        <v>82387.700000000012</v>
      </c>
      <c r="E61" s="164">
        <f t="shared" si="61"/>
        <v>82552.400000000009</v>
      </c>
      <c r="F61" s="164">
        <f t="shared" si="61"/>
        <v>82780.100000000006</v>
      </c>
      <c r="G61" s="165">
        <v>83628</v>
      </c>
      <c r="H61" s="166">
        <v>84081</v>
      </c>
      <c r="I61" s="163">
        <f t="shared" ref="I61:L67" si="63">H61+I22</f>
        <v>84412.4</v>
      </c>
      <c r="J61" s="163">
        <f t="shared" si="63"/>
        <v>84701</v>
      </c>
      <c r="K61" s="163" t="e">
        <f>J61+#REF!</f>
        <v>#REF!</v>
      </c>
      <c r="L61" s="163" t="e">
        <f>K61+#REF!</f>
        <v>#REF!</v>
      </c>
      <c r="M61" s="163" t="e">
        <f>L61+#REF!</f>
        <v>#REF!</v>
      </c>
      <c r="N61" s="163" t="e">
        <f>M61+#REF!</f>
        <v>#REF!</v>
      </c>
      <c r="O61" s="163" t="e">
        <f t="shared" ref="M61:S67" si="64">N61+O22</f>
        <v>#REF!</v>
      </c>
      <c r="P61" s="163" t="e">
        <f t="shared" si="64"/>
        <v>#REF!</v>
      </c>
      <c r="Q61" s="163" t="e">
        <f t="shared" si="64"/>
        <v>#REF!</v>
      </c>
      <c r="R61" s="163" t="e">
        <f t="shared" si="64"/>
        <v>#REF!</v>
      </c>
      <c r="S61" s="163" t="e">
        <f>R61+#REF!</f>
        <v>#REF!</v>
      </c>
      <c r="T61" s="163" t="e">
        <f>S61+T21</f>
        <v>#REF!</v>
      </c>
      <c r="U61" s="163" t="e">
        <f t="shared" ref="T61:V67" si="65">T61+U22</f>
        <v>#REF!</v>
      </c>
      <c r="V61" s="163" t="e">
        <f t="shared" si="65"/>
        <v>#REF!</v>
      </c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M61" s="63">
        <v>147.5</v>
      </c>
      <c r="AN61" s="784">
        <v>100</v>
      </c>
    </row>
    <row r="62" spans="2:40" x14ac:dyDescent="0.3">
      <c r="B62" s="754"/>
      <c r="C62" s="18" t="s">
        <v>27</v>
      </c>
      <c r="D62" s="163">
        <f>D23+Agosto23!AF58</f>
        <v>61383.6</v>
      </c>
      <c r="E62" s="164">
        <f t="shared" si="61"/>
        <v>61633.9</v>
      </c>
      <c r="F62" s="164">
        <f t="shared" si="61"/>
        <v>61936.800000000003</v>
      </c>
      <c r="G62" s="165">
        <v>63058</v>
      </c>
      <c r="H62" s="166">
        <v>63281</v>
      </c>
      <c r="I62" s="163">
        <f t="shared" si="63"/>
        <v>63694.6</v>
      </c>
      <c r="J62" s="163">
        <f t="shared" si="63"/>
        <v>64126</v>
      </c>
      <c r="K62" s="163">
        <f t="shared" si="63"/>
        <v>64569.4</v>
      </c>
      <c r="L62" s="163">
        <f t="shared" si="63"/>
        <v>65004.5</v>
      </c>
      <c r="M62" s="163" t="e">
        <f>L62+#REF!</f>
        <v>#REF!</v>
      </c>
      <c r="N62" s="163" t="e">
        <f t="shared" si="64"/>
        <v>#REF!</v>
      </c>
      <c r="O62" s="163" t="e">
        <f t="shared" si="64"/>
        <v>#REF!</v>
      </c>
      <c r="P62" s="163" t="e">
        <f t="shared" si="64"/>
        <v>#REF!</v>
      </c>
      <c r="Q62" s="163" t="e">
        <f t="shared" si="64"/>
        <v>#REF!</v>
      </c>
      <c r="R62" s="163" t="e">
        <f t="shared" si="64"/>
        <v>#REF!</v>
      </c>
      <c r="S62" s="163" t="e">
        <f t="shared" si="64"/>
        <v>#REF!</v>
      </c>
      <c r="T62" s="163" t="e">
        <f t="shared" si="65"/>
        <v>#REF!</v>
      </c>
      <c r="U62" s="163" t="e">
        <f t="shared" si="65"/>
        <v>#REF!</v>
      </c>
      <c r="V62" s="163" t="e">
        <f t="shared" si="65"/>
        <v>#REF!</v>
      </c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M62" s="63">
        <v>189.83</v>
      </c>
      <c r="AN62" s="785"/>
    </row>
    <row r="63" spans="2:40" x14ac:dyDescent="0.3">
      <c r="B63" s="754"/>
      <c r="C63" s="18" t="s">
        <v>28</v>
      </c>
      <c r="D63" s="163">
        <f>D24+Agosto23!AF59</f>
        <v>87531.77</v>
      </c>
      <c r="E63" s="164">
        <f t="shared" si="61"/>
        <v>87761.77</v>
      </c>
      <c r="F63" s="164">
        <f t="shared" si="61"/>
        <v>88044.17</v>
      </c>
      <c r="G63" s="165">
        <v>87693.64</v>
      </c>
      <c r="H63" s="166">
        <v>87903.16</v>
      </c>
      <c r="I63" s="163">
        <f t="shared" si="63"/>
        <v>88282.559999999998</v>
      </c>
      <c r="J63" s="163">
        <f t="shared" si="63"/>
        <v>88680.56</v>
      </c>
      <c r="K63" s="163">
        <f>J63+K24</f>
        <v>89090.66</v>
      </c>
      <c r="L63" s="163">
        <f t="shared" si="63"/>
        <v>89489.760000000009</v>
      </c>
      <c r="M63" s="163">
        <f>L63+M23</f>
        <v>89860.66</v>
      </c>
      <c r="N63" s="163">
        <f>M63+N25</f>
        <v>90890.66</v>
      </c>
      <c r="O63" s="163">
        <f>N63+O21</f>
        <v>91229.06</v>
      </c>
      <c r="P63" s="163">
        <f t="shared" si="64"/>
        <v>91661.36</v>
      </c>
      <c r="Q63" s="163">
        <f t="shared" si="64"/>
        <v>92098.559999999998</v>
      </c>
      <c r="R63" s="163">
        <f t="shared" si="64"/>
        <v>92479.56</v>
      </c>
      <c r="S63" s="163">
        <f t="shared" si="64"/>
        <v>92881.36</v>
      </c>
      <c r="T63" s="163" t="e">
        <f>S63+#REF!</f>
        <v>#REF!</v>
      </c>
      <c r="U63" s="163" t="e">
        <f t="shared" si="65"/>
        <v>#REF!</v>
      </c>
      <c r="V63" s="163" t="e">
        <f>U63+V24</f>
        <v>#REF!</v>
      </c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M63" s="63">
        <v>223.4</v>
      </c>
      <c r="AN63" s="786"/>
    </row>
    <row r="64" spans="2:40" x14ac:dyDescent="0.3">
      <c r="B64" s="754"/>
      <c r="C64" s="18" t="s">
        <v>29</v>
      </c>
      <c r="D64" s="163">
        <f>D25+Agosto23!AF60</f>
        <v>129515.4</v>
      </c>
      <c r="E64" s="164">
        <f t="shared" si="61"/>
        <v>130416.29999999999</v>
      </c>
      <c r="F64" s="164">
        <f t="shared" si="61"/>
        <v>131510.79999999999</v>
      </c>
      <c r="G64" s="165">
        <v>130195</v>
      </c>
      <c r="H64" s="166">
        <v>130451</v>
      </c>
      <c r="I64" s="163">
        <f t="shared" si="63"/>
        <v>131925.9</v>
      </c>
      <c r="J64" s="163">
        <f>I64+J30</f>
        <v>132340</v>
      </c>
      <c r="K64" s="163">
        <f>J64+K25</f>
        <v>133934.79999999999</v>
      </c>
      <c r="L64" s="163">
        <f t="shared" si="63"/>
        <v>135492.09999999998</v>
      </c>
      <c r="M64" s="163">
        <f t="shared" si="64"/>
        <v>136821.09999999998</v>
      </c>
      <c r="N64" s="163" t="e">
        <f>M64+#REF!</f>
        <v>#REF!</v>
      </c>
      <c r="O64" s="163" t="e">
        <f t="shared" si="64"/>
        <v>#REF!</v>
      </c>
      <c r="P64" s="163" t="e">
        <f t="shared" si="64"/>
        <v>#REF!</v>
      </c>
      <c r="Q64" s="163" t="e">
        <f t="shared" si="64"/>
        <v>#REF!</v>
      </c>
      <c r="R64" s="163" t="e">
        <f t="shared" si="64"/>
        <v>#REF!</v>
      </c>
      <c r="S64" s="163" t="e">
        <f t="shared" si="64"/>
        <v>#REF!</v>
      </c>
      <c r="T64" s="163" t="e">
        <f t="shared" si="65"/>
        <v>#REF!</v>
      </c>
      <c r="U64" s="163" t="e">
        <f>T64+U26</f>
        <v>#REF!</v>
      </c>
      <c r="V64" s="163" t="e">
        <f>U64+#REF!</f>
        <v>#REF!</v>
      </c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M64" s="63">
        <v>619</v>
      </c>
      <c r="AN64" s="778">
        <v>29</v>
      </c>
    </row>
    <row r="65" spans="2:40" x14ac:dyDescent="0.3">
      <c r="B65" s="754"/>
      <c r="C65" s="18" t="s">
        <v>30</v>
      </c>
      <c r="D65" s="163">
        <f>D26+Agosto23!AF61</f>
        <v>14267.2</v>
      </c>
      <c r="E65" s="164">
        <f t="shared" si="61"/>
        <v>14495.5</v>
      </c>
      <c r="F65" s="164">
        <f t="shared" si="61"/>
        <v>14658.7</v>
      </c>
      <c r="G65" s="165">
        <v>18667</v>
      </c>
      <c r="H65" s="166">
        <v>19364</v>
      </c>
      <c r="I65" s="163">
        <f t="shared" si="63"/>
        <v>19615.8</v>
      </c>
      <c r="J65" s="163">
        <f t="shared" si="63"/>
        <v>20153.5</v>
      </c>
      <c r="K65" s="163">
        <f t="shared" si="63"/>
        <v>20707</v>
      </c>
      <c r="L65" s="163">
        <f t="shared" si="63"/>
        <v>21143.7</v>
      </c>
      <c r="M65" s="163">
        <f t="shared" si="64"/>
        <v>21535.9</v>
      </c>
      <c r="N65" s="163" t="e">
        <f>M65+#REF!</f>
        <v>#REF!</v>
      </c>
      <c r="O65" s="163" t="e">
        <f t="shared" si="64"/>
        <v>#REF!</v>
      </c>
      <c r="P65" s="163" t="e">
        <f t="shared" si="64"/>
        <v>#REF!</v>
      </c>
      <c r="Q65" s="163" t="e">
        <f t="shared" si="64"/>
        <v>#REF!</v>
      </c>
      <c r="R65" s="163" t="e">
        <f t="shared" si="64"/>
        <v>#REF!</v>
      </c>
      <c r="S65" s="163" t="e">
        <f t="shared" si="64"/>
        <v>#REF!</v>
      </c>
      <c r="T65" s="163" t="e">
        <f>S65+T27</f>
        <v>#REF!</v>
      </c>
      <c r="U65" s="163" t="e">
        <f>T65+U27</f>
        <v>#REF!</v>
      </c>
      <c r="V65" s="163" t="e">
        <f>U65+V26</f>
        <v>#REF!</v>
      </c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M65" s="63">
        <v>219.3</v>
      </c>
      <c r="AN65" s="779"/>
    </row>
    <row r="66" spans="2:40" x14ac:dyDescent="0.3">
      <c r="B66" s="754"/>
      <c r="C66" s="18" t="s">
        <v>111</v>
      </c>
      <c r="D66" s="163">
        <f>D27+Agosto23!AF62</f>
        <v>45210</v>
      </c>
      <c r="E66" s="164">
        <f t="shared" si="61"/>
        <v>45389.9</v>
      </c>
      <c r="F66" s="164">
        <f t="shared" si="61"/>
        <v>45566.9</v>
      </c>
      <c r="G66" s="165">
        <v>46772</v>
      </c>
      <c r="H66" s="166">
        <v>47086</v>
      </c>
      <c r="I66" s="163">
        <f t="shared" si="63"/>
        <v>47446.8</v>
      </c>
      <c r="J66" s="163">
        <f t="shared" si="63"/>
        <v>47884.200000000004</v>
      </c>
      <c r="K66" s="163">
        <f t="shared" si="63"/>
        <v>48357.4</v>
      </c>
      <c r="L66" s="163">
        <f t="shared" si="63"/>
        <v>48776</v>
      </c>
      <c r="M66" s="163">
        <f t="shared" si="64"/>
        <v>49142.2</v>
      </c>
      <c r="N66" s="163">
        <f>M66+N26</f>
        <v>49610.799999999996</v>
      </c>
      <c r="O66" s="163">
        <f t="shared" si="64"/>
        <v>50061.1</v>
      </c>
      <c r="P66" s="163">
        <f t="shared" si="64"/>
        <v>50534.799999999996</v>
      </c>
      <c r="Q66" s="163">
        <f t="shared" si="64"/>
        <v>50998.999999999993</v>
      </c>
      <c r="R66" s="163">
        <f t="shared" si="64"/>
        <v>51424.799999999996</v>
      </c>
      <c r="S66" s="163">
        <f t="shared" si="64"/>
        <v>51887.299999999996</v>
      </c>
      <c r="T66" s="163" t="e">
        <f>S66+#REF!</f>
        <v>#REF!</v>
      </c>
      <c r="U66" s="163" t="e">
        <f>T66+#REF!</f>
        <v>#REF!</v>
      </c>
      <c r="V66" s="163" t="e">
        <f t="shared" si="65"/>
        <v>#REF!</v>
      </c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M66" s="63">
        <v>66.900000000000006</v>
      </c>
      <c r="AN66" s="780"/>
    </row>
    <row r="67" spans="2:40" ht="15" thickBot="1" x14ac:dyDescent="0.35">
      <c r="B67" s="754"/>
      <c r="C67" s="18" t="s">
        <v>32</v>
      </c>
      <c r="D67" s="163">
        <f>D28+Agosto23!AF63</f>
        <v>9417.8000000000011</v>
      </c>
      <c r="E67" s="164">
        <f t="shared" si="61"/>
        <v>9537.0000000000018</v>
      </c>
      <c r="F67" s="164">
        <f t="shared" si="61"/>
        <v>9643.6000000000022</v>
      </c>
      <c r="G67" s="165">
        <v>10779</v>
      </c>
      <c r="H67" s="166">
        <v>10940</v>
      </c>
      <c r="I67" s="163">
        <f>H67+I28</f>
        <v>11172.5</v>
      </c>
      <c r="J67" s="163">
        <f t="shared" si="63"/>
        <v>11611.8</v>
      </c>
      <c r="K67" s="163">
        <f t="shared" si="63"/>
        <v>12056.099999999999</v>
      </c>
      <c r="L67" s="163">
        <f t="shared" si="63"/>
        <v>12383.599999999999</v>
      </c>
      <c r="M67" s="163">
        <f t="shared" si="64"/>
        <v>12685.8</v>
      </c>
      <c r="N67" s="163">
        <f t="shared" si="64"/>
        <v>12980.099999999999</v>
      </c>
      <c r="O67" s="163">
        <f t="shared" si="64"/>
        <v>13279.699999999999</v>
      </c>
      <c r="P67" s="163">
        <f t="shared" si="64"/>
        <v>13718.3</v>
      </c>
      <c r="Q67" s="163">
        <f t="shared" si="64"/>
        <v>14159</v>
      </c>
      <c r="R67" s="163">
        <f t="shared" si="64"/>
        <v>14247.7</v>
      </c>
      <c r="S67" s="163">
        <f t="shared" si="64"/>
        <v>14694.2</v>
      </c>
      <c r="T67" s="163">
        <f t="shared" si="65"/>
        <v>15115.400000000001</v>
      </c>
      <c r="U67" s="163">
        <f t="shared" si="65"/>
        <v>15534.100000000002</v>
      </c>
      <c r="V67" s="163">
        <f t="shared" si="65"/>
        <v>15859.400000000001</v>
      </c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M67" s="93">
        <v>150.6</v>
      </c>
      <c r="AN67" s="784">
        <v>100</v>
      </c>
    </row>
    <row r="68" spans="2:40" x14ac:dyDescent="0.3">
      <c r="B68" s="754"/>
      <c r="C68" s="18" t="s">
        <v>112</v>
      </c>
      <c r="D68" s="163">
        <f>D29+Agosto23!AF64</f>
        <v>18822.5</v>
      </c>
      <c r="E68" s="164">
        <f>D68+E30</f>
        <v>18934.8</v>
      </c>
      <c r="F68" s="164">
        <f>E68+F30</f>
        <v>19041.3</v>
      </c>
      <c r="G68" s="165">
        <v>20520.400000000001</v>
      </c>
      <c r="H68" s="166">
        <v>20739</v>
      </c>
      <c r="I68" s="163">
        <f t="shared" ref="I68:V68" si="66">H68+I30</f>
        <v>20948.099999999999</v>
      </c>
      <c r="J68" s="163">
        <f>I68+J31</f>
        <v>20948.099999999999</v>
      </c>
      <c r="K68" s="163">
        <f t="shared" si="66"/>
        <v>21367.899999999998</v>
      </c>
      <c r="L68" s="163">
        <f t="shared" si="66"/>
        <v>21635.999999999996</v>
      </c>
      <c r="M68" s="163">
        <f t="shared" si="66"/>
        <v>21912.799999999996</v>
      </c>
      <c r="N68" s="163">
        <f>M68+N31</f>
        <v>22167.799999999996</v>
      </c>
      <c r="O68" s="163">
        <f t="shared" si="66"/>
        <v>22444.999999999996</v>
      </c>
      <c r="P68" s="163">
        <f t="shared" si="66"/>
        <v>22856.499999999996</v>
      </c>
      <c r="Q68" s="163">
        <f t="shared" si="66"/>
        <v>23279.599999999995</v>
      </c>
      <c r="R68" s="163">
        <f t="shared" si="66"/>
        <v>23330.399999999994</v>
      </c>
      <c r="S68" s="163">
        <f t="shared" si="66"/>
        <v>23747.499999999993</v>
      </c>
      <c r="T68" s="163">
        <f t="shared" si="66"/>
        <v>24149.999999999993</v>
      </c>
      <c r="U68" s="163">
        <f t="shared" si="66"/>
        <v>24556.999999999993</v>
      </c>
      <c r="V68" s="163">
        <f t="shared" si="66"/>
        <v>24832.099999999991</v>
      </c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N68" s="785"/>
    </row>
    <row r="69" spans="2:40" x14ac:dyDescent="0.3">
      <c r="B69" s="756" t="s">
        <v>196</v>
      </c>
      <c r="C69" s="756"/>
      <c r="D69" s="756"/>
      <c r="E69" s="756"/>
      <c r="AN69" s="786"/>
    </row>
    <row r="70" spans="2:40" x14ac:dyDescent="0.3">
      <c r="B70" s="757" t="s">
        <v>132</v>
      </c>
      <c r="C70" s="757"/>
      <c r="D70" s="757"/>
      <c r="E70" s="757"/>
      <c r="AN70" s="784">
        <v>110</v>
      </c>
    </row>
    <row r="71" spans="2:40" x14ac:dyDescent="0.3">
      <c r="AN71" s="785"/>
    </row>
    <row r="72" spans="2:40" x14ac:dyDescent="0.3">
      <c r="AN72" s="786"/>
    </row>
    <row r="73" spans="2:40" x14ac:dyDescent="0.3">
      <c r="AN73" s="784">
        <v>110</v>
      </c>
    </row>
    <row r="74" spans="2:40" x14ac:dyDescent="0.3">
      <c r="AN74" s="785"/>
    </row>
    <row r="75" spans="2:40" x14ac:dyDescent="0.3">
      <c r="AN75" s="786"/>
    </row>
    <row r="76" spans="2:40" x14ac:dyDescent="0.3">
      <c r="AN76" s="778">
        <v>80</v>
      </c>
    </row>
    <row r="77" spans="2:40" x14ac:dyDescent="0.3">
      <c r="AN77" s="779"/>
    </row>
    <row r="78" spans="2:40" x14ac:dyDescent="0.3">
      <c r="AN78" s="780"/>
    </row>
    <row r="79" spans="2:40" x14ac:dyDescent="0.3">
      <c r="AN79" s="784">
        <v>100</v>
      </c>
    </row>
    <row r="80" spans="2:40" x14ac:dyDescent="0.3">
      <c r="AN80" s="785"/>
    </row>
    <row r="81" spans="40:40" x14ac:dyDescent="0.3">
      <c r="AN81" s="786"/>
    </row>
    <row r="82" spans="40:40" x14ac:dyDescent="0.3">
      <c r="AN82" s="784">
        <v>100</v>
      </c>
    </row>
    <row r="83" spans="40:40" x14ac:dyDescent="0.3">
      <c r="AN83" s="785"/>
    </row>
    <row r="84" spans="40:40" x14ac:dyDescent="0.3">
      <c r="AN84" s="786"/>
    </row>
    <row r="85" spans="40:40" x14ac:dyDescent="0.3">
      <c r="AN85" s="787">
        <v>110</v>
      </c>
    </row>
    <row r="86" spans="40:40" x14ac:dyDescent="0.3">
      <c r="AN86" s="788"/>
    </row>
    <row r="87" spans="40:40" x14ac:dyDescent="0.3">
      <c r="AN87" s="789"/>
    </row>
    <row r="88" spans="40:40" x14ac:dyDescent="0.3">
      <c r="AN88" s="784">
        <v>100</v>
      </c>
    </row>
    <row r="89" spans="40:40" x14ac:dyDescent="0.3">
      <c r="AN89" s="785"/>
    </row>
    <row r="90" spans="40:40" x14ac:dyDescent="0.3">
      <c r="AN90" s="786"/>
    </row>
    <row r="91" spans="40:40" x14ac:dyDescent="0.3">
      <c r="AN91" s="781">
        <v>395</v>
      </c>
    </row>
    <row r="92" spans="40:40" x14ac:dyDescent="0.3">
      <c r="AN92" s="782"/>
    </row>
    <row r="93" spans="40:40" x14ac:dyDescent="0.3">
      <c r="AN93" s="783"/>
    </row>
    <row r="94" spans="40:40" x14ac:dyDescent="0.3">
      <c r="AN94" s="784">
        <v>100</v>
      </c>
    </row>
    <row r="95" spans="40:40" x14ac:dyDescent="0.3">
      <c r="AN95" s="785"/>
    </row>
    <row r="96" spans="40:40" x14ac:dyDescent="0.3">
      <c r="AN96" s="786"/>
    </row>
    <row r="97" spans="40:40" x14ac:dyDescent="0.3">
      <c r="AN97" s="784">
        <v>100</v>
      </c>
    </row>
    <row r="98" spans="40:40" x14ac:dyDescent="0.3">
      <c r="AN98" s="785"/>
    </row>
    <row r="99" spans="40:40" x14ac:dyDescent="0.3">
      <c r="AN99" s="786"/>
    </row>
    <row r="100" spans="40:40" x14ac:dyDescent="0.3">
      <c r="AN100" s="784">
        <v>100</v>
      </c>
    </row>
    <row r="101" spans="40:40" x14ac:dyDescent="0.3">
      <c r="AN101" s="785"/>
    </row>
    <row r="102" spans="40:40" x14ac:dyDescent="0.3">
      <c r="AN102" s="786"/>
    </row>
    <row r="103" spans="40:40" x14ac:dyDescent="0.3">
      <c r="AN103" s="781">
        <v>120</v>
      </c>
    </row>
    <row r="104" spans="40:40" x14ac:dyDescent="0.3">
      <c r="AN104" s="782"/>
    </row>
    <row r="105" spans="40:40" x14ac:dyDescent="0.3">
      <c r="AN105" s="783"/>
    </row>
    <row r="106" spans="40:40" x14ac:dyDescent="0.3">
      <c r="AN106" s="781">
        <v>110</v>
      </c>
    </row>
    <row r="107" spans="40:40" x14ac:dyDescent="0.3">
      <c r="AN107" s="782"/>
    </row>
    <row r="108" spans="40:40" x14ac:dyDescent="0.3">
      <c r="AN108" s="783"/>
    </row>
    <row r="109" spans="40:40" x14ac:dyDescent="0.3">
      <c r="AN109" s="784">
        <v>100</v>
      </c>
    </row>
    <row r="110" spans="40:40" x14ac:dyDescent="0.3">
      <c r="AN110" s="785"/>
    </row>
    <row r="111" spans="40:40" x14ac:dyDescent="0.3">
      <c r="AN111" s="786"/>
    </row>
    <row r="112" spans="40:40" x14ac:dyDescent="0.3">
      <c r="AN112" s="790">
        <v>100</v>
      </c>
    </row>
    <row r="113" spans="40:40" x14ac:dyDescent="0.3">
      <c r="AN113" s="790"/>
    </row>
    <row r="114" spans="40:40" x14ac:dyDescent="0.3">
      <c r="AN114" s="790"/>
    </row>
  </sheetData>
  <mergeCells count="41">
    <mergeCell ref="AN112:AN114"/>
    <mergeCell ref="AN94:AN96"/>
    <mergeCell ref="AN97:AN99"/>
    <mergeCell ref="AN100:AN102"/>
    <mergeCell ref="AN103:AN105"/>
    <mergeCell ref="AN106:AN108"/>
    <mergeCell ref="AN109:AN111"/>
    <mergeCell ref="AN91:AN93"/>
    <mergeCell ref="AN64:AN66"/>
    <mergeCell ref="AN67:AN69"/>
    <mergeCell ref="B69:E69"/>
    <mergeCell ref="B70:E70"/>
    <mergeCell ref="AN70:AN72"/>
    <mergeCell ref="AN73:AN75"/>
    <mergeCell ref="AN76:AN78"/>
    <mergeCell ref="AN79:AN81"/>
    <mergeCell ref="AN82:AN84"/>
    <mergeCell ref="AN85:AN87"/>
    <mergeCell ref="AN88:AN90"/>
    <mergeCell ref="AN43:AN45"/>
    <mergeCell ref="B45:B52"/>
    <mergeCell ref="AN46:AN48"/>
    <mergeCell ref="AN49:AN51"/>
    <mergeCell ref="AN52:AN54"/>
    <mergeCell ref="B53:B56"/>
    <mergeCell ref="AN55:AN57"/>
    <mergeCell ref="B57:B68"/>
    <mergeCell ref="AN58:AN60"/>
    <mergeCell ref="AN61:AN63"/>
    <mergeCell ref="AN40:AN42"/>
    <mergeCell ref="B4:C4"/>
    <mergeCell ref="B5:B12"/>
    <mergeCell ref="B13:B17"/>
    <mergeCell ref="B18:B30"/>
    <mergeCell ref="B31:B32"/>
    <mergeCell ref="B33:C33"/>
    <mergeCell ref="AN34:AN36"/>
    <mergeCell ref="AE35:AG35"/>
    <mergeCell ref="AE36:AG36"/>
    <mergeCell ref="AE37:AG37"/>
    <mergeCell ref="AN37:AN39"/>
  </mergeCells>
  <conditionalFormatting sqref="AL5:BO32">
    <cfRule type="cellIs" dxfId="17" priority="2" operator="equal">
      <formula>"VAZIO"</formula>
    </cfRule>
  </conditionalFormatting>
  <conditionalFormatting sqref="AL5:BP32">
    <cfRule type="expression" dxfId="16" priority="6">
      <formula>AL5&gt;$BQ5</formula>
    </cfRule>
    <cfRule type="expression" dxfId="15" priority="7">
      <formula>AL5&lt;($BQ5-0.01)</formula>
    </cfRule>
  </conditionalFormatting>
  <conditionalFormatting sqref="AM8:BO8 BJ9 AM17:BO17 BG18 AM25:BO26">
    <cfRule type="cellIs" dxfId="14" priority="3" operator="equal">
      <formula>"""VAZIO"""</formula>
    </cfRule>
  </conditionalFormatting>
  <conditionalFormatting sqref="AP5:BO32">
    <cfRule type="expression" dxfId="13" priority="1">
      <formula>AP5=0</formula>
    </cfRule>
  </conditionalFormatting>
  <conditionalFormatting sqref="BT5:BT32">
    <cfRule type="cellIs" dxfId="12" priority="4" operator="greaterThan">
      <formula>0</formula>
    </cfRule>
    <cfRule type="cellIs" dxfId="11" priority="5" operator="lessThan">
      <formula>-0.01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9186-032F-4B8F-BF10-E52AFC67DF2A}">
  <dimension ref="A1:A127"/>
  <sheetViews>
    <sheetView topLeftCell="A60" workbookViewId="0">
      <selection activeCell="A127" sqref="A127"/>
    </sheetView>
  </sheetViews>
  <sheetFormatPr defaultRowHeight="14.4" x14ac:dyDescent="0.3"/>
  <sheetData>
    <row r="1" spans="1:1" x14ac:dyDescent="0.3">
      <c r="A1" s="484">
        <v>14835</v>
      </c>
    </row>
    <row r="2" spans="1:1" x14ac:dyDescent="0.3">
      <c r="A2" s="484">
        <v>14162</v>
      </c>
    </row>
    <row r="3" spans="1:1" x14ac:dyDescent="0.3">
      <c r="A3" s="484">
        <v>14063</v>
      </c>
    </row>
    <row r="4" spans="1:1" x14ac:dyDescent="0.3">
      <c r="A4" s="484">
        <v>15486</v>
      </c>
    </row>
    <row r="5" spans="1:1" x14ac:dyDescent="0.3">
      <c r="A5" s="484">
        <v>22481</v>
      </c>
    </row>
    <row r="6" spans="1:1" x14ac:dyDescent="0.3">
      <c r="A6" s="484">
        <v>20349</v>
      </c>
    </row>
    <row r="7" spans="1:1" x14ac:dyDescent="0.3">
      <c r="A7" s="484">
        <v>19403</v>
      </c>
    </row>
    <row r="8" spans="1:1" x14ac:dyDescent="0.3">
      <c r="A8" s="484">
        <v>19326</v>
      </c>
    </row>
    <row r="9" spans="1:1" x14ac:dyDescent="0.3">
      <c r="A9" s="484">
        <v>17669</v>
      </c>
    </row>
    <row r="10" spans="1:1" x14ac:dyDescent="0.3">
      <c r="A10" s="484">
        <v>18206</v>
      </c>
    </row>
    <row r="11" spans="1:1" x14ac:dyDescent="0.3">
      <c r="A11" s="484">
        <v>22369</v>
      </c>
    </row>
    <row r="12" spans="1:1" x14ac:dyDescent="0.3">
      <c r="A12" s="484">
        <v>27975</v>
      </c>
    </row>
    <row r="13" spans="1:1" x14ac:dyDescent="0.3">
      <c r="A13" s="484">
        <v>31100</v>
      </c>
    </row>
    <row r="14" spans="1:1" x14ac:dyDescent="0.3">
      <c r="A14" s="484">
        <v>43118</v>
      </c>
    </row>
    <row r="15" spans="1:1" x14ac:dyDescent="0.3">
      <c r="A15" s="484">
        <v>38830</v>
      </c>
    </row>
    <row r="16" spans="1:1" x14ac:dyDescent="0.3">
      <c r="A16" s="484">
        <v>47485</v>
      </c>
    </row>
    <row r="17" spans="1:1" x14ac:dyDescent="0.3">
      <c r="A17" s="484">
        <v>35037</v>
      </c>
    </row>
    <row r="18" spans="1:1" x14ac:dyDescent="0.3">
      <c r="A18" s="484">
        <v>33645</v>
      </c>
    </row>
    <row r="19" spans="1:1" x14ac:dyDescent="0.3">
      <c r="A19" s="484">
        <v>33063</v>
      </c>
    </row>
    <row r="20" spans="1:1" x14ac:dyDescent="0.3">
      <c r="A20" s="484">
        <v>38359</v>
      </c>
    </row>
    <row r="21" spans="1:1" x14ac:dyDescent="0.3">
      <c r="A21" s="484">
        <v>37506</v>
      </c>
    </row>
    <row r="22" spans="1:1" x14ac:dyDescent="0.3">
      <c r="A22" s="484">
        <v>47644</v>
      </c>
    </row>
    <row r="23" spans="1:1" x14ac:dyDescent="0.3">
      <c r="A23" s="484">
        <v>57737</v>
      </c>
    </row>
    <row r="24" spans="1:1" x14ac:dyDescent="0.3">
      <c r="A24" s="484">
        <v>50462</v>
      </c>
    </row>
    <row r="25" spans="1:1" x14ac:dyDescent="0.3">
      <c r="A25" s="484">
        <v>60843</v>
      </c>
    </row>
    <row r="26" spans="1:1" x14ac:dyDescent="0.3">
      <c r="A26" s="484">
        <v>59944</v>
      </c>
    </row>
    <row r="27" spans="1:1" x14ac:dyDescent="0.3">
      <c r="A27" s="484">
        <v>58105</v>
      </c>
    </row>
    <row r="28" spans="1:1" x14ac:dyDescent="0.3">
      <c r="A28" s="484">
        <v>57336</v>
      </c>
    </row>
    <row r="29" spans="1:1" x14ac:dyDescent="0.3">
      <c r="A29" s="484">
        <v>51572</v>
      </c>
    </row>
    <row r="30" spans="1:1" x14ac:dyDescent="0.3">
      <c r="A30" s="484">
        <v>55806</v>
      </c>
    </row>
    <row r="31" spans="1:1" x14ac:dyDescent="0.3">
      <c r="A31" s="484">
        <v>55645</v>
      </c>
    </row>
    <row r="32" spans="1:1" x14ac:dyDescent="0.3">
      <c r="A32" s="484">
        <v>57261</v>
      </c>
    </row>
    <row r="33" spans="1:1" x14ac:dyDescent="0.3">
      <c r="A33" s="484">
        <v>54398</v>
      </c>
    </row>
    <row r="34" spans="1:1" x14ac:dyDescent="0.3">
      <c r="A34" s="484">
        <v>64928</v>
      </c>
    </row>
    <row r="35" spans="1:1" x14ac:dyDescent="0.3">
      <c r="A35" s="484">
        <v>72637</v>
      </c>
    </row>
    <row r="36" spans="1:1" x14ac:dyDescent="0.3">
      <c r="A36" s="484">
        <v>67455</v>
      </c>
    </row>
    <row r="37" spans="1:1" x14ac:dyDescent="0.3">
      <c r="A37" s="484">
        <v>75224</v>
      </c>
    </row>
    <row r="38" spans="1:1" x14ac:dyDescent="0.3">
      <c r="A38" s="484">
        <v>74835</v>
      </c>
    </row>
    <row r="39" spans="1:1" x14ac:dyDescent="0.3">
      <c r="A39" s="484">
        <v>61182</v>
      </c>
    </row>
    <row r="40" spans="1:1" x14ac:dyDescent="0.3">
      <c r="A40" s="484">
        <v>54894</v>
      </c>
    </row>
    <row r="41" spans="1:1" x14ac:dyDescent="0.3">
      <c r="A41" s="484">
        <v>56618</v>
      </c>
    </row>
    <row r="42" spans="1:1" x14ac:dyDescent="0.3">
      <c r="A42" s="484">
        <v>35395</v>
      </c>
    </row>
    <row r="43" spans="1:1" x14ac:dyDescent="0.3">
      <c r="A43" s="484">
        <v>65635</v>
      </c>
    </row>
    <row r="44" spans="1:1" x14ac:dyDescent="0.3">
      <c r="A44" s="484">
        <v>70515</v>
      </c>
    </row>
    <row r="45" spans="1:1" x14ac:dyDescent="0.3">
      <c r="A45" s="484">
        <v>47761</v>
      </c>
    </row>
    <row r="46" spans="1:1" x14ac:dyDescent="0.3">
      <c r="A46" s="484">
        <v>70789</v>
      </c>
    </row>
    <row r="47" spans="1:1" x14ac:dyDescent="0.3">
      <c r="A47" s="484">
        <v>64338</v>
      </c>
    </row>
    <row r="48" spans="1:1" x14ac:dyDescent="0.3">
      <c r="A48" s="484">
        <v>43000</v>
      </c>
    </row>
    <row r="49" spans="1:1" x14ac:dyDescent="0.3">
      <c r="A49" s="484">
        <v>46250</v>
      </c>
    </row>
    <row r="50" spans="1:1" x14ac:dyDescent="0.3">
      <c r="A50" s="484">
        <v>75100</v>
      </c>
    </row>
    <row r="51" spans="1:1" x14ac:dyDescent="0.3">
      <c r="A51" s="484">
        <v>25454</v>
      </c>
    </row>
    <row r="52" spans="1:1" x14ac:dyDescent="0.3">
      <c r="A52" s="484">
        <v>74913</v>
      </c>
    </row>
    <row r="53" spans="1:1" x14ac:dyDescent="0.3">
      <c r="A53" s="484">
        <v>33822</v>
      </c>
    </row>
    <row r="54" spans="1:1" x14ac:dyDescent="0.3">
      <c r="A54" s="484">
        <v>75123</v>
      </c>
    </row>
    <row r="55" spans="1:1" x14ac:dyDescent="0.3">
      <c r="A55" s="484">
        <v>75151</v>
      </c>
    </row>
    <row r="56" spans="1:1" x14ac:dyDescent="0.3">
      <c r="A56" s="484">
        <v>66162</v>
      </c>
    </row>
    <row r="57" spans="1:1" x14ac:dyDescent="0.3">
      <c r="A57" s="484">
        <v>72081</v>
      </c>
    </row>
    <row r="58" spans="1:1" x14ac:dyDescent="0.3">
      <c r="A58" s="484">
        <v>68023</v>
      </c>
    </row>
    <row r="59" spans="1:1" x14ac:dyDescent="0.3">
      <c r="A59" s="484">
        <v>30932</v>
      </c>
    </row>
    <row r="60" spans="1:1" x14ac:dyDescent="0.3">
      <c r="A60" s="484">
        <v>75075</v>
      </c>
    </row>
    <row r="61" spans="1:1" x14ac:dyDescent="0.3">
      <c r="A61" s="484">
        <v>75112</v>
      </c>
    </row>
    <row r="62" spans="1:1" x14ac:dyDescent="0.3">
      <c r="A62" s="484">
        <v>29946</v>
      </c>
    </row>
    <row r="63" spans="1:1" x14ac:dyDescent="0.3">
      <c r="A63" s="484">
        <v>67677</v>
      </c>
    </row>
    <row r="64" spans="1:1" x14ac:dyDescent="0.3">
      <c r="A64" s="484">
        <v>24668</v>
      </c>
    </row>
    <row r="65" spans="1:1" x14ac:dyDescent="0.3">
      <c r="A65" s="484">
        <v>75210</v>
      </c>
    </row>
    <row r="66" spans="1:1" x14ac:dyDescent="0.3">
      <c r="A66" s="484">
        <v>70610</v>
      </c>
    </row>
    <row r="67" spans="1:1" x14ac:dyDescent="0.3">
      <c r="A67" s="484">
        <v>30985</v>
      </c>
    </row>
    <row r="68" spans="1:1" x14ac:dyDescent="0.3">
      <c r="A68" s="484">
        <v>48284</v>
      </c>
    </row>
    <row r="69" spans="1:1" x14ac:dyDescent="0.3">
      <c r="A69" s="484">
        <v>19181</v>
      </c>
    </row>
    <row r="70" spans="1:1" x14ac:dyDescent="0.3">
      <c r="A70" s="484">
        <v>31079</v>
      </c>
    </row>
    <row r="71" spans="1:1" x14ac:dyDescent="0.3">
      <c r="A71" s="484">
        <v>22454</v>
      </c>
    </row>
    <row r="72" spans="1:1" x14ac:dyDescent="0.3">
      <c r="A72" s="484">
        <v>53973</v>
      </c>
    </row>
    <row r="73" spans="1:1" x14ac:dyDescent="0.3">
      <c r="A73" s="484">
        <v>21826</v>
      </c>
    </row>
    <row r="74" spans="1:1" x14ac:dyDescent="0.3">
      <c r="A74" s="484">
        <v>75105</v>
      </c>
    </row>
    <row r="75" spans="1:1" x14ac:dyDescent="0.3">
      <c r="A75" s="484">
        <v>15872</v>
      </c>
    </row>
    <row r="76" spans="1:1" x14ac:dyDescent="0.3">
      <c r="A76" s="484">
        <v>20219</v>
      </c>
    </row>
    <row r="77" spans="1:1" x14ac:dyDescent="0.3">
      <c r="A77" s="484">
        <v>27632</v>
      </c>
    </row>
    <row r="78" spans="1:1" x14ac:dyDescent="0.3">
      <c r="A78" s="484">
        <v>26038</v>
      </c>
    </row>
    <row r="79" spans="1:1" x14ac:dyDescent="0.3">
      <c r="A79" s="484">
        <v>75211</v>
      </c>
    </row>
    <row r="80" spans="1:1" x14ac:dyDescent="0.3">
      <c r="A80" s="484">
        <v>73735</v>
      </c>
    </row>
    <row r="81" spans="1:1" x14ac:dyDescent="0.3">
      <c r="A81" s="484">
        <v>74454</v>
      </c>
    </row>
    <row r="82" spans="1:1" x14ac:dyDescent="0.3">
      <c r="A82" s="484">
        <v>72250</v>
      </c>
    </row>
    <row r="83" spans="1:1" x14ac:dyDescent="0.3">
      <c r="A83" s="484">
        <v>37386</v>
      </c>
    </row>
    <row r="84" spans="1:1" x14ac:dyDescent="0.3">
      <c r="A84" s="484">
        <v>14412</v>
      </c>
    </row>
    <row r="85" spans="1:1" x14ac:dyDescent="0.3">
      <c r="A85" s="484">
        <v>19490</v>
      </c>
    </row>
    <row r="86" spans="1:1" x14ac:dyDescent="0.3">
      <c r="A86" s="484">
        <v>75223</v>
      </c>
    </row>
    <row r="87" spans="1:1" x14ac:dyDescent="0.3">
      <c r="A87" s="484">
        <v>70280</v>
      </c>
    </row>
    <row r="88" spans="1:1" x14ac:dyDescent="0.3">
      <c r="A88" s="484">
        <v>61901</v>
      </c>
    </row>
    <row r="89" spans="1:1" x14ac:dyDescent="0.3">
      <c r="A89" s="484">
        <v>58784</v>
      </c>
    </row>
    <row r="90" spans="1:1" x14ac:dyDescent="0.3">
      <c r="A90" s="484">
        <v>57686</v>
      </c>
    </row>
    <row r="91" spans="1:1" x14ac:dyDescent="0.3">
      <c r="A91" s="484">
        <v>56524</v>
      </c>
    </row>
    <row r="92" spans="1:1" x14ac:dyDescent="0.3">
      <c r="A92" s="484">
        <v>52884</v>
      </c>
    </row>
    <row r="93" spans="1:1" x14ac:dyDescent="0.3">
      <c r="A93" s="484">
        <v>46641</v>
      </c>
    </row>
    <row r="94" spans="1:1" x14ac:dyDescent="0.3">
      <c r="A94" s="484">
        <v>44840</v>
      </c>
    </row>
    <row r="95" spans="1:1" x14ac:dyDescent="0.3">
      <c r="A95" s="484">
        <v>42792</v>
      </c>
    </row>
    <row r="96" spans="1:1" x14ac:dyDescent="0.3">
      <c r="A96" s="484">
        <v>40557</v>
      </c>
    </row>
    <row r="97" spans="1:1" x14ac:dyDescent="0.3">
      <c r="A97" s="484">
        <v>39335</v>
      </c>
    </row>
    <row r="98" spans="1:1" x14ac:dyDescent="0.3">
      <c r="A98" s="484">
        <v>37901</v>
      </c>
    </row>
    <row r="99" spans="1:1" x14ac:dyDescent="0.3">
      <c r="A99" s="484">
        <v>35043</v>
      </c>
    </row>
    <row r="100" spans="1:1" x14ac:dyDescent="0.3">
      <c r="A100" s="484">
        <v>35689</v>
      </c>
    </row>
    <row r="101" spans="1:1" x14ac:dyDescent="0.3">
      <c r="A101" s="484">
        <v>34076</v>
      </c>
    </row>
    <row r="102" spans="1:1" x14ac:dyDescent="0.3">
      <c r="A102" s="484">
        <v>31589</v>
      </c>
    </row>
    <row r="103" spans="1:1" x14ac:dyDescent="0.3">
      <c r="A103" s="484">
        <v>29520</v>
      </c>
    </row>
    <row r="104" spans="1:1" x14ac:dyDescent="0.3">
      <c r="A104" s="484">
        <v>18983</v>
      </c>
    </row>
    <row r="105" spans="1:1" x14ac:dyDescent="0.3">
      <c r="A105" s="484">
        <v>17115</v>
      </c>
    </row>
    <row r="106" spans="1:1" x14ac:dyDescent="0.3">
      <c r="A106" s="484">
        <v>11194</v>
      </c>
    </row>
    <row r="107" spans="1:1" x14ac:dyDescent="0.3">
      <c r="A107" s="484">
        <v>7668</v>
      </c>
    </row>
    <row r="108" spans="1:1" x14ac:dyDescent="0.3">
      <c r="A108" s="484">
        <v>3951</v>
      </c>
    </row>
    <row r="109" spans="1:1" x14ac:dyDescent="0.3">
      <c r="A109" s="484">
        <v>2976</v>
      </c>
    </row>
    <row r="110" spans="1:1" x14ac:dyDescent="0.3">
      <c r="A110" s="484">
        <v>2202</v>
      </c>
    </row>
    <row r="111" spans="1:1" x14ac:dyDescent="0.3">
      <c r="A111" s="484">
        <v>2004</v>
      </c>
    </row>
    <row r="112" spans="1:1" x14ac:dyDescent="0.3">
      <c r="A112" s="484">
        <v>2036</v>
      </c>
    </row>
    <row r="113" spans="1:1" x14ac:dyDescent="0.3">
      <c r="A113" s="484">
        <v>2126</v>
      </c>
    </row>
    <row r="114" spans="1:1" x14ac:dyDescent="0.3">
      <c r="A114" s="484">
        <v>2177</v>
      </c>
    </row>
    <row r="115" spans="1:1" x14ac:dyDescent="0.3">
      <c r="A115" s="484">
        <v>2154</v>
      </c>
    </row>
    <row r="116" spans="1:1" x14ac:dyDescent="0.3">
      <c r="A116" s="484">
        <v>1799</v>
      </c>
    </row>
    <row r="117" spans="1:1" x14ac:dyDescent="0.3">
      <c r="A117" s="484">
        <v>1421</v>
      </c>
    </row>
    <row r="118" spans="1:1" x14ac:dyDescent="0.3">
      <c r="A118" s="484">
        <v>1172</v>
      </c>
    </row>
    <row r="119" spans="1:1" x14ac:dyDescent="0.3">
      <c r="A119" s="484">
        <v>984</v>
      </c>
    </row>
    <row r="120" spans="1:1" x14ac:dyDescent="0.3">
      <c r="A120" s="484">
        <v>852</v>
      </c>
    </row>
    <row r="121" spans="1:1" x14ac:dyDescent="0.3">
      <c r="A121" s="484">
        <v>733</v>
      </c>
    </row>
    <row r="122" spans="1:1" x14ac:dyDescent="0.3">
      <c r="A122" s="484">
        <v>690</v>
      </c>
    </row>
    <row r="123" spans="1:1" x14ac:dyDescent="0.3">
      <c r="A123" s="484">
        <v>684</v>
      </c>
    </row>
    <row r="124" spans="1:1" x14ac:dyDescent="0.3">
      <c r="A124" s="484">
        <v>677</v>
      </c>
    </row>
    <row r="125" spans="1:1" x14ac:dyDescent="0.3">
      <c r="A125" s="484">
        <v>674</v>
      </c>
    </row>
    <row r="126" spans="1:1" x14ac:dyDescent="0.3">
      <c r="A126" s="484">
        <v>674</v>
      </c>
    </row>
    <row r="127" spans="1:1" x14ac:dyDescent="0.3">
      <c r="A127">
        <f>(SUM(A1:A126)/12)/1000</f>
        <v>409.46100000000001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8189-EBB0-485B-ABF4-82314403BA72}">
  <dimension ref="A1:H26"/>
  <sheetViews>
    <sheetView workbookViewId="0">
      <selection activeCell="G1" sqref="G1"/>
    </sheetView>
  </sheetViews>
  <sheetFormatPr defaultRowHeight="14.4" x14ac:dyDescent="0.3"/>
  <cols>
    <col min="7" max="7" width="16.33203125" bestFit="1" customWidth="1"/>
  </cols>
  <sheetData>
    <row r="1" spans="1:8" x14ac:dyDescent="0.3">
      <c r="A1" s="15">
        <v>69.900000000000006</v>
      </c>
      <c r="B1" s="15">
        <v>69.2</v>
      </c>
      <c r="C1">
        <f>B1-A1</f>
        <v>-0.70000000000000284</v>
      </c>
      <c r="G1" t="s">
        <v>7</v>
      </c>
      <c r="H1">
        <v>38.5</v>
      </c>
    </row>
    <row r="2" spans="1:8" x14ac:dyDescent="0.3">
      <c r="A2" s="15">
        <f>80.3+329.4</f>
        <v>409.7</v>
      </c>
      <c r="B2" s="15">
        <f>79.1+323.3</f>
        <v>402.4</v>
      </c>
      <c r="C2">
        <f t="shared" ref="C2:C24" si="0">B2-A2</f>
        <v>-7.3000000000000114</v>
      </c>
      <c r="G2" t="s">
        <v>8</v>
      </c>
      <c r="H2">
        <f>43.2+176.2</f>
        <v>219.39999999999998</v>
      </c>
    </row>
    <row r="3" spans="1:8" x14ac:dyDescent="0.3">
      <c r="A3" s="15">
        <v>237</v>
      </c>
      <c r="B3" s="15">
        <v>241.7</v>
      </c>
      <c r="C3">
        <f t="shared" si="0"/>
        <v>4.6999999999999886</v>
      </c>
      <c r="G3" t="s">
        <v>9</v>
      </c>
      <c r="H3">
        <v>170.5</v>
      </c>
    </row>
    <row r="4" spans="1:8" x14ac:dyDescent="0.3">
      <c r="A4" s="15">
        <v>157</v>
      </c>
      <c r="B4" s="15">
        <v>155.04</v>
      </c>
      <c r="C4">
        <f t="shared" si="0"/>
        <v>-1.960000000000008</v>
      </c>
      <c r="G4" t="s">
        <v>10</v>
      </c>
      <c r="H4">
        <v>95.1</v>
      </c>
    </row>
    <row r="5" spans="1:8" x14ac:dyDescent="0.3">
      <c r="A5" s="15">
        <v>68.3</v>
      </c>
      <c r="B5" s="15">
        <v>68.7</v>
      </c>
      <c r="C5">
        <f t="shared" si="0"/>
        <v>0.40000000000000568</v>
      </c>
      <c r="G5" t="s">
        <v>11</v>
      </c>
      <c r="H5">
        <v>12.8</v>
      </c>
    </row>
    <row r="6" spans="1:8" x14ac:dyDescent="0.3">
      <c r="A6" s="15">
        <v>141.6</v>
      </c>
      <c r="B6" s="15">
        <v>146</v>
      </c>
      <c r="C6">
        <f t="shared" si="0"/>
        <v>4.4000000000000057</v>
      </c>
      <c r="G6" t="s">
        <v>12</v>
      </c>
      <c r="H6">
        <v>15.4</v>
      </c>
    </row>
    <row r="7" spans="1:8" x14ac:dyDescent="0.3">
      <c r="A7" s="15">
        <v>460.3</v>
      </c>
      <c r="B7" s="15">
        <v>457.6</v>
      </c>
      <c r="C7">
        <f t="shared" si="0"/>
        <v>-2.6999999999999886</v>
      </c>
      <c r="G7" t="s">
        <v>13</v>
      </c>
      <c r="H7">
        <v>258.3</v>
      </c>
    </row>
    <row r="8" spans="1:8" x14ac:dyDescent="0.3">
      <c r="A8" s="16">
        <v>295</v>
      </c>
      <c r="B8" s="16">
        <v>293</v>
      </c>
      <c r="C8">
        <f t="shared" si="0"/>
        <v>-2</v>
      </c>
      <c r="G8" t="s">
        <v>14</v>
      </c>
      <c r="H8">
        <v>208.3</v>
      </c>
    </row>
    <row r="9" spans="1:8" x14ac:dyDescent="0.3">
      <c r="A9" s="15">
        <v>586.20000000000005</v>
      </c>
      <c r="B9" s="15">
        <v>583.1</v>
      </c>
      <c r="C9">
        <f t="shared" si="0"/>
        <v>-3.1000000000000227</v>
      </c>
      <c r="G9" t="s">
        <v>17</v>
      </c>
      <c r="H9">
        <v>342.7</v>
      </c>
    </row>
    <row r="10" spans="1:8" x14ac:dyDescent="0.3">
      <c r="A10" s="15">
        <v>602.6</v>
      </c>
      <c r="B10" s="15">
        <v>599.9</v>
      </c>
      <c r="C10">
        <f t="shared" si="0"/>
        <v>-2.7000000000000455</v>
      </c>
      <c r="G10" t="s">
        <v>18</v>
      </c>
      <c r="H10">
        <v>357.3</v>
      </c>
    </row>
    <row r="11" spans="1:8" x14ac:dyDescent="0.3">
      <c r="A11" s="15">
        <v>171.6</v>
      </c>
      <c r="B11" s="15">
        <v>169.4</v>
      </c>
      <c r="C11">
        <f t="shared" si="0"/>
        <v>-2.1999999999999886</v>
      </c>
      <c r="G11" t="s">
        <v>110</v>
      </c>
      <c r="H11">
        <v>99</v>
      </c>
    </row>
    <row r="12" spans="1:8" x14ac:dyDescent="0.3">
      <c r="A12" s="15">
        <v>597.79999999999995</v>
      </c>
      <c r="B12" s="15">
        <v>596.1</v>
      </c>
      <c r="C12">
        <f t="shared" si="0"/>
        <v>-1.6999999999999318</v>
      </c>
      <c r="G12" t="s">
        <v>20</v>
      </c>
      <c r="H12">
        <v>445.9</v>
      </c>
    </row>
    <row r="13" spans="1:8" x14ac:dyDescent="0.3">
      <c r="A13" s="15">
        <v>568.6</v>
      </c>
      <c r="B13" s="15">
        <v>568.6</v>
      </c>
      <c r="C13">
        <f t="shared" si="0"/>
        <v>0</v>
      </c>
      <c r="G13" t="s">
        <v>22</v>
      </c>
      <c r="H13">
        <v>346.5</v>
      </c>
    </row>
    <row r="14" spans="1:8" x14ac:dyDescent="0.3">
      <c r="A14" s="15">
        <v>581.1</v>
      </c>
      <c r="B14" s="15">
        <v>162</v>
      </c>
      <c r="C14">
        <f t="shared" si="0"/>
        <v>-419.1</v>
      </c>
      <c r="G14" t="s">
        <v>23</v>
      </c>
      <c r="H14">
        <v>391.2</v>
      </c>
    </row>
    <row r="15" spans="1:8" x14ac:dyDescent="0.3">
      <c r="A15" s="15">
        <v>483.6</v>
      </c>
      <c r="B15" s="15">
        <v>478.9</v>
      </c>
      <c r="C15">
        <f t="shared" si="0"/>
        <v>-4.7000000000000455</v>
      </c>
      <c r="G15" t="s">
        <v>24</v>
      </c>
      <c r="H15">
        <v>304.3</v>
      </c>
    </row>
    <row r="16" spans="1:8" x14ac:dyDescent="0.3">
      <c r="A16" s="15">
        <v>620.79999999999995</v>
      </c>
      <c r="B16" s="15">
        <v>619</v>
      </c>
      <c r="C16">
        <f t="shared" si="0"/>
        <v>-1.7999999999999545</v>
      </c>
      <c r="G16" t="s">
        <v>25</v>
      </c>
      <c r="H16">
        <v>387.9</v>
      </c>
    </row>
    <row r="17" spans="1:8" x14ac:dyDescent="0.3">
      <c r="A17" s="15">
        <v>574.29999999999995</v>
      </c>
      <c r="B17" s="15">
        <v>579</v>
      </c>
      <c r="C17">
        <f t="shared" si="0"/>
        <v>4.7000000000000455</v>
      </c>
      <c r="G17" t="s">
        <v>26</v>
      </c>
      <c r="H17">
        <v>151.80000000000001</v>
      </c>
    </row>
    <row r="18" spans="1:8" x14ac:dyDescent="0.3">
      <c r="A18" s="15">
        <v>564.5</v>
      </c>
      <c r="B18" s="15">
        <v>567.29999999999995</v>
      </c>
      <c r="C18">
        <f t="shared" si="0"/>
        <v>2.7999999999999545</v>
      </c>
      <c r="G18" t="s">
        <v>28</v>
      </c>
      <c r="H18">
        <v>418.7</v>
      </c>
    </row>
    <row r="19" spans="1:8" x14ac:dyDescent="0.3">
      <c r="A19" s="15">
        <v>507.64</v>
      </c>
      <c r="B19" s="15">
        <v>428.3</v>
      </c>
      <c r="C19">
        <f t="shared" si="0"/>
        <v>-79.339999999999975</v>
      </c>
      <c r="G19" t="s">
        <v>29</v>
      </c>
      <c r="H19">
        <v>352.5</v>
      </c>
    </row>
    <row r="20" spans="1:8" x14ac:dyDescent="0.3">
      <c r="A20" s="15">
        <v>588</v>
      </c>
      <c r="B20" s="15">
        <v>581.20000000000005</v>
      </c>
      <c r="C20">
        <f t="shared" si="0"/>
        <v>-6.7999999999999545</v>
      </c>
      <c r="G20" t="s">
        <v>30</v>
      </c>
      <c r="H20">
        <v>1340</v>
      </c>
    </row>
    <row r="21" spans="1:8" x14ac:dyDescent="0.3">
      <c r="A21" s="15">
        <v>1541.3</v>
      </c>
      <c r="B21" s="15">
        <v>1380</v>
      </c>
      <c r="C21">
        <f t="shared" si="0"/>
        <v>-161.29999999999995</v>
      </c>
      <c r="G21" t="s">
        <v>111</v>
      </c>
      <c r="H21">
        <v>521.20000000000005</v>
      </c>
    </row>
    <row r="22" spans="1:8" x14ac:dyDescent="0.3">
      <c r="A22" s="15">
        <v>587.70000000000005</v>
      </c>
      <c r="B22" s="15">
        <v>592</v>
      </c>
      <c r="C22">
        <f t="shared" si="0"/>
        <v>4.2999999999999545</v>
      </c>
      <c r="G22" t="s">
        <v>32</v>
      </c>
      <c r="H22">
        <v>438.9</v>
      </c>
    </row>
    <row r="23" spans="1:8" x14ac:dyDescent="0.3">
      <c r="A23" s="15">
        <v>522.20000000000005</v>
      </c>
      <c r="B23" s="15">
        <v>521.4</v>
      </c>
      <c r="C23">
        <f t="shared" si="0"/>
        <v>-0.80000000000006821</v>
      </c>
      <c r="G23" t="s">
        <v>288</v>
      </c>
      <c r="H23">
        <v>0</v>
      </c>
    </row>
    <row r="24" spans="1:8" ht="15" thickBot="1" x14ac:dyDescent="0.35">
      <c r="A24" s="22">
        <v>563.9</v>
      </c>
      <c r="B24" s="22">
        <v>556.70000000000005</v>
      </c>
      <c r="C24">
        <f t="shared" si="0"/>
        <v>-7.1999999999999318</v>
      </c>
      <c r="G24" t="s">
        <v>112</v>
      </c>
      <c r="H24">
        <v>0</v>
      </c>
    </row>
    <row r="25" spans="1:8" x14ac:dyDescent="0.3">
      <c r="G25" t="s">
        <v>289</v>
      </c>
      <c r="H25">
        <v>0</v>
      </c>
    </row>
    <row r="26" spans="1:8" x14ac:dyDescent="0.3">
      <c r="G26" t="s">
        <v>291</v>
      </c>
      <c r="H26">
        <v>386.2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20ADE-A619-4FFC-8660-9A577E10B5F4}">
  <dimension ref="B2:Z37"/>
  <sheetViews>
    <sheetView showGridLines="0" topLeftCell="A9" zoomScale="90" zoomScaleNormal="90" workbookViewId="0">
      <selection activeCell="R5" sqref="R5"/>
    </sheetView>
  </sheetViews>
  <sheetFormatPr defaultRowHeight="14.4" x14ac:dyDescent="0.3"/>
  <cols>
    <col min="1" max="1" width="18.33203125" customWidth="1"/>
    <col min="2" max="2" width="22.33203125" customWidth="1"/>
    <col min="3" max="3" width="18.88671875" customWidth="1"/>
    <col min="4" max="4" width="17.6640625" customWidth="1"/>
    <col min="5" max="10" width="17.88671875" customWidth="1"/>
    <col min="11" max="17" width="17.6640625" customWidth="1"/>
    <col min="18" max="18" width="14.33203125" customWidth="1"/>
    <col min="19" max="19" width="15.44140625" customWidth="1"/>
    <col min="20" max="20" width="2.6640625" customWidth="1"/>
    <col min="21" max="22" width="12.109375" customWidth="1"/>
    <col min="25" max="25" width="18.6640625" customWidth="1"/>
  </cols>
  <sheetData>
    <row r="2" spans="2:24" ht="49.5" customHeight="1" x14ac:dyDescent="0.3">
      <c r="D2" s="1"/>
      <c r="E2" s="1" t="s">
        <v>0</v>
      </c>
      <c r="F2" s="1"/>
      <c r="G2" s="1"/>
      <c r="H2" s="1"/>
      <c r="I2" s="1"/>
      <c r="J2" s="1"/>
      <c r="M2" s="1"/>
      <c r="N2" s="1"/>
      <c r="O2" s="1"/>
      <c r="P2" s="1"/>
      <c r="Q2" s="1"/>
      <c r="U2" s="3"/>
    </row>
    <row r="3" spans="2:24" ht="15" thickBot="1" x14ac:dyDescent="0.35">
      <c r="E3" s="40">
        <v>31</v>
      </c>
      <c r="F3" s="40">
        <v>31</v>
      </c>
      <c r="G3" s="40">
        <v>30</v>
      </c>
      <c r="H3" s="40">
        <v>31</v>
      </c>
      <c r="I3" s="40">
        <v>30</v>
      </c>
      <c r="J3" s="40">
        <v>31</v>
      </c>
    </row>
    <row r="4" spans="2:24" ht="32.4" customHeight="1" x14ac:dyDescent="0.3">
      <c r="B4" s="6"/>
      <c r="C4" s="2"/>
      <c r="D4" s="17" t="s">
        <v>2</v>
      </c>
      <c r="E4" s="23">
        <v>45108</v>
      </c>
      <c r="F4" s="24">
        <v>45139</v>
      </c>
      <c r="G4" s="24">
        <v>45170</v>
      </c>
      <c r="H4" s="24">
        <v>45200</v>
      </c>
      <c r="I4" s="24">
        <v>45231</v>
      </c>
      <c r="J4" s="124">
        <v>45261</v>
      </c>
      <c r="K4" s="26" t="s">
        <v>625</v>
      </c>
      <c r="L4" s="46" t="s">
        <v>4</v>
      </c>
      <c r="M4" s="19" t="s">
        <v>626</v>
      </c>
      <c r="N4" s="19" t="s">
        <v>627</v>
      </c>
      <c r="O4" s="19" t="s">
        <v>628</v>
      </c>
      <c r="P4" s="19" t="s">
        <v>629</v>
      </c>
      <c r="Q4" s="29" t="s">
        <v>630</v>
      </c>
      <c r="R4" s="135" t="s">
        <v>631</v>
      </c>
      <c r="S4" s="43" t="s">
        <v>632</v>
      </c>
      <c r="T4" s="2"/>
      <c r="U4" s="795" t="s">
        <v>633</v>
      </c>
      <c r="V4" s="795"/>
      <c r="W4" s="7">
        <f>COUNTIF(S5:S29,"&gt;=0")</f>
        <v>0</v>
      </c>
      <c r="X4" s="2"/>
    </row>
    <row r="5" spans="2:24" x14ac:dyDescent="0.3">
      <c r="B5" s="751" t="s">
        <v>6</v>
      </c>
      <c r="C5" s="61" t="s">
        <v>7</v>
      </c>
      <c r="D5" s="18">
        <v>12</v>
      </c>
      <c r="E5" s="20">
        <v>1100</v>
      </c>
      <c r="F5" s="15">
        <f>Agosto23!AI5</f>
        <v>1266.3999999999996</v>
      </c>
      <c r="G5" s="15"/>
      <c r="H5" s="15"/>
      <c r="I5" s="15"/>
      <c r="J5" s="125"/>
      <c r="K5" s="127">
        <v>0.152</v>
      </c>
      <c r="L5" s="47">
        <f>IF(E5="","",IFERROR(E5/($D5*E$3*24),"-"))</f>
        <v>0.1232078853046595</v>
      </c>
      <c r="M5" s="41">
        <f t="shared" ref="M5:Q20" si="0">IF(F5="","",IFERROR(F5/($D5*F$3*24),"-"))</f>
        <v>0.14184587813620067</v>
      </c>
      <c r="N5" s="41" t="str">
        <f t="shared" si="0"/>
        <v/>
      </c>
      <c r="O5" s="41" t="str">
        <f t="shared" si="0"/>
        <v/>
      </c>
      <c r="P5" s="41" t="str">
        <f t="shared" si="0"/>
        <v/>
      </c>
      <c r="Q5" s="48" t="str">
        <f t="shared" si="0"/>
        <v/>
      </c>
      <c r="R5" s="136" cm="1">
        <f t="array" ref="R5">IFERROR(SUM(E5:J5)/(D5*24*_xlfn.SWITCH(COUNT(E5:J5),1,31,2,62,3,92,4,123,5,153,6,184)),"-")</f>
        <v>0.13252688172043009</v>
      </c>
      <c r="S5" s="42">
        <f>IFERROR(R5-K5,"-")</f>
        <v>-1.9473118279569906E-2</v>
      </c>
      <c r="T5" s="2"/>
      <c r="U5" s="796" t="s">
        <v>634</v>
      </c>
      <c r="V5" s="796"/>
      <c r="W5" s="45">
        <f>COUNTA(C5:C29)-(W4+W6)-COUNTIF(S5:S29,"=-")</f>
        <v>0</v>
      </c>
      <c r="X5" s="2"/>
    </row>
    <row r="6" spans="2:24" x14ac:dyDescent="0.3">
      <c r="B6" s="752"/>
      <c r="C6" s="61" t="s">
        <v>8</v>
      </c>
      <c r="D6" s="18">
        <v>67</v>
      </c>
      <c r="E6" s="20">
        <f>5305.7+1300</f>
        <v>6605.7</v>
      </c>
      <c r="F6" s="15">
        <f>Agosto23!AI6</f>
        <v>7652.7</v>
      </c>
      <c r="G6" s="15"/>
      <c r="H6" s="15"/>
      <c r="I6" s="15"/>
      <c r="J6" s="126"/>
      <c r="K6" s="128">
        <v>0.17599999999999999</v>
      </c>
      <c r="L6" s="47">
        <f t="shared" ref="L6:L24" si="1">IF(E6="","",IFERROR(E6/($D6*E$3*24),"-"))</f>
        <v>0.1325168512277323</v>
      </c>
      <c r="M6" s="41">
        <f t="shared" si="0"/>
        <v>0.15352070293692827</v>
      </c>
      <c r="N6" s="41" t="str">
        <f t="shared" si="0"/>
        <v/>
      </c>
      <c r="O6" s="41" t="str">
        <f t="shared" si="0"/>
        <v/>
      </c>
      <c r="P6" s="41" t="str">
        <f t="shared" si="0"/>
        <v/>
      </c>
      <c r="Q6" s="48" t="str">
        <f t="shared" si="0"/>
        <v/>
      </c>
      <c r="R6" s="136" cm="1">
        <f t="array" ref="R6">IFERROR(SUM(E6:J6)/(D6*24*_xlfn.SWITCH(COUNT(E6:J6),1,31,2,62,3,92,4,123,5,153,6,184)),"-")</f>
        <v>0.14301877708233027</v>
      </c>
      <c r="S6" s="42">
        <f t="shared" ref="S6:S27" si="2">IFERROR(R6-K6,"-")</f>
        <v>-3.2981222917669722E-2</v>
      </c>
      <c r="T6" s="2"/>
      <c r="U6" s="797" t="s">
        <v>635</v>
      </c>
      <c r="V6" s="797"/>
      <c r="W6" s="44">
        <f>COUNTIF(S5:S29,"&lt;-0,01")</f>
        <v>24</v>
      </c>
      <c r="X6" s="2"/>
    </row>
    <row r="7" spans="2:24" x14ac:dyDescent="0.3">
      <c r="B7" s="752"/>
      <c r="C7" s="61" t="s">
        <v>9</v>
      </c>
      <c r="D7" s="18">
        <v>49</v>
      </c>
      <c r="E7" s="20">
        <v>4750</v>
      </c>
      <c r="F7" s="15">
        <f>Agosto23!AI7</f>
        <v>5292.0999999999995</v>
      </c>
      <c r="G7" s="15"/>
      <c r="H7" s="15"/>
      <c r="I7" s="15"/>
      <c r="J7" s="126"/>
      <c r="K7" s="128">
        <v>0.158</v>
      </c>
      <c r="L7" s="47">
        <f t="shared" si="1"/>
        <v>0.13029405310511302</v>
      </c>
      <c r="M7" s="41">
        <f t="shared" si="0"/>
        <v>0.14516403335527758</v>
      </c>
      <c r="N7" s="41" t="str">
        <f t="shared" si="0"/>
        <v/>
      </c>
      <c r="O7" s="41" t="str">
        <f t="shared" si="0"/>
        <v/>
      </c>
      <c r="P7" s="41" t="str">
        <f t="shared" si="0"/>
        <v/>
      </c>
      <c r="Q7" s="48" t="str">
        <f t="shared" si="0"/>
        <v/>
      </c>
      <c r="R7" s="136" cm="1">
        <f t="array" ref="R7">IFERROR(SUM(E7:J7)/(D7*24*_xlfn.SWITCH(COUNT(E7:J7),1,31,2,62,3,92,4,123,5,153,6,184)),"-")</f>
        <v>0.13772904323019527</v>
      </c>
      <c r="S7" s="42">
        <f t="shared" si="2"/>
        <v>-2.0270956769804727E-2</v>
      </c>
      <c r="T7" s="2"/>
      <c r="U7" s="2"/>
      <c r="V7" s="2"/>
      <c r="W7" s="2"/>
      <c r="X7" s="2"/>
    </row>
    <row r="8" spans="2:24" x14ac:dyDescent="0.3">
      <c r="B8" s="752"/>
      <c r="C8" s="61" t="s">
        <v>10</v>
      </c>
      <c r="D8" s="18">
        <v>33</v>
      </c>
      <c r="E8" s="20">
        <v>3180</v>
      </c>
      <c r="F8" s="15">
        <f>Agosto23!AI8</f>
        <v>3501.4000000000005</v>
      </c>
      <c r="G8" s="15"/>
      <c r="H8" s="15"/>
      <c r="I8" s="15"/>
      <c r="J8" s="126"/>
      <c r="K8" s="128">
        <v>0.17499999999999999</v>
      </c>
      <c r="L8" s="47">
        <f t="shared" si="1"/>
        <v>0.12952101661779081</v>
      </c>
      <c r="M8" s="41">
        <f t="shared" si="0"/>
        <v>0.1426115998696644</v>
      </c>
      <c r="N8" s="41" t="str">
        <f t="shared" si="0"/>
        <v/>
      </c>
      <c r="O8" s="41" t="str">
        <f t="shared" si="0"/>
        <v/>
      </c>
      <c r="P8" s="41" t="str">
        <f t="shared" si="0"/>
        <v/>
      </c>
      <c r="Q8" s="48" t="str">
        <f t="shared" si="0"/>
        <v/>
      </c>
      <c r="R8" s="136" cm="1">
        <f t="array" ref="R8">IFERROR(SUM(E8:J8)/(D8*24*_xlfn.SWITCH(COUNT(E8:J8),1,31,2,62,3,92,4,123,5,153,6,184)),"-")</f>
        <v>0.13606630824372762</v>
      </c>
      <c r="S8" s="42">
        <f t="shared" si="2"/>
        <v>-3.8933691756272371E-2</v>
      </c>
      <c r="T8" s="2"/>
      <c r="U8" s="2"/>
      <c r="V8" s="2"/>
      <c r="W8" s="2"/>
      <c r="X8" s="2"/>
    </row>
    <row r="9" spans="2:24" x14ac:dyDescent="0.3">
      <c r="B9" s="752"/>
      <c r="C9" s="61" t="s">
        <v>11</v>
      </c>
      <c r="D9" s="18">
        <v>12</v>
      </c>
      <c r="E9" s="20">
        <v>1265</v>
      </c>
      <c r="F9" s="15">
        <f>Agosto23!AI9</f>
        <v>1338.0600000000002</v>
      </c>
      <c r="G9" s="15"/>
      <c r="H9" s="15"/>
      <c r="I9" s="15"/>
      <c r="J9" s="126"/>
      <c r="K9" s="128">
        <v>0.17599999999999999</v>
      </c>
      <c r="L9" s="47">
        <f t="shared" si="1"/>
        <v>0.14168906810035842</v>
      </c>
      <c r="M9" s="41">
        <f t="shared" si="0"/>
        <v>0.14987231182795702</v>
      </c>
      <c r="N9" s="41" t="str">
        <f t="shared" si="0"/>
        <v/>
      </c>
      <c r="O9" s="41" t="str">
        <f t="shared" si="0"/>
        <v/>
      </c>
      <c r="P9" s="41" t="str">
        <f t="shared" si="0"/>
        <v/>
      </c>
      <c r="Q9" s="48" t="str">
        <f t="shared" si="0"/>
        <v/>
      </c>
      <c r="R9" s="136" cm="1">
        <f t="array" ref="R9">IFERROR(SUM(E9:J9)/(D9*24*_xlfn.SWITCH(COUNT(E9:J9),1,31,2,62,3,92,4,123,5,153,6,184)),"-")</f>
        <v>0.14578068996415772</v>
      </c>
      <c r="S9" s="42">
        <f t="shared" si="2"/>
        <v>-3.0219310035842273E-2</v>
      </c>
      <c r="T9" s="2"/>
      <c r="U9" s="2"/>
      <c r="V9" s="2"/>
      <c r="W9" s="2"/>
      <c r="X9" s="2"/>
    </row>
    <row r="10" spans="2:24" x14ac:dyDescent="0.3">
      <c r="B10" s="752"/>
      <c r="C10" s="61" t="s">
        <v>12</v>
      </c>
      <c r="D10" s="18">
        <v>25</v>
      </c>
      <c r="E10" s="20">
        <v>2440</v>
      </c>
      <c r="F10" s="15">
        <f>Agosto23!AI10</f>
        <v>2318.8999999999987</v>
      </c>
      <c r="G10" s="15"/>
      <c r="H10" s="15"/>
      <c r="I10" s="15"/>
      <c r="J10" s="126"/>
      <c r="K10" s="128">
        <v>0.17799999999999999</v>
      </c>
      <c r="L10" s="47">
        <f t="shared" si="1"/>
        <v>0.13118279569892474</v>
      </c>
      <c r="M10" s="41">
        <f t="shared" si="0"/>
        <v>0.12467204301075262</v>
      </c>
      <c r="N10" s="41" t="str">
        <f t="shared" si="0"/>
        <v/>
      </c>
      <c r="O10" s="41" t="str">
        <f t="shared" si="0"/>
        <v/>
      </c>
      <c r="P10" s="41" t="str">
        <f t="shared" si="0"/>
        <v/>
      </c>
      <c r="Q10" s="48" t="str">
        <f t="shared" si="0"/>
        <v/>
      </c>
      <c r="R10" s="136" cm="1">
        <f t="array" ref="R10">IFERROR(SUM(E10:J10)/(D10*24*_xlfn.SWITCH(COUNT(E10:J10),1,31,2,62,3,92,4,123,5,153,6,184)),"-")</f>
        <v>0.12792741935483867</v>
      </c>
      <c r="S10" s="42">
        <f t="shared" si="2"/>
        <v>-5.0072580645161319E-2</v>
      </c>
      <c r="T10" s="2"/>
      <c r="U10" s="2"/>
      <c r="V10" s="2"/>
      <c r="W10" s="2"/>
      <c r="X10" s="2"/>
    </row>
    <row r="11" spans="2:24" x14ac:dyDescent="0.3">
      <c r="B11" s="752"/>
      <c r="C11" s="83" t="s">
        <v>13</v>
      </c>
      <c r="D11" s="18">
        <v>78</v>
      </c>
      <c r="E11" s="20">
        <v>7760.2</v>
      </c>
      <c r="F11" s="15">
        <f>Agosto23!AI11</f>
        <v>8156.7000000000016</v>
      </c>
      <c r="G11" s="15"/>
      <c r="H11" s="15"/>
      <c r="I11" s="15"/>
      <c r="J11" s="126"/>
      <c r="K11" s="128">
        <v>0.154</v>
      </c>
      <c r="L11" s="47">
        <f t="shared" si="1"/>
        <v>0.13372277364212848</v>
      </c>
      <c r="M11" s="41">
        <f t="shared" si="0"/>
        <v>0.14055521091811418</v>
      </c>
      <c r="N11" s="41" t="str">
        <f t="shared" si="0"/>
        <v/>
      </c>
      <c r="O11" s="41" t="str">
        <f t="shared" si="0"/>
        <v/>
      </c>
      <c r="P11" s="41" t="str">
        <f t="shared" si="0"/>
        <v/>
      </c>
      <c r="Q11" s="48" t="str">
        <f t="shared" si="0"/>
        <v/>
      </c>
      <c r="R11" s="136" cm="1">
        <f t="array" ref="R11">IFERROR(SUM(E11:J11)/(D11*24*_xlfn.SWITCH(COUNT(E11:J11),1,31,2,62,3,92,4,123,5,153,6,184)),"-")</f>
        <v>0.13713899228012133</v>
      </c>
      <c r="S11" s="42">
        <f t="shared" si="2"/>
        <v>-1.6861007719878668E-2</v>
      </c>
      <c r="T11" s="2"/>
      <c r="U11" s="2"/>
      <c r="V11" s="2"/>
      <c r="W11" s="2"/>
      <c r="X11" s="2"/>
    </row>
    <row r="12" spans="2:24" ht="30" customHeight="1" x14ac:dyDescent="0.3">
      <c r="B12" s="753"/>
      <c r="C12" s="61" t="s">
        <v>14</v>
      </c>
      <c r="D12" s="18">
        <v>61</v>
      </c>
      <c r="E12" s="25" t="s">
        <v>15</v>
      </c>
      <c r="F12" s="15">
        <f>Agosto23!AI12</f>
        <v>4399.0040000000008</v>
      </c>
      <c r="G12" s="15"/>
      <c r="H12" s="16"/>
      <c r="I12" s="16"/>
      <c r="J12" s="126"/>
      <c r="K12" s="128">
        <v>0.17399999999999999</v>
      </c>
      <c r="L12" s="47" t="str">
        <f t="shared" si="1"/>
        <v>-</v>
      </c>
      <c r="M12" s="41">
        <f t="shared" si="0"/>
        <v>9.6928521064692422E-2</v>
      </c>
      <c r="N12" s="41" t="str">
        <f t="shared" si="0"/>
        <v/>
      </c>
      <c r="O12" s="41" t="str">
        <f t="shared" si="0"/>
        <v/>
      </c>
      <c r="P12" s="41" t="str">
        <f t="shared" si="0"/>
        <v/>
      </c>
      <c r="Q12" s="48" t="str">
        <f t="shared" si="0"/>
        <v/>
      </c>
      <c r="R12" s="136" cm="1">
        <f t="array" ref="R12">IFERROR(SUM(E12:J12)/(D12*24*_xlfn.SWITCH(COUNT(E12:J12),1,31,2,62,3,92,4,123,5,153,6,184)),"-")</f>
        <v>9.6928521064692422E-2</v>
      </c>
      <c r="S12" s="42">
        <f t="shared" si="2"/>
        <v>-7.7071478935307566E-2</v>
      </c>
      <c r="T12" s="2"/>
      <c r="U12" s="2"/>
      <c r="V12" s="2"/>
      <c r="W12" s="2"/>
      <c r="X12" s="2"/>
    </row>
    <row r="13" spans="2:24" x14ac:dyDescent="0.3">
      <c r="B13" s="751" t="s">
        <v>16</v>
      </c>
      <c r="C13" s="88" t="s">
        <v>17</v>
      </c>
      <c r="D13" s="18">
        <v>100</v>
      </c>
      <c r="E13" s="20">
        <v>10263</v>
      </c>
      <c r="F13" s="15">
        <f>Agosto23!AI13</f>
        <v>11137.900000000001</v>
      </c>
      <c r="G13" s="15"/>
      <c r="H13" s="15"/>
      <c r="I13" s="15"/>
      <c r="J13" s="126"/>
      <c r="K13" s="128">
        <v>0.16900000000000001</v>
      </c>
      <c r="L13" s="47">
        <f t="shared" si="1"/>
        <v>0.13794354838709677</v>
      </c>
      <c r="M13" s="41">
        <f t="shared" si="0"/>
        <v>0.14970295698924732</v>
      </c>
      <c r="N13" s="41" t="str">
        <f t="shared" si="0"/>
        <v/>
      </c>
      <c r="O13" s="41" t="str">
        <f t="shared" si="0"/>
        <v/>
      </c>
      <c r="P13" s="41" t="str">
        <f t="shared" si="0"/>
        <v/>
      </c>
      <c r="Q13" s="48" t="str">
        <f t="shared" si="0"/>
        <v/>
      </c>
      <c r="R13" s="136" cm="1">
        <f t="array" ref="R13">IFERROR(SUM(E13:J13)/(D13*24*_xlfn.SWITCH(COUNT(E13:J13),1,31,2,62,3,92,4,123,5,153,6,184)),"-")</f>
        <v>0.14382325268817206</v>
      </c>
      <c r="S13" s="42">
        <f t="shared" si="2"/>
        <v>-2.5176747311827952E-2</v>
      </c>
      <c r="T13" s="2"/>
      <c r="U13" s="2"/>
      <c r="V13" s="2"/>
      <c r="W13" s="2"/>
      <c r="X13" s="2"/>
    </row>
    <row r="14" spans="2:24" x14ac:dyDescent="0.3">
      <c r="B14" s="752"/>
      <c r="C14" s="61" t="s">
        <v>18</v>
      </c>
      <c r="D14" s="18">
        <v>100</v>
      </c>
      <c r="E14" s="20">
        <v>10670</v>
      </c>
      <c r="F14" s="15">
        <f>Agosto23!AI14</f>
        <v>11178.699999999999</v>
      </c>
      <c r="G14" s="15"/>
      <c r="H14" s="15"/>
      <c r="I14" s="15"/>
      <c r="J14" s="126"/>
      <c r="K14" s="128">
        <v>0.16900000000000001</v>
      </c>
      <c r="L14" s="47">
        <f t="shared" si="1"/>
        <v>0.14341397849462365</v>
      </c>
      <c r="M14" s="41">
        <f t="shared" si="0"/>
        <v>0.1502513440860215</v>
      </c>
      <c r="N14" s="41" t="str">
        <f t="shared" si="0"/>
        <v/>
      </c>
      <c r="O14" s="41" t="str">
        <f t="shared" si="0"/>
        <v/>
      </c>
      <c r="P14" s="41" t="str">
        <f t="shared" si="0"/>
        <v/>
      </c>
      <c r="Q14" s="48" t="str">
        <f t="shared" si="0"/>
        <v/>
      </c>
      <c r="R14" s="136" cm="1">
        <f t="array" ref="R14">IFERROR(SUM(E14:J14)/(D14*24*_xlfn.SWITCH(COUNT(E14:J14),1,31,2,62,3,92,4,123,5,153,6,184)),"-")</f>
        <v>0.14683266129032257</v>
      </c>
      <c r="S14" s="42">
        <f t="shared" si="2"/>
        <v>-2.2167338709677437E-2</v>
      </c>
      <c r="T14" s="2"/>
      <c r="U14" s="2"/>
      <c r="V14" s="2"/>
      <c r="W14" s="2"/>
      <c r="X14" s="2"/>
    </row>
    <row r="15" spans="2:24" x14ac:dyDescent="0.3">
      <c r="B15" s="752"/>
      <c r="C15" s="61" t="s">
        <v>110</v>
      </c>
      <c r="D15" s="18">
        <v>29</v>
      </c>
      <c r="E15" s="20">
        <v>2989</v>
      </c>
      <c r="F15" s="15">
        <f>Agosto23!AI15</f>
        <v>3062.7000000000003</v>
      </c>
      <c r="G15" s="15"/>
      <c r="H15" s="15"/>
      <c r="I15" s="15"/>
      <c r="J15" s="126"/>
      <c r="K15" s="128">
        <v>0.16900000000000001</v>
      </c>
      <c r="L15" s="47">
        <f t="shared" si="1"/>
        <v>0.13853355580274379</v>
      </c>
      <c r="M15" s="41">
        <f t="shared" si="0"/>
        <v>0.14194938820912126</v>
      </c>
      <c r="N15" s="41" t="str">
        <f t="shared" si="0"/>
        <v/>
      </c>
      <c r="O15" s="41" t="str">
        <f t="shared" si="0"/>
        <v/>
      </c>
      <c r="P15" s="41" t="str">
        <f t="shared" si="0"/>
        <v/>
      </c>
      <c r="Q15" s="48" t="str">
        <f t="shared" si="0"/>
        <v/>
      </c>
      <c r="R15" s="136" cm="1">
        <f t="array" ref="R15">IFERROR(SUM(E15:J15)/(D15*24*_xlfn.SWITCH(COUNT(E15:J15),1,31,2,62,3,92,4,123,5,153,6,184)),"-")</f>
        <v>0.14024147200593254</v>
      </c>
      <c r="S15" s="42">
        <f t="shared" si="2"/>
        <v>-2.8758527994067473E-2</v>
      </c>
      <c r="T15" s="2"/>
      <c r="U15" s="2"/>
      <c r="V15" s="2"/>
      <c r="W15" s="2"/>
      <c r="X15" s="2"/>
    </row>
    <row r="16" spans="2:24" x14ac:dyDescent="0.3">
      <c r="B16" s="753"/>
      <c r="C16" s="61" t="s">
        <v>20</v>
      </c>
      <c r="D16" s="18">
        <v>100</v>
      </c>
      <c r="E16" s="20">
        <v>10900</v>
      </c>
      <c r="F16" s="15">
        <f>Agosto23!AI16</f>
        <v>11499.2</v>
      </c>
      <c r="G16" s="15"/>
      <c r="H16" s="15"/>
      <c r="I16" s="15"/>
      <c r="J16" s="126"/>
      <c r="K16" s="128">
        <v>0.16900000000000001</v>
      </c>
      <c r="L16" s="47">
        <f t="shared" si="1"/>
        <v>0.14650537634408603</v>
      </c>
      <c r="M16" s="41">
        <f t="shared" si="0"/>
        <v>0.15455913978494626</v>
      </c>
      <c r="N16" s="41" t="str">
        <f t="shared" si="0"/>
        <v/>
      </c>
      <c r="O16" s="41" t="str">
        <f t="shared" si="0"/>
        <v/>
      </c>
      <c r="P16" s="41" t="str">
        <f t="shared" si="0"/>
        <v/>
      </c>
      <c r="Q16" s="48" t="str">
        <f t="shared" si="0"/>
        <v/>
      </c>
      <c r="R16" s="136" cm="1">
        <f t="array" ref="R16">IFERROR(SUM(E16:J16)/(D16*24*_xlfn.SWITCH(COUNT(E16:J16),1,31,2,62,3,92,4,123,5,153,6,184)),"-")</f>
        <v>0.15053225806451614</v>
      </c>
      <c r="S16" s="42">
        <f t="shared" si="2"/>
        <v>-1.8467741935483867E-2</v>
      </c>
      <c r="T16" s="2"/>
      <c r="U16" s="2"/>
      <c r="V16" s="2"/>
      <c r="W16" s="2"/>
      <c r="X16" s="2"/>
    </row>
    <row r="17" spans="2:26" ht="15" customHeight="1" x14ac:dyDescent="0.3">
      <c r="B17" s="751" t="s">
        <v>21</v>
      </c>
      <c r="C17" s="61" t="s">
        <v>22</v>
      </c>
      <c r="D17" s="18">
        <v>100</v>
      </c>
      <c r="E17" s="20">
        <v>5050</v>
      </c>
      <c r="F17" s="15">
        <f>Agosto23!AI17</f>
        <v>8994.8000000000011</v>
      </c>
      <c r="G17" s="15"/>
      <c r="H17" s="15"/>
      <c r="I17" s="15"/>
      <c r="J17" s="126"/>
      <c r="K17" s="128">
        <v>0.16900000000000001</v>
      </c>
      <c r="L17" s="47">
        <f t="shared" si="1"/>
        <v>6.7876344086021501E-2</v>
      </c>
      <c r="M17" s="41">
        <f t="shared" si="0"/>
        <v>0.12089784946236561</v>
      </c>
      <c r="N17" s="41" t="str">
        <f t="shared" si="0"/>
        <v/>
      </c>
      <c r="O17" s="41" t="str">
        <f t="shared" si="0"/>
        <v/>
      </c>
      <c r="P17" s="41" t="str">
        <f t="shared" si="0"/>
        <v/>
      </c>
      <c r="Q17" s="48" t="str">
        <f t="shared" si="0"/>
        <v/>
      </c>
      <c r="R17" s="136" cm="1">
        <f t="array" ref="R17">IFERROR(SUM(E17:J17)/(D17*24*_xlfn.SWITCH(COUNT(E17:J17),1,31,2,62,3,92,4,123,5,153,6,184)),"-")</f>
        <v>9.438709677419356E-2</v>
      </c>
      <c r="S17" s="42">
        <f t="shared" si="2"/>
        <v>-7.4612903225806451E-2</v>
      </c>
      <c r="T17" s="2"/>
      <c r="U17" s="2"/>
      <c r="V17" s="2"/>
      <c r="W17" s="2"/>
      <c r="X17" s="2"/>
    </row>
    <row r="18" spans="2:26" x14ac:dyDescent="0.3">
      <c r="B18" s="793"/>
      <c r="C18" s="61" t="s">
        <v>23</v>
      </c>
      <c r="D18" s="18">
        <v>100</v>
      </c>
      <c r="E18" s="20">
        <v>4830</v>
      </c>
      <c r="F18" s="15">
        <f>Agosto23!AI18</f>
        <v>11215.229999999998</v>
      </c>
      <c r="G18" s="15"/>
      <c r="H18" s="15"/>
      <c r="I18" s="15"/>
      <c r="J18" s="126"/>
      <c r="K18" s="128">
        <v>0.16900000000000001</v>
      </c>
      <c r="L18" s="47">
        <f t="shared" si="1"/>
        <v>6.4919354838709684E-2</v>
      </c>
      <c r="M18" s="41">
        <f t="shared" si="0"/>
        <v>0.15074233870967738</v>
      </c>
      <c r="N18" s="41" t="str">
        <f t="shared" si="0"/>
        <v/>
      </c>
      <c r="O18" s="41" t="str">
        <f t="shared" si="0"/>
        <v/>
      </c>
      <c r="P18" s="41" t="str">
        <f t="shared" si="0"/>
        <v/>
      </c>
      <c r="Q18" s="48" t="str">
        <f t="shared" si="0"/>
        <v/>
      </c>
      <c r="R18" s="136" cm="1">
        <f t="array" ref="R18">IFERROR(SUM(E18:J18)/(D18*24*_xlfn.SWITCH(COUNT(E18:J18),1,31,2,62,3,92,4,123,5,153,6,184)),"-")</f>
        <v>0.10783084677419354</v>
      </c>
      <c r="S18" s="42">
        <f t="shared" si="2"/>
        <v>-6.1169153225806475E-2</v>
      </c>
      <c r="T18" s="2"/>
      <c r="U18" s="2"/>
      <c r="V18" s="2"/>
      <c r="W18" s="2"/>
      <c r="X18" s="2"/>
    </row>
    <row r="19" spans="2:26" x14ac:dyDescent="0.3">
      <c r="B19" s="793"/>
      <c r="C19" s="61" t="s">
        <v>24</v>
      </c>
      <c r="D19" s="18">
        <v>80</v>
      </c>
      <c r="E19" s="20">
        <v>8470</v>
      </c>
      <c r="F19" s="15">
        <f>Agosto23!AI19</f>
        <v>9018.1999999999989</v>
      </c>
      <c r="G19" s="15"/>
      <c r="H19" s="15"/>
      <c r="I19" s="15"/>
      <c r="J19" s="125"/>
      <c r="K19" s="127">
        <v>0.17799999999999999</v>
      </c>
      <c r="L19" s="47">
        <f t="shared" si="1"/>
        <v>0.14230510752688172</v>
      </c>
      <c r="M19" s="41">
        <f t="shared" si="0"/>
        <v>0.15151545698924729</v>
      </c>
      <c r="N19" s="41" t="str">
        <f t="shared" si="0"/>
        <v/>
      </c>
      <c r="O19" s="41" t="str">
        <f t="shared" si="0"/>
        <v/>
      </c>
      <c r="P19" s="41" t="str">
        <f t="shared" si="0"/>
        <v/>
      </c>
      <c r="Q19" s="48" t="str">
        <f t="shared" si="0"/>
        <v/>
      </c>
      <c r="R19" s="136" cm="1">
        <f t="array" ref="R19">IFERROR(SUM(E19:J19)/(D19*24*_xlfn.SWITCH(COUNT(E19:J19),1,31,2,62,3,92,4,123,5,153,6,184)),"-")</f>
        <v>0.14691028225806449</v>
      </c>
      <c r="S19" s="42">
        <f t="shared" si="2"/>
        <v>-3.1089717741935502E-2</v>
      </c>
      <c r="T19" s="2"/>
      <c r="U19" s="2"/>
      <c r="V19" s="2"/>
      <c r="W19" s="2"/>
      <c r="X19" s="2"/>
    </row>
    <row r="20" spans="2:26" x14ac:dyDescent="0.3">
      <c r="B20" s="793"/>
      <c r="C20" s="61" t="s">
        <v>25</v>
      </c>
      <c r="D20" s="18">
        <v>100</v>
      </c>
      <c r="E20" s="20">
        <v>11070</v>
      </c>
      <c r="F20" s="15">
        <f>Agosto23!AI20</f>
        <v>11557.8</v>
      </c>
      <c r="G20" s="15"/>
      <c r="H20" s="15"/>
      <c r="I20" s="15"/>
      <c r="J20" s="126"/>
      <c r="K20" s="128">
        <v>0.16900000000000001</v>
      </c>
      <c r="L20" s="47">
        <f t="shared" si="1"/>
        <v>0.14879032258064517</v>
      </c>
      <c r="M20" s="41">
        <f t="shared" si="0"/>
        <v>0.15534677419354836</v>
      </c>
      <c r="N20" s="41" t="str">
        <f t="shared" si="0"/>
        <v/>
      </c>
      <c r="O20" s="41" t="str">
        <f t="shared" si="0"/>
        <v/>
      </c>
      <c r="P20" s="41" t="str">
        <f t="shared" si="0"/>
        <v/>
      </c>
      <c r="Q20" s="48" t="str">
        <f t="shared" si="0"/>
        <v/>
      </c>
      <c r="R20" s="136" cm="1">
        <f t="array" ref="R20">IFERROR(SUM(E20:J20)/(D20*24*_xlfn.SWITCH(COUNT(E20:J20),1,31,2,62,3,92,4,123,5,153,6,184)),"-")</f>
        <v>0.15206854838709677</v>
      </c>
      <c r="S20" s="42">
        <f t="shared" si="2"/>
        <v>-1.6931451612903242E-2</v>
      </c>
      <c r="T20" s="2"/>
      <c r="U20" s="2"/>
      <c r="V20" s="2"/>
      <c r="W20" s="2"/>
      <c r="X20" s="2"/>
      <c r="Z20" s="10"/>
    </row>
    <row r="21" spans="2:26" x14ac:dyDescent="0.3">
      <c r="B21" s="793"/>
      <c r="C21" s="61" t="s">
        <v>26</v>
      </c>
      <c r="D21" s="18">
        <v>100</v>
      </c>
      <c r="E21" s="20">
        <v>8620</v>
      </c>
      <c r="F21" s="15">
        <f>Agosto23!AI21</f>
        <v>9304.9000000000015</v>
      </c>
      <c r="G21" s="15"/>
      <c r="H21" s="15"/>
      <c r="I21" s="15"/>
      <c r="J21" s="126"/>
      <c r="K21" s="128">
        <v>0.16900000000000001</v>
      </c>
      <c r="L21" s="47">
        <f t="shared" si="1"/>
        <v>0.11586021505376344</v>
      </c>
      <c r="M21" s="41">
        <f t="shared" ref="M21:M27" si="3">IF(F21="","",IFERROR(F21/($D21*F$3*24),"-"))</f>
        <v>0.12506586021505378</v>
      </c>
      <c r="N21" s="41" t="str">
        <f t="shared" ref="N21:N27" si="4">IF(G21="","",IFERROR(G21/($D21*G$3*24),"-"))</f>
        <v/>
      </c>
      <c r="O21" s="41" t="str">
        <f t="shared" ref="O21:O27" si="5">IF(H21="","",IFERROR(H21/($D21*H$3*24),"-"))</f>
        <v/>
      </c>
      <c r="P21" s="41" t="str">
        <f t="shared" ref="P21:P27" si="6">IF(I21="","",IFERROR(I21/($D21*I$3*24),"-"))</f>
        <v/>
      </c>
      <c r="Q21" s="48" t="str">
        <f t="shared" ref="Q21:Q27" si="7">IF(J21="","",IFERROR(J21/($D21*J$3*24),"-"))</f>
        <v/>
      </c>
      <c r="R21" s="136" cm="1">
        <f t="array" ref="R21">IFERROR(SUM(E21:J21)/(D21*24*_xlfn.SWITCH(COUNT(E21:J21),1,31,2,62,3,92,4,123,5,153,6,184)),"-")</f>
        <v>0.12046303763440862</v>
      </c>
      <c r="S21" s="42">
        <f t="shared" si="2"/>
        <v>-4.8536962365591393E-2</v>
      </c>
      <c r="T21" s="2"/>
      <c r="U21" s="2"/>
      <c r="V21" s="2"/>
      <c r="W21" s="2"/>
      <c r="X21" s="2"/>
    </row>
    <row r="22" spans="2:26" x14ac:dyDescent="0.3">
      <c r="B22" s="793"/>
      <c r="C22" s="61" t="s">
        <v>27</v>
      </c>
      <c r="D22" s="18">
        <v>100</v>
      </c>
      <c r="E22" s="20">
        <v>5891</v>
      </c>
      <c r="F22" s="15">
        <f>Agosto23!AI22</f>
        <v>10805.100000000002</v>
      </c>
      <c r="G22" s="15"/>
      <c r="H22" s="15"/>
      <c r="I22" s="15"/>
      <c r="J22" s="126"/>
      <c r="K22" s="128">
        <v>0.16900000000000001</v>
      </c>
      <c r="L22" s="47">
        <f t="shared" si="1"/>
        <v>7.9180107526881718E-2</v>
      </c>
      <c r="M22" s="41">
        <f t="shared" si="3"/>
        <v>0.14522983870967746</v>
      </c>
      <c r="N22" s="41" t="str">
        <f t="shared" si="4"/>
        <v/>
      </c>
      <c r="O22" s="41" t="str">
        <f t="shared" si="5"/>
        <v/>
      </c>
      <c r="P22" s="41" t="str">
        <f t="shared" si="6"/>
        <v/>
      </c>
      <c r="Q22" s="48" t="str">
        <f t="shared" si="7"/>
        <v/>
      </c>
      <c r="R22" s="136" cm="1">
        <f t="array" ref="R22">IFERROR(SUM(E22:J22)/(D22*24*_xlfn.SWITCH(COUNT(E22:J22),1,31,2,62,3,92,4,123,5,153,6,184)),"-")</f>
        <v>0.11220497311827958</v>
      </c>
      <c r="S22" s="42">
        <f t="shared" si="2"/>
        <v>-5.6795026881720431E-2</v>
      </c>
      <c r="T22" s="2"/>
      <c r="U22" s="2"/>
      <c r="V22" s="2"/>
      <c r="W22" s="2"/>
      <c r="X22" s="2"/>
    </row>
    <row r="23" spans="2:26" x14ac:dyDescent="0.3">
      <c r="B23" s="793"/>
      <c r="C23" s="61" t="s">
        <v>28</v>
      </c>
      <c r="D23" s="18">
        <v>100</v>
      </c>
      <c r="E23" s="20">
        <v>8886.2000000000007</v>
      </c>
      <c r="F23" s="15">
        <f>Agosto23!AI23</f>
        <v>5113.579999999999</v>
      </c>
      <c r="G23" s="15"/>
      <c r="H23" s="15"/>
      <c r="I23" s="15"/>
      <c r="J23" s="126"/>
      <c r="K23" s="128">
        <v>0.16900000000000001</v>
      </c>
      <c r="L23" s="47">
        <f t="shared" si="1"/>
        <v>0.11943817204301076</v>
      </c>
      <c r="M23" s="41">
        <f t="shared" si="3"/>
        <v>6.8730913978494609E-2</v>
      </c>
      <c r="N23" s="41" t="str">
        <f t="shared" si="4"/>
        <v/>
      </c>
      <c r="O23" s="41" t="str">
        <f t="shared" si="5"/>
        <v/>
      </c>
      <c r="P23" s="41" t="str">
        <f t="shared" si="6"/>
        <v/>
      </c>
      <c r="Q23" s="48" t="str">
        <f t="shared" si="7"/>
        <v/>
      </c>
      <c r="R23" s="136" cm="1">
        <f t="array" ref="R23">IFERROR(SUM(E23:J23)/(D23*24*_xlfn.SWITCH(COUNT(E23:J23),1,31,2,62,3,92,4,123,5,153,6,184)),"-")</f>
        <v>9.4084543010752683E-2</v>
      </c>
      <c r="S23" s="42">
        <f t="shared" si="2"/>
        <v>-7.4915456989247328E-2</v>
      </c>
      <c r="T23" s="2"/>
      <c r="U23" s="2"/>
      <c r="V23" s="2"/>
      <c r="W23" s="2"/>
      <c r="X23" s="2"/>
    </row>
    <row r="24" spans="2:26" x14ac:dyDescent="0.3">
      <c r="B24" s="793"/>
      <c r="C24" s="61" t="s">
        <v>29</v>
      </c>
      <c r="D24" s="18">
        <v>100</v>
      </c>
      <c r="E24" s="27">
        <v>11228</v>
      </c>
      <c r="F24" s="15">
        <f>Agosto23!AI24</f>
        <v>11423</v>
      </c>
      <c r="G24" s="15"/>
      <c r="H24" s="28"/>
      <c r="I24" s="28"/>
      <c r="J24" s="126"/>
      <c r="K24" s="128">
        <v>0.16900000000000001</v>
      </c>
      <c r="L24" s="47">
        <f t="shared" si="1"/>
        <v>0.15091397849462365</v>
      </c>
      <c r="M24" s="41">
        <f t="shared" si="3"/>
        <v>0.15353494623655914</v>
      </c>
      <c r="N24" s="41" t="str">
        <f t="shared" si="4"/>
        <v/>
      </c>
      <c r="O24" s="41" t="str">
        <f t="shared" si="5"/>
        <v/>
      </c>
      <c r="P24" s="41" t="str">
        <f t="shared" si="6"/>
        <v/>
      </c>
      <c r="Q24" s="48" t="str">
        <f t="shared" si="7"/>
        <v/>
      </c>
      <c r="R24" s="136" cm="1">
        <f t="array" ref="R24">IFERROR(SUM(E24:J24)/(D24*24*_xlfn.SWITCH(COUNT(E24:J24),1,31,2,62,3,92,4,123,5,153,6,184)),"-")</f>
        <v>0.1522244623655914</v>
      </c>
      <c r="S24" s="42">
        <f t="shared" si="2"/>
        <v>-1.6775537634408616E-2</v>
      </c>
      <c r="T24" s="2"/>
      <c r="U24" s="2"/>
      <c r="V24" s="2"/>
      <c r="W24" s="2"/>
      <c r="X24" s="2"/>
    </row>
    <row r="25" spans="2:26" x14ac:dyDescent="0.3">
      <c r="B25" s="793"/>
      <c r="C25" s="61" t="s">
        <v>30</v>
      </c>
      <c r="D25" s="18">
        <v>360</v>
      </c>
      <c r="E25" s="27" t="s">
        <v>31</v>
      </c>
      <c r="F25" s="15">
        <f>Agosto23!AI25</f>
        <v>17259.599999999999</v>
      </c>
      <c r="G25" s="15"/>
      <c r="H25" s="28"/>
      <c r="I25" s="28"/>
      <c r="J25" s="126"/>
      <c r="K25" s="128">
        <v>0.15920000000000001</v>
      </c>
      <c r="L25" s="47" t="str">
        <f>IF(E25="","",IFERROR(E25/($D25*E$3*24),"-"))</f>
        <v>-</v>
      </c>
      <c r="M25" s="41">
        <f t="shared" si="3"/>
        <v>6.4439964157706087E-2</v>
      </c>
      <c r="N25" s="41" t="str">
        <f t="shared" si="4"/>
        <v/>
      </c>
      <c r="O25" s="41" t="str">
        <f t="shared" si="5"/>
        <v/>
      </c>
      <c r="P25" s="41" t="str">
        <f t="shared" si="6"/>
        <v/>
      </c>
      <c r="Q25" s="48" t="str">
        <f t="shared" si="7"/>
        <v/>
      </c>
      <c r="R25" s="136" cm="1">
        <f t="array" ref="R25">IFERROR(SUM(E25:J25)/(D25*24*_xlfn.SWITCH(COUNT(E25:J25),1,31,2,62,3,92,4,123,5,153,6,184)),"-")</f>
        <v>6.4439964157706087E-2</v>
      </c>
      <c r="S25" s="42">
        <f t="shared" si="2"/>
        <v>-9.4760035842293922E-2</v>
      </c>
      <c r="T25" s="2"/>
      <c r="U25" s="2"/>
      <c r="V25" s="2"/>
      <c r="W25" s="2"/>
      <c r="X25" s="2"/>
    </row>
    <row r="26" spans="2:26" x14ac:dyDescent="0.3">
      <c r="B26" s="793"/>
      <c r="C26" s="61" t="s">
        <v>111</v>
      </c>
      <c r="D26" s="18">
        <v>100</v>
      </c>
      <c r="E26" s="27" t="s">
        <v>31</v>
      </c>
      <c r="F26" s="15">
        <f>Agosto23!AI26</f>
        <v>11609.740000000002</v>
      </c>
      <c r="G26" s="15"/>
      <c r="H26" s="28"/>
      <c r="I26" s="28"/>
      <c r="J26" s="126"/>
      <c r="K26" s="128">
        <v>0.16900000000000001</v>
      </c>
      <c r="L26" s="110" t="str">
        <f>IF(E26="","",IFERROR(E26/($D26*E$3*24),"-"))</f>
        <v>-</v>
      </c>
      <c r="M26" s="111">
        <f t="shared" si="3"/>
        <v>0.15604489247311831</v>
      </c>
      <c r="N26" s="111" t="str">
        <f t="shared" si="4"/>
        <v/>
      </c>
      <c r="O26" s="111" t="str">
        <f t="shared" si="5"/>
        <v/>
      </c>
      <c r="P26" s="111" t="str">
        <f t="shared" si="6"/>
        <v/>
      </c>
      <c r="Q26" s="112" t="str">
        <f t="shared" si="7"/>
        <v/>
      </c>
      <c r="R26" s="137" cm="1">
        <f t="array" ref="R26">IFERROR(SUM(E26:J26)/(D26*24*_xlfn.SWITCH(COUNT(E26:J26),1,31,2,62,3,92,4,123,5,153,6,184)),"-")</f>
        <v>0.15604489247311831</v>
      </c>
      <c r="S26" s="113">
        <f t="shared" si="2"/>
        <v>-1.2955107526881698E-2</v>
      </c>
      <c r="T26" s="2"/>
      <c r="U26" s="2"/>
      <c r="V26" s="2"/>
      <c r="W26" s="2"/>
      <c r="X26" s="2"/>
    </row>
    <row r="27" spans="2:26" x14ac:dyDescent="0.3">
      <c r="B27" s="793"/>
      <c r="C27" s="61" t="s">
        <v>32</v>
      </c>
      <c r="D27" s="18">
        <v>100</v>
      </c>
      <c r="E27" s="27" t="s">
        <v>31</v>
      </c>
      <c r="F27" s="15">
        <f>Agosto23!AI27</f>
        <v>9164.5</v>
      </c>
      <c r="G27" s="15"/>
      <c r="H27" s="28"/>
      <c r="I27" s="28"/>
      <c r="J27" s="126"/>
      <c r="K27" s="128">
        <v>0.16900000000000001</v>
      </c>
      <c r="L27" s="110" t="str">
        <f>IF(E27="","",IFERROR(E27/($D27*E$3*24),"-"))</f>
        <v>-</v>
      </c>
      <c r="M27" s="111">
        <f t="shared" si="3"/>
        <v>0.12317876344086022</v>
      </c>
      <c r="N27" s="111" t="str">
        <f t="shared" si="4"/>
        <v/>
      </c>
      <c r="O27" s="111" t="str">
        <f t="shared" si="5"/>
        <v/>
      </c>
      <c r="P27" s="111" t="str">
        <f t="shared" si="6"/>
        <v/>
      </c>
      <c r="Q27" s="112" t="str">
        <f t="shared" si="7"/>
        <v/>
      </c>
      <c r="R27" s="137" cm="1">
        <f t="array" ref="R27">IFERROR(SUM(E27:J27)/(D27*24*_xlfn.SWITCH(COUNT(E27:J27),1,31,2,62,3,92,4,123,5,153,6,184)),"-")</f>
        <v>0.12317876344086022</v>
      </c>
      <c r="S27" s="113">
        <f t="shared" si="2"/>
        <v>-4.5821236559139791E-2</v>
      </c>
      <c r="T27" s="2"/>
      <c r="U27" s="2"/>
      <c r="V27" s="2"/>
      <c r="W27" s="2"/>
      <c r="X27" s="2"/>
    </row>
    <row r="28" spans="2:26" x14ac:dyDescent="0.3">
      <c r="B28" s="793"/>
      <c r="C28" s="61" t="s">
        <v>112</v>
      </c>
      <c r="D28" s="18">
        <v>100</v>
      </c>
      <c r="E28" s="27" t="s">
        <v>31</v>
      </c>
      <c r="F28" s="28">
        <f>Agosto23!AI28</f>
        <v>10855.499999999998</v>
      </c>
      <c r="G28" s="28"/>
      <c r="H28" s="28"/>
      <c r="I28" s="28"/>
      <c r="J28" s="130"/>
      <c r="K28" s="131">
        <v>0.16900000000000001</v>
      </c>
      <c r="L28" s="110" t="str">
        <f>IF(E28="","",IFERROR(E28/($D28*E$3*24),"-"))</f>
        <v>-</v>
      </c>
      <c r="M28" s="111">
        <f>IF(F28="","",IFERROR(F28/($D28*F$3*24),"-"))</f>
        <v>0.1459072580645161</v>
      </c>
      <c r="N28" s="111" t="str">
        <f>IF(G28="","",IFERROR(G28/($D28*G$3*24),"-"))</f>
        <v/>
      </c>
      <c r="O28" s="111" t="str">
        <f>IF(H28="","",IFERROR(H28/($D28*H$3*24),"-"))</f>
        <v/>
      </c>
      <c r="P28" s="111" t="str">
        <f>IF(I28="","",IFERROR(I28/($D28*I$3*24),"-"))</f>
        <v/>
      </c>
      <c r="Q28" s="112" t="str">
        <f>IF(J28="","",IFERROR(J28/($D28*J$3*24),"-"))</f>
        <v/>
      </c>
      <c r="R28" s="137" cm="1">
        <f t="array" ref="R28">IFERROR(SUM(E28:J28)/(D28*24*_xlfn.SWITCH(COUNT(E28:J28),1,31,2,62,3,92,4,123,5,153,6,184)),"-")</f>
        <v>0.1459072580645161</v>
      </c>
      <c r="S28" s="113">
        <f>IFERROR(R28-K28,"-")</f>
        <v>-2.3092741935483913E-2</v>
      </c>
      <c r="T28" s="2"/>
      <c r="U28" s="2"/>
      <c r="V28" s="2"/>
      <c r="W28" s="2"/>
      <c r="X28" s="2"/>
    </row>
    <row r="29" spans="2:26" ht="15" thickBot="1" x14ac:dyDescent="0.35">
      <c r="B29" s="794"/>
      <c r="C29" s="61" t="s">
        <v>291</v>
      </c>
      <c r="D29" s="18">
        <v>100</v>
      </c>
      <c r="E29" s="21" t="s">
        <v>31</v>
      </c>
      <c r="F29" s="22" t="s">
        <v>31</v>
      </c>
      <c r="G29" s="22"/>
      <c r="H29" s="22"/>
      <c r="I29" s="22"/>
      <c r="J29" s="132"/>
      <c r="K29" s="129">
        <v>0.16900000000000001</v>
      </c>
      <c r="L29" s="49" t="str">
        <f>IF(E29="","",IFERROR(E29/($D29*E$3*24),"-"))</f>
        <v>-</v>
      </c>
      <c r="M29" s="133" t="s">
        <v>31</v>
      </c>
      <c r="N29" s="133" t="str">
        <f>IF(G29="","",IFERROR(G29/($D29*G$3*24),"-"))</f>
        <v/>
      </c>
      <c r="O29" s="133" t="str">
        <f>IF(H29="","",IFERROR(H29/($D29*H$3*24),"-"))</f>
        <v/>
      </c>
      <c r="P29" s="133" t="str">
        <f>IF(I29="","",IFERROR(I29/($D29*I$3*24),"-"))</f>
        <v/>
      </c>
      <c r="Q29" s="134" t="str">
        <f>IF(J29="","",IFERROR(J29/($D29*J$3*24),"-"))</f>
        <v/>
      </c>
      <c r="R29" s="138" t="str" cm="1">
        <f t="array" ref="R29">IFERROR(SUM(E29:J29)/(D29*24*_xlfn.SWITCH(COUNT(E29:J29),1,31,2,62,3,92,4,123,5,153,6,184)),"-")</f>
        <v>-</v>
      </c>
      <c r="S29" s="50" t="str">
        <f>IFERROR(R29-K29,"-")</f>
        <v>-</v>
      </c>
      <c r="T29" s="2"/>
      <c r="U29" s="2"/>
      <c r="V29" s="2"/>
      <c r="W29" s="2"/>
      <c r="X29" s="2"/>
    </row>
    <row r="30" spans="2:26" x14ac:dyDescent="0.3">
      <c r="B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S30" s="3"/>
      <c r="T30" s="2"/>
      <c r="U30" s="2"/>
      <c r="V30" s="2"/>
      <c r="W30" s="2"/>
      <c r="X30" s="2"/>
    </row>
    <row r="31" spans="2:26" x14ac:dyDescent="0.3">
      <c r="B31" s="2"/>
      <c r="C31" s="7"/>
      <c r="D31" s="3" t="s">
        <v>33</v>
      </c>
      <c r="E31" s="3"/>
      <c r="F31" s="3"/>
      <c r="G31" s="2"/>
      <c r="H31" s="30"/>
      <c r="I31" s="3"/>
      <c r="K31" s="9"/>
      <c r="L31" s="9"/>
      <c r="Q31" s="4"/>
      <c r="R31" s="2"/>
      <c r="S31" s="2"/>
      <c r="T31" s="2"/>
      <c r="U31" s="2"/>
      <c r="V31" s="2"/>
      <c r="W31" s="2"/>
    </row>
    <row r="32" spans="2:26" x14ac:dyDescent="0.3">
      <c r="C32" s="12"/>
      <c r="D32" s="5" t="s">
        <v>34</v>
      </c>
      <c r="E32" s="5"/>
      <c r="F32" s="5"/>
      <c r="G32" s="31"/>
      <c r="H32" s="30"/>
      <c r="I32" s="5"/>
      <c r="K32" s="11"/>
      <c r="L32" s="11"/>
      <c r="Q32" s="4"/>
    </row>
    <row r="33" spans="3:12" x14ac:dyDescent="0.3">
      <c r="C33" s="13"/>
      <c r="D33" s="5" t="s">
        <v>35</v>
      </c>
      <c r="E33" s="5"/>
      <c r="F33" s="5"/>
      <c r="G33" s="31"/>
      <c r="H33" s="30"/>
      <c r="I33" s="5"/>
      <c r="K33" s="2"/>
    </row>
    <row r="34" spans="3:12" x14ac:dyDescent="0.3">
      <c r="C34" s="14"/>
      <c r="D34" t="s">
        <v>36</v>
      </c>
      <c r="G34" s="31"/>
      <c r="H34" s="30"/>
      <c r="L34" s="2"/>
    </row>
    <row r="35" spans="3:12" x14ac:dyDescent="0.3">
      <c r="G35" s="31"/>
      <c r="H35" s="30"/>
    </row>
    <row r="36" spans="3:12" x14ac:dyDescent="0.3">
      <c r="G36" s="31"/>
      <c r="H36" s="30"/>
      <c r="K36" s="4"/>
      <c r="L36" s="4"/>
    </row>
    <row r="37" spans="3:12" x14ac:dyDescent="0.3">
      <c r="K37" s="4"/>
      <c r="L37" s="4"/>
    </row>
  </sheetData>
  <mergeCells count="6">
    <mergeCell ref="B17:B29"/>
    <mergeCell ref="B5:B12"/>
    <mergeCell ref="B13:B16"/>
    <mergeCell ref="U4:V4"/>
    <mergeCell ref="U5:V5"/>
    <mergeCell ref="U6:V6"/>
  </mergeCells>
  <phoneticPr fontId="3" type="noConversion"/>
  <conditionalFormatting sqref="L5:Q29">
    <cfRule type="cellIs" dxfId="10" priority="1" operator="equal">
      <formula>"-"</formula>
    </cfRule>
    <cfRule type="cellIs" dxfId="9" priority="6" operator="equal">
      <formula>""</formula>
    </cfRule>
    <cfRule type="expression" dxfId="8" priority="7">
      <formula>L5&gt;=$K5</formula>
    </cfRule>
    <cfRule type="expression" dxfId="7" priority="8">
      <formula>L5&lt;($K5-0.01)</formula>
    </cfRule>
  </conditionalFormatting>
  <conditionalFormatting sqref="R5:R29">
    <cfRule type="expression" dxfId="5" priority="16">
      <formula>$R5&lt;($K5-0.01)</formula>
    </cfRule>
    <cfRule type="expression" dxfId="4" priority="17">
      <formula>$R5&gt;=$K5</formula>
    </cfRule>
  </conditionalFormatting>
  <conditionalFormatting sqref="S5:S29">
    <cfRule type="cellIs" dxfId="3" priority="2" operator="equal">
      <formula>"-"</formula>
    </cfRule>
    <cfRule type="expression" dxfId="2" priority="3">
      <formula>$S5&lt;-0.01</formula>
    </cfRule>
    <cfRule type="expression" dxfId="1" priority="4">
      <formula>$S5&gt;=0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3" operator="containsText" id="{60492582-8A9F-41FD-9BF8-A05C84E2C8DD}">
            <xm:f>NOT(ISERROR(SEARCH("-",R5)))</xm:f>
            <xm:f>"-"</xm:f>
            <x14:dxf>
              <fill>
                <patternFill>
                  <bgColor theme="0"/>
                </patternFill>
              </fill>
            </x14:dxf>
          </x14:cfRule>
          <xm:sqref>R5:R29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1B63-7E45-426C-893C-0C33BBC1B040}">
  <sheetPr>
    <tabColor rgb="FF00B050"/>
    <pageSetUpPr fitToPage="1"/>
  </sheetPr>
  <dimension ref="B1:AB76"/>
  <sheetViews>
    <sheetView showGridLines="0" topLeftCell="A13" zoomScale="85" zoomScaleNormal="85" workbookViewId="0">
      <selection activeCell="A29" sqref="A29:M65"/>
    </sheetView>
  </sheetViews>
  <sheetFormatPr defaultRowHeight="14.4" x14ac:dyDescent="0.3"/>
  <cols>
    <col min="1" max="1" width="4.6640625" customWidth="1"/>
    <col min="2" max="2" width="17.44140625" customWidth="1"/>
    <col min="3" max="3" width="29.6640625" customWidth="1"/>
    <col min="4" max="4" width="11.88671875" customWidth="1"/>
    <col min="5" max="7" width="18.21875" style="31" customWidth="1"/>
    <col min="8" max="8" width="10.44140625" style="31" customWidth="1"/>
    <col min="9" max="10" width="18.21875" style="31" customWidth="1"/>
    <col min="11" max="11" width="22.33203125" style="31" customWidth="1"/>
    <col min="12" max="12" width="18.21875" style="31" customWidth="1"/>
    <col min="13" max="13" width="11.21875" style="31" customWidth="1"/>
    <col min="14" max="14" width="9" style="31" customWidth="1"/>
    <col min="15" max="15" width="11.33203125" style="31" customWidth="1"/>
    <col min="16" max="16" width="13.109375" style="31" customWidth="1"/>
    <col min="17" max="17" width="11.33203125" style="2" customWidth="1"/>
    <col min="18" max="18" width="11" style="2" customWidth="1"/>
    <col min="19" max="20" width="7.6640625" style="2" customWidth="1"/>
    <col min="21" max="21" width="9.6640625" style="2" customWidth="1"/>
    <col min="22" max="22" width="12.44140625" style="2" customWidth="1"/>
    <col min="23" max="23" width="8.33203125" customWidth="1"/>
    <col min="24" max="28" width="12.44140625" customWidth="1"/>
  </cols>
  <sheetData>
    <row r="1" spans="3:28" ht="20.399999999999999" customHeight="1" thickBot="1" x14ac:dyDescent="0.35">
      <c r="E1" s="15">
        <v>31</v>
      </c>
      <c r="F1" s="15">
        <v>28</v>
      </c>
      <c r="G1" s="15">
        <v>31</v>
      </c>
      <c r="H1" s="15">
        <v>30</v>
      </c>
      <c r="I1" s="15">
        <v>31</v>
      </c>
      <c r="J1" s="15">
        <v>30</v>
      </c>
      <c r="K1" s="15">
        <v>31</v>
      </c>
      <c r="L1" s="15">
        <v>31</v>
      </c>
      <c r="M1" s="15">
        <v>30</v>
      </c>
      <c r="N1" s="15">
        <v>31</v>
      </c>
      <c r="O1" s="15">
        <v>30</v>
      </c>
      <c r="P1" s="15">
        <v>31</v>
      </c>
      <c r="U1"/>
      <c r="V1"/>
    </row>
    <row r="2" spans="3:28" ht="43.5" customHeight="1" thickBot="1" x14ac:dyDescent="0.35">
      <c r="E2" s="684" t="s">
        <v>636</v>
      </c>
      <c r="F2" s="149" t="s">
        <v>637</v>
      </c>
      <c r="G2" s="149" t="s">
        <v>638</v>
      </c>
      <c r="H2" s="149" t="s">
        <v>639</v>
      </c>
      <c r="I2" s="149" t="s">
        <v>640</v>
      </c>
      <c r="J2" s="149" t="s">
        <v>641</v>
      </c>
      <c r="K2" s="149" t="s">
        <v>642</v>
      </c>
      <c r="L2" s="149" t="s">
        <v>643</v>
      </c>
      <c r="M2" s="149" t="s">
        <v>644</v>
      </c>
      <c r="N2" s="149" t="s">
        <v>645</v>
      </c>
      <c r="O2" s="149" t="s">
        <v>646</v>
      </c>
      <c r="P2" s="685" t="s">
        <v>647</v>
      </c>
      <c r="Q2" s="188" t="str">
        <f xml:space="preserve"> _xlfn.CONCAT("FC                    ",E2)</f>
        <v>FC                    janeiro</v>
      </c>
      <c r="R2" s="188" t="str">
        <f xml:space="preserve"> _xlfn.CONCAT("FC                    ",F2)</f>
        <v>FC                    fevereiro</v>
      </c>
      <c r="S2" s="188" t="str">
        <f t="shared" ref="S2:AB2" si="0" xml:space="preserve"> _xlfn.CONCAT("FC                    ",G2)</f>
        <v>FC                    março</v>
      </c>
      <c r="T2" s="188" t="str">
        <f t="shared" si="0"/>
        <v>FC                    abril</v>
      </c>
      <c r="U2" s="188" t="str">
        <f t="shared" si="0"/>
        <v>FC                    maio</v>
      </c>
      <c r="V2" s="188" t="str">
        <f t="shared" si="0"/>
        <v>FC                    junho</v>
      </c>
      <c r="W2" s="188" t="str">
        <f t="shared" si="0"/>
        <v>FC                    julho</v>
      </c>
      <c r="X2" s="188" t="str">
        <f t="shared" si="0"/>
        <v>FC                    agosto</v>
      </c>
      <c r="Y2" s="188" t="str">
        <f t="shared" si="0"/>
        <v>FC                    setembro</v>
      </c>
      <c r="Z2" s="188" t="str">
        <f t="shared" si="0"/>
        <v>FC                    outubro</v>
      </c>
      <c r="AA2" s="188" t="str">
        <f t="shared" si="0"/>
        <v>FC                    novembro</v>
      </c>
      <c r="AB2" s="188" t="str">
        <f t="shared" si="0"/>
        <v>FC                    dezembro</v>
      </c>
    </row>
    <row r="3" spans="3:28" x14ac:dyDescent="0.3">
      <c r="C3" s="151" t="s">
        <v>7</v>
      </c>
      <c r="D3" s="157">
        <v>12</v>
      </c>
      <c r="E3" s="176">
        <v>1901</v>
      </c>
      <c r="F3" s="147">
        <v>1600</v>
      </c>
      <c r="G3" s="150">
        <v>1657</v>
      </c>
      <c r="H3" s="147">
        <v>1505</v>
      </c>
      <c r="I3" s="150">
        <v>1374</v>
      </c>
      <c r="J3" s="147">
        <v>1201</v>
      </c>
      <c r="K3" s="150">
        <v>1468</v>
      </c>
      <c r="L3" s="147">
        <v>1360</v>
      </c>
      <c r="M3" s="147">
        <v>1559</v>
      </c>
      <c r="N3" s="147"/>
      <c r="O3" s="147"/>
      <c r="P3" s="150"/>
      <c r="Q3" s="197">
        <f>E3/(E$1*24*$D3)</f>
        <v>0.21292562724014336</v>
      </c>
      <c r="R3" s="197">
        <f>F3/(F$1*24*$D3)</f>
        <v>0.1984126984126984</v>
      </c>
      <c r="S3" s="197">
        <f t="shared" ref="S3:AB18" si="1">G3/(G$1*24*$D3)</f>
        <v>0.18559587813620071</v>
      </c>
      <c r="T3" s="197">
        <f t="shared" si="1"/>
        <v>0.17418981481481483</v>
      </c>
      <c r="U3" s="197">
        <f t="shared" si="1"/>
        <v>0.15389784946236559</v>
      </c>
      <c r="V3" s="197">
        <f t="shared" si="1"/>
        <v>0.13900462962962962</v>
      </c>
      <c r="W3" s="197">
        <f t="shared" si="1"/>
        <v>0.16442652329749105</v>
      </c>
      <c r="X3" s="197">
        <f t="shared" si="1"/>
        <v>0.15232974910394265</v>
      </c>
      <c r="Y3" s="197">
        <f t="shared" si="1"/>
        <v>0.1804398148148148</v>
      </c>
      <c r="Z3" s="197">
        <f t="shared" si="1"/>
        <v>0</v>
      </c>
      <c r="AA3" s="197">
        <f t="shared" si="1"/>
        <v>0</v>
      </c>
      <c r="AB3" s="197">
        <f t="shared" si="1"/>
        <v>0</v>
      </c>
    </row>
    <row r="4" spans="3:28" x14ac:dyDescent="0.3">
      <c r="C4" s="152" t="s">
        <v>8</v>
      </c>
      <c r="D4" s="118">
        <v>67</v>
      </c>
      <c r="E4" s="177">
        <v>10839</v>
      </c>
      <c r="F4" s="148">
        <v>8440</v>
      </c>
      <c r="G4" s="2">
        <v>9548</v>
      </c>
      <c r="H4" s="148">
        <v>8709</v>
      </c>
      <c r="I4" s="2">
        <v>7759</v>
      </c>
      <c r="J4" s="148">
        <v>7965</v>
      </c>
      <c r="K4" s="2">
        <v>8049</v>
      </c>
      <c r="L4" s="148">
        <v>8771</v>
      </c>
      <c r="M4" s="148">
        <v>9016</v>
      </c>
      <c r="N4" s="148"/>
      <c r="O4" s="148"/>
      <c r="P4" s="2"/>
      <c r="Q4" s="195">
        <f t="shared" ref="Q4:R26" si="2">E4/(E$1*24*$D4)</f>
        <v>0.21744102070293692</v>
      </c>
      <c r="R4" s="195">
        <f t="shared" si="2"/>
        <v>0.18745557924662401</v>
      </c>
      <c r="S4" s="195">
        <f t="shared" si="1"/>
        <v>0.19154228855721392</v>
      </c>
      <c r="T4" s="195">
        <f t="shared" si="1"/>
        <v>0.18053482587064676</v>
      </c>
      <c r="U4" s="195">
        <f t="shared" si="1"/>
        <v>0.15565318568448083</v>
      </c>
      <c r="V4" s="195">
        <f t="shared" si="1"/>
        <v>0.16511194029850745</v>
      </c>
      <c r="W4" s="195">
        <f t="shared" si="1"/>
        <v>0.16147087144920558</v>
      </c>
      <c r="X4" s="195">
        <f t="shared" si="1"/>
        <v>0.17595490290483068</v>
      </c>
      <c r="Y4" s="195">
        <f t="shared" si="1"/>
        <v>0.1868988391376451</v>
      </c>
      <c r="Z4" s="195">
        <f t="shared" si="1"/>
        <v>0</v>
      </c>
      <c r="AA4" s="195">
        <f t="shared" si="1"/>
        <v>0</v>
      </c>
      <c r="AB4" s="195">
        <f t="shared" si="1"/>
        <v>0</v>
      </c>
    </row>
    <row r="5" spans="3:28" x14ac:dyDescent="0.3">
      <c r="C5" s="152" t="s">
        <v>9</v>
      </c>
      <c r="D5" s="118">
        <v>49</v>
      </c>
      <c r="E5" s="177">
        <v>6949</v>
      </c>
      <c r="F5" s="148">
        <v>6369</v>
      </c>
      <c r="G5" s="2">
        <v>6721</v>
      </c>
      <c r="H5" s="148">
        <v>6135</v>
      </c>
      <c r="I5" s="2">
        <v>6117</v>
      </c>
      <c r="J5" s="148">
        <v>5685</v>
      </c>
      <c r="K5" s="2">
        <v>6153</v>
      </c>
      <c r="L5" s="148">
        <v>5773</v>
      </c>
      <c r="M5" s="148">
        <v>6346</v>
      </c>
      <c r="N5" s="148"/>
      <c r="O5" s="148"/>
      <c r="P5" s="2"/>
      <c r="Q5" s="195">
        <f t="shared" si="2"/>
        <v>0.19061334211103798</v>
      </c>
      <c r="R5" s="195">
        <f t="shared" si="2"/>
        <v>0.19342201166180759</v>
      </c>
      <c r="S5" s="195">
        <f t="shared" si="1"/>
        <v>0.18435922756199255</v>
      </c>
      <c r="T5" s="195">
        <f t="shared" si="1"/>
        <v>0.17389455782312926</v>
      </c>
      <c r="U5" s="195">
        <f t="shared" si="1"/>
        <v>0.16779131007241607</v>
      </c>
      <c r="V5" s="195">
        <f t="shared" si="1"/>
        <v>0.16113945578231292</v>
      </c>
      <c r="W5" s="195">
        <f t="shared" si="1"/>
        <v>0.16877880184331798</v>
      </c>
      <c r="X5" s="195">
        <f t="shared" si="1"/>
        <v>0.15835527759490894</v>
      </c>
      <c r="Y5" s="195">
        <f t="shared" si="1"/>
        <v>0.17987528344671203</v>
      </c>
      <c r="Z5" s="195">
        <f t="shared" si="1"/>
        <v>0</v>
      </c>
      <c r="AA5" s="195">
        <f t="shared" si="1"/>
        <v>0</v>
      </c>
      <c r="AB5" s="195">
        <f t="shared" si="1"/>
        <v>0</v>
      </c>
    </row>
    <row r="6" spans="3:28" x14ac:dyDescent="0.3">
      <c r="C6" s="152" t="s">
        <v>10</v>
      </c>
      <c r="D6" s="118">
        <v>33</v>
      </c>
      <c r="E6" s="177">
        <v>4954</v>
      </c>
      <c r="F6" s="148">
        <v>4429</v>
      </c>
      <c r="G6" s="2">
        <v>4654</v>
      </c>
      <c r="H6" s="148">
        <v>4267</v>
      </c>
      <c r="I6" s="2">
        <v>4210</v>
      </c>
      <c r="J6" s="148">
        <v>3907</v>
      </c>
      <c r="K6" s="2">
        <v>4232</v>
      </c>
      <c r="L6" s="148">
        <v>4308</v>
      </c>
      <c r="M6" s="148">
        <v>4396</v>
      </c>
      <c r="N6" s="148"/>
      <c r="O6" s="148"/>
      <c r="P6" s="2"/>
      <c r="Q6" s="195">
        <f t="shared" si="2"/>
        <v>0.20177582274356468</v>
      </c>
      <c r="R6" s="195">
        <f t="shared" si="2"/>
        <v>0.19972041847041846</v>
      </c>
      <c r="S6" s="195">
        <f t="shared" si="1"/>
        <v>0.18955685891169763</v>
      </c>
      <c r="T6" s="195">
        <f t="shared" si="1"/>
        <v>0.1795875420875421</v>
      </c>
      <c r="U6" s="195">
        <f t="shared" si="1"/>
        <v>0.17147279244053437</v>
      </c>
      <c r="V6" s="195">
        <f t="shared" si="1"/>
        <v>0.16443602693602694</v>
      </c>
      <c r="W6" s="195">
        <f t="shared" si="1"/>
        <v>0.17236884978820463</v>
      </c>
      <c r="X6" s="195">
        <f t="shared" si="1"/>
        <v>0.17546432062561096</v>
      </c>
      <c r="Y6" s="195">
        <f t="shared" si="1"/>
        <v>0.18501683501683502</v>
      </c>
      <c r="Z6" s="195">
        <f t="shared" si="1"/>
        <v>0</v>
      </c>
      <c r="AA6" s="195">
        <f t="shared" si="1"/>
        <v>0</v>
      </c>
      <c r="AB6" s="195">
        <f t="shared" si="1"/>
        <v>0</v>
      </c>
    </row>
    <row r="7" spans="3:28" x14ac:dyDescent="0.3">
      <c r="C7" s="152" t="s">
        <v>11</v>
      </c>
      <c r="D7" s="118">
        <v>12</v>
      </c>
      <c r="E7" s="177">
        <v>1730</v>
      </c>
      <c r="F7" s="148">
        <v>1569</v>
      </c>
      <c r="G7" s="2">
        <v>1672</v>
      </c>
      <c r="H7" s="148">
        <v>1553</v>
      </c>
      <c r="I7" s="2">
        <v>1553</v>
      </c>
      <c r="J7" s="148">
        <v>1457</v>
      </c>
      <c r="K7" s="2">
        <v>1574</v>
      </c>
      <c r="L7" s="148">
        <v>1571</v>
      </c>
      <c r="M7" s="148">
        <v>1584</v>
      </c>
      <c r="N7" s="148"/>
      <c r="O7" s="148"/>
      <c r="P7" s="2"/>
      <c r="Q7" s="195">
        <f t="shared" si="2"/>
        <v>0.19377240143369176</v>
      </c>
      <c r="R7" s="195">
        <f t="shared" si="2"/>
        <v>0.19456845238095238</v>
      </c>
      <c r="S7" s="195">
        <f t="shared" si="1"/>
        <v>0.18727598566308243</v>
      </c>
      <c r="T7" s="195">
        <f t="shared" si="1"/>
        <v>0.17974537037037036</v>
      </c>
      <c r="U7" s="195">
        <f t="shared" si="1"/>
        <v>0.17394713261648745</v>
      </c>
      <c r="V7" s="195">
        <f t="shared" si="1"/>
        <v>0.16863425925925926</v>
      </c>
      <c r="W7" s="195">
        <f t="shared" si="1"/>
        <v>0.17629928315412186</v>
      </c>
      <c r="X7" s="195">
        <f t="shared" si="1"/>
        <v>0.17596326164874551</v>
      </c>
      <c r="Y7" s="195">
        <f t="shared" si="1"/>
        <v>0.18333333333333332</v>
      </c>
      <c r="Z7" s="195">
        <f t="shared" si="1"/>
        <v>0</v>
      </c>
      <c r="AA7" s="195">
        <f t="shared" si="1"/>
        <v>0</v>
      </c>
      <c r="AB7" s="195">
        <f t="shared" si="1"/>
        <v>0</v>
      </c>
    </row>
    <row r="8" spans="3:28" x14ac:dyDescent="0.3">
      <c r="C8" s="152" t="s">
        <v>12</v>
      </c>
      <c r="D8" s="118">
        <v>25</v>
      </c>
      <c r="E8" s="177">
        <v>3553</v>
      </c>
      <c r="F8" s="148">
        <v>3307</v>
      </c>
      <c r="G8" s="2">
        <v>3510</v>
      </c>
      <c r="H8" s="148">
        <v>3248</v>
      </c>
      <c r="I8" s="2">
        <v>3267</v>
      </c>
      <c r="J8" s="148">
        <v>2730</v>
      </c>
      <c r="K8" s="2">
        <v>3312</v>
      </c>
      <c r="L8" s="148">
        <v>3312</v>
      </c>
      <c r="M8" s="148">
        <v>3330</v>
      </c>
      <c r="N8" s="148"/>
      <c r="O8" s="148"/>
      <c r="P8" s="2"/>
      <c r="Q8" s="195">
        <f t="shared" si="2"/>
        <v>0.19102150537634408</v>
      </c>
      <c r="R8" s="195">
        <f t="shared" si="2"/>
        <v>0.1968452380952381</v>
      </c>
      <c r="S8" s="195">
        <f t="shared" si="1"/>
        <v>0.18870967741935485</v>
      </c>
      <c r="T8" s="195">
        <f t="shared" si="1"/>
        <v>0.18044444444444444</v>
      </c>
      <c r="U8" s="195">
        <f t="shared" si="1"/>
        <v>0.17564516129032259</v>
      </c>
      <c r="V8" s="195">
        <f t="shared" si="1"/>
        <v>0.15166666666666667</v>
      </c>
      <c r="W8" s="195">
        <f t="shared" si="1"/>
        <v>0.17806451612903226</v>
      </c>
      <c r="X8" s="195">
        <f t="shared" si="1"/>
        <v>0.17806451612903226</v>
      </c>
      <c r="Y8" s="195">
        <f t="shared" si="1"/>
        <v>0.185</v>
      </c>
      <c r="Z8" s="195">
        <f t="shared" si="1"/>
        <v>0</v>
      </c>
      <c r="AA8" s="195">
        <f t="shared" si="1"/>
        <v>0</v>
      </c>
      <c r="AB8" s="195">
        <f t="shared" si="1"/>
        <v>0</v>
      </c>
    </row>
    <row r="9" spans="3:28" x14ac:dyDescent="0.3">
      <c r="C9" s="153" t="s">
        <v>13</v>
      </c>
      <c r="D9" s="118">
        <v>78</v>
      </c>
      <c r="E9" s="177"/>
      <c r="F9" s="148"/>
      <c r="G9" s="2"/>
      <c r="H9" s="148"/>
      <c r="I9" s="2"/>
      <c r="J9" s="148"/>
      <c r="K9" s="2"/>
      <c r="L9" s="148"/>
      <c r="M9" s="148"/>
      <c r="N9" s="148"/>
      <c r="O9" s="148"/>
      <c r="P9" s="2"/>
      <c r="Q9" s="195">
        <f t="shared" si="2"/>
        <v>0</v>
      </c>
      <c r="R9" s="195">
        <f t="shared" si="2"/>
        <v>0</v>
      </c>
      <c r="S9" s="195">
        <f t="shared" si="1"/>
        <v>0</v>
      </c>
      <c r="T9" s="195">
        <f t="shared" si="1"/>
        <v>0</v>
      </c>
      <c r="U9" s="195">
        <f t="shared" si="1"/>
        <v>0</v>
      </c>
      <c r="V9" s="195">
        <f t="shared" si="1"/>
        <v>0</v>
      </c>
      <c r="W9" s="195">
        <f t="shared" si="1"/>
        <v>0</v>
      </c>
      <c r="X9" s="195">
        <f t="shared" si="1"/>
        <v>0</v>
      </c>
      <c r="Y9" s="195">
        <f t="shared" si="1"/>
        <v>0</v>
      </c>
      <c r="Z9" s="195">
        <f t="shared" si="1"/>
        <v>0</v>
      </c>
      <c r="AA9" s="195">
        <f t="shared" si="1"/>
        <v>0</v>
      </c>
      <c r="AB9" s="195">
        <f t="shared" si="1"/>
        <v>0</v>
      </c>
    </row>
    <row r="10" spans="3:28" ht="15" thickBot="1" x14ac:dyDescent="0.35">
      <c r="C10" s="153" t="s">
        <v>14</v>
      </c>
      <c r="D10" s="158">
        <v>61</v>
      </c>
      <c r="E10" s="178">
        <v>973</v>
      </c>
      <c r="F10" s="149">
        <v>7239</v>
      </c>
      <c r="G10" s="146">
        <v>8589</v>
      </c>
      <c r="H10" s="149">
        <v>7851</v>
      </c>
      <c r="I10" s="146">
        <v>7653</v>
      </c>
      <c r="J10" s="149">
        <v>7159</v>
      </c>
      <c r="K10" s="146">
        <v>7144</v>
      </c>
      <c r="L10" s="149">
        <v>7888</v>
      </c>
      <c r="M10" s="149">
        <v>8110</v>
      </c>
      <c r="N10" s="149"/>
      <c r="O10" s="149"/>
      <c r="P10" s="146"/>
      <c r="Q10" s="195">
        <f t="shared" si="2"/>
        <v>2.1439273752864446E-2</v>
      </c>
      <c r="R10" s="195">
        <f t="shared" si="2"/>
        <v>0.17659543325526933</v>
      </c>
      <c r="S10" s="195">
        <f t="shared" si="1"/>
        <v>0.18925171866737175</v>
      </c>
      <c r="T10" s="195">
        <f t="shared" si="1"/>
        <v>0.1787568306010929</v>
      </c>
      <c r="U10" s="195">
        <f t="shared" si="1"/>
        <v>0.16862771020624009</v>
      </c>
      <c r="V10" s="195">
        <f t="shared" si="1"/>
        <v>0.16300091074681239</v>
      </c>
      <c r="W10" s="195">
        <f t="shared" si="1"/>
        <v>0.15741230389564603</v>
      </c>
      <c r="X10" s="195">
        <f t="shared" si="1"/>
        <v>0.17380574651859687</v>
      </c>
      <c r="Y10" s="195">
        <f t="shared" si="1"/>
        <v>0.18465391621129326</v>
      </c>
      <c r="Z10" s="195">
        <f t="shared" si="1"/>
        <v>0</v>
      </c>
      <c r="AA10" s="195">
        <f t="shared" si="1"/>
        <v>0</v>
      </c>
      <c r="AB10" s="195">
        <f t="shared" si="1"/>
        <v>0</v>
      </c>
    </row>
    <row r="11" spans="3:28" x14ac:dyDescent="0.3">
      <c r="C11" s="151" t="s">
        <v>17</v>
      </c>
      <c r="D11" s="157">
        <v>100</v>
      </c>
      <c r="E11" s="176"/>
      <c r="F11" s="147"/>
      <c r="G11" s="150"/>
      <c r="H11" s="147"/>
      <c r="I11" s="150"/>
      <c r="J11" s="147"/>
      <c r="K11" s="150"/>
      <c r="L11" s="147"/>
      <c r="M11" s="147"/>
      <c r="N11" s="147"/>
      <c r="O11" s="147"/>
      <c r="P11" s="150"/>
      <c r="Q11" s="195">
        <f t="shared" si="2"/>
        <v>0</v>
      </c>
      <c r="R11" s="195">
        <f t="shared" si="2"/>
        <v>0</v>
      </c>
      <c r="S11" s="195">
        <f t="shared" si="1"/>
        <v>0</v>
      </c>
      <c r="T11" s="195">
        <f t="shared" si="1"/>
        <v>0</v>
      </c>
      <c r="U11" s="195">
        <f t="shared" si="1"/>
        <v>0</v>
      </c>
      <c r="V11" s="195">
        <f t="shared" si="1"/>
        <v>0</v>
      </c>
      <c r="W11" s="195">
        <f t="shared" si="1"/>
        <v>0</v>
      </c>
      <c r="X11" s="195">
        <f t="shared" si="1"/>
        <v>0</v>
      </c>
      <c r="Y11" s="195">
        <f t="shared" si="1"/>
        <v>0</v>
      </c>
      <c r="Z11" s="195">
        <f t="shared" si="1"/>
        <v>0</v>
      </c>
      <c r="AA11" s="195">
        <f t="shared" si="1"/>
        <v>0</v>
      </c>
      <c r="AB11" s="195">
        <f t="shared" si="1"/>
        <v>0</v>
      </c>
    </row>
    <row r="12" spans="3:28" x14ac:dyDescent="0.3">
      <c r="C12" s="152" t="s">
        <v>18</v>
      </c>
      <c r="D12" s="118">
        <v>100</v>
      </c>
      <c r="E12" s="177"/>
      <c r="F12" s="148"/>
      <c r="G12" s="2"/>
      <c r="H12" s="148"/>
      <c r="I12" s="2"/>
      <c r="J12" s="148"/>
      <c r="K12" s="2"/>
      <c r="L12" s="148"/>
      <c r="M12" s="148"/>
      <c r="N12" s="148"/>
      <c r="O12" s="148"/>
      <c r="P12" s="2"/>
      <c r="Q12" s="195">
        <f t="shared" si="2"/>
        <v>0</v>
      </c>
      <c r="R12" s="195">
        <f t="shared" si="2"/>
        <v>0</v>
      </c>
      <c r="S12" s="195">
        <f t="shared" si="1"/>
        <v>0</v>
      </c>
      <c r="T12" s="195">
        <f t="shared" si="1"/>
        <v>0</v>
      </c>
      <c r="U12" s="195">
        <f t="shared" si="1"/>
        <v>0</v>
      </c>
      <c r="V12" s="195">
        <f t="shared" si="1"/>
        <v>0</v>
      </c>
      <c r="W12" s="195">
        <f t="shared" si="1"/>
        <v>0</v>
      </c>
      <c r="X12" s="195">
        <f t="shared" si="1"/>
        <v>0</v>
      </c>
      <c r="Y12" s="195">
        <f t="shared" si="1"/>
        <v>0</v>
      </c>
      <c r="Z12" s="195">
        <f t="shared" si="1"/>
        <v>0</v>
      </c>
      <c r="AA12" s="195">
        <f t="shared" si="1"/>
        <v>0</v>
      </c>
      <c r="AB12" s="195">
        <f t="shared" si="1"/>
        <v>0</v>
      </c>
    </row>
    <row r="13" spans="3:28" x14ac:dyDescent="0.3">
      <c r="C13" s="152" t="s">
        <v>110</v>
      </c>
      <c r="D13" s="118">
        <v>29</v>
      </c>
      <c r="E13" s="177">
        <v>4603</v>
      </c>
      <c r="F13" s="148">
        <v>3930</v>
      </c>
      <c r="G13" s="2">
        <v>4103</v>
      </c>
      <c r="H13" s="148">
        <v>3333</v>
      </c>
      <c r="I13" s="2">
        <v>3713</v>
      </c>
      <c r="J13" s="148">
        <v>3283</v>
      </c>
      <c r="K13" s="2">
        <v>3842</v>
      </c>
      <c r="L13" s="148">
        <v>3840</v>
      </c>
      <c r="M13" s="148">
        <v>3863</v>
      </c>
      <c r="N13" s="148"/>
      <c r="O13" s="148"/>
      <c r="P13" s="2"/>
      <c r="Q13" s="195">
        <f t="shared" si="2"/>
        <v>0.21333889506859474</v>
      </c>
      <c r="R13" s="195">
        <f t="shared" si="2"/>
        <v>0.20166256157635468</v>
      </c>
      <c r="S13" s="195">
        <f t="shared" si="1"/>
        <v>0.19016499814608825</v>
      </c>
      <c r="T13" s="195">
        <f t="shared" si="1"/>
        <v>0.1596264367816092</v>
      </c>
      <c r="U13" s="195">
        <f t="shared" si="1"/>
        <v>0.17208935854653318</v>
      </c>
      <c r="V13" s="195">
        <f t="shared" si="1"/>
        <v>0.15723180076628351</v>
      </c>
      <c r="W13" s="195">
        <f t="shared" si="1"/>
        <v>0.17806822395253985</v>
      </c>
      <c r="X13" s="195">
        <f t="shared" si="1"/>
        <v>0.17797552836484984</v>
      </c>
      <c r="Y13" s="195">
        <f t="shared" si="1"/>
        <v>0.1850095785440613</v>
      </c>
      <c r="Z13" s="195">
        <f t="shared" si="1"/>
        <v>0</v>
      </c>
      <c r="AA13" s="195">
        <f t="shared" si="1"/>
        <v>0</v>
      </c>
      <c r="AB13" s="195">
        <f t="shared" si="1"/>
        <v>0</v>
      </c>
    </row>
    <row r="14" spans="3:28" ht="15" thickBot="1" x14ac:dyDescent="0.35">
      <c r="C14" s="154" t="s">
        <v>20</v>
      </c>
      <c r="D14" s="119">
        <v>100</v>
      </c>
      <c r="E14" s="179">
        <v>11985</v>
      </c>
      <c r="F14" s="149">
        <v>11902</v>
      </c>
      <c r="G14" s="146">
        <v>12322</v>
      </c>
      <c r="H14" s="149">
        <v>11714</v>
      </c>
      <c r="I14" s="146">
        <v>11593</v>
      </c>
      <c r="J14" s="149">
        <v>10942</v>
      </c>
      <c r="K14" s="146">
        <v>10432</v>
      </c>
      <c r="L14" s="149">
        <v>11879</v>
      </c>
      <c r="M14" s="149">
        <v>11826</v>
      </c>
      <c r="N14" s="149"/>
      <c r="O14" s="149"/>
      <c r="P14" s="146"/>
      <c r="Q14" s="195">
        <f t="shared" si="2"/>
        <v>0.16108870967741937</v>
      </c>
      <c r="R14" s="195">
        <f t="shared" si="2"/>
        <v>0.17711309523809524</v>
      </c>
      <c r="S14" s="195">
        <f t="shared" si="1"/>
        <v>0.16561827956989247</v>
      </c>
      <c r="T14" s="195">
        <f t="shared" si="1"/>
        <v>0.16269444444444445</v>
      </c>
      <c r="U14" s="195">
        <f t="shared" si="1"/>
        <v>0.15581989247311828</v>
      </c>
      <c r="V14" s="195">
        <f t="shared" si="1"/>
        <v>0.15197222222222223</v>
      </c>
      <c r="W14" s="195">
        <f t="shared" si="1"/>
        <v>0.14021505376344087</v>
      </c>
      <c r="X14" s="195">
        <f t="shared" si="1"/>
        <v>0.15966397849462366</v>
      </c>
      <c r="Y14" s="195">
        <f t="shared" si="1"/>
        <v>0.16425000000000001</v>
      </c>
      <c r="Z14" s="195">
        <f t="shared" si="1"/>
        <v>0</v>
      </c>
      <c r="AA14" s="195">
        <f t="shared" si="1"/>
        <v>0</v>
      </c>
      <c r="AB14" s="195">
        <f t="shared" si="1"/>
        <v>0</v>
      </c>
    </row>
    <row r="15" spans="3:28" x14ac:dyDescent="0.3">
      <c r="C15" s="159" t="s">
        <v>22</v>
      </c>
      <c r="D15" s="160">
        <v>100</v>
      </c>
      <c r="E15" s="176"/>
      <c r="F15" s="147"/>
      <c r="G15" s="150"/>
      <c r="H15" s="147"/>
      <c r="I15" s="150"/>
      <c r="J15" s="147"/>
      <c r="K15" s="150"/>
      <c r="L15" s="147"/>
      <c r="M15" s="147"/>
      <c r="N15" s="147"/>
      <c r="O15" s="147"/>
      <c r="P15" s="150"/>
      <c r="Q15" s="195">
        <f t="shared" si="2"/>
        <v>0</v>
      </c>
      <c r="R15" s="195">
        <f t="shared" si="2"/>
        <v>0</v>
      </c>
      <c r="S15" s="195">
        <f t="shared" si="1"/>
        <v>0</v>
      </c>
      <c r="T15" s="195">
        <f t="shared" si="1"/>
        <v>0</v>
      </c>
      <c r="U15" s="195">
        <f t="shared" si="1"/>
        <v>0</v>
      </c>
      <c r="V15" s="195">
        <f t="shared" si="1"/>
        <v>0</v>
      </c>
      <c r="W15" s="195">
        <f t="shared" si="1"/>
        <v>0</v>
      </c>
      <c r="X15" s="195">
        <f t="shared" si="1"/>
        <v>0</v>
      </c>
      <c r="Y15" s="195">
        <f t="shared" si="1"/>
        <v>0</v>
      </c>
      <c r="Z15" s="195">
        <f t="shared" si="1"/>
        <v>0</v>
      </c>
      <c r="AA15" s="195">
        <f t="shared" si="1"/>
        <v>0</v>
      </c>
      <c r="AB15" s="195">
        <f t="shared" si="1"/>
        <v>0</v>
      </c>
    </row>
    <row r="16" spans="3:28" x14ac:dyDescent="0.3">
      <c r="C16" s="155" t="s">
        <v>23</v>
      </c>
      <c r="D16" s="118">
        <v>100</v>
      </c>
      <c r="E16" s="177"/>
      <c r="F16" s="148"/>
      <c r="G16" s="2"/>
      <c r="H16" s="148"/>
      <c r="I16" s="2"/>
      <c r="J16" s="148"/>
      <c r="K16" s="2"/>
      <c r="L16" s="148"/>
      <c r="M16" s="148"/>
      <c r="N16" s="148"/>
      <c r="O16" s="148"/>
      <c r="P16" s="2"/>
      <c r="Q16" s="195">
        <f t="shared" si="2"/>
        <v>0</v>
      </c>
      <c r="R16" s="195">
        <f t="shared" si="2"/>
        <v>0</v>
      </c>
      <c r="S16" s="195">
        <f t="shared" si="1"/>
        <v>0</v>
      </c>
      <c r="T16" s="195">
        <f t="shared" si="1"/>
        <v>0</v>
      </c>
      <c r="U16" s="195">
        <f t="shared" si="1"/>
        <v>0</v>
      </c>
      <c r="V16" s="195">
        <f t="shared" si="1"/>
        <v>0</v>
      </c>
      <c r="W16" s="195">
        <f t="shared" si="1"/>
        <v>0</v>
      </c>
      <c r="X16" s="195">
        <f t="shared" si="1"/>
        <v>0</v>
      </c>
      <c r="Y16" s="195">
        <f t="shared" si="1"/>
        <v>0</v>
      </c>
      <c r="Z16" s="195">
        <f t="shared" si="1"/>
        <v>0</v>
      </c>
      <c r="AA16" s="195">
        <f t="shared" si="1"/>
        <v>0</v>
      </c>
      <c r="AB16" s="195">
        <f t="shared" si="1"/>
        <v>0</v>
      </c>
    </row>
    <row r="17" spans="2:28" x14ac:dyDescent="0.3">
      <c r="C17" s="155" t="s">
        <v>24</v>
      </c>
      <c r="D17" s="118">
        <v>80</v>
      </c>
      <c r="E17" s="177">
        <v>12311</v>
      </c>
      <c r="F17" s="148">
        <v>9794</v>
      </c>
      <c r="G17" s="2">
        <v>10144</v>
      </c>
      <c r="H17" s="148">
        <v>10481</v>
      </c>
      <c r="I17" s="2">
        <v>10194</v>
      </c>
      <c r="J17" s="148">
        <v>9735</v>
      </c>
      <c r="K17" s="2">
        <v>10355</v>
      </c>
      <c r="L17" s="148">
        <v>10613</v>
      </c>
      <c r="M17" s="148">
        <v>9684</v>
      </c>
      <c r="N17" s="148"/>
      <c r="O17" s="148"/>
      <c r="P17" s="2"/>
      <c r="Q17" s="195">
        <f t="shared" si="2"/>
        <v>0.20683803763440861</v>
      </c>
      <c r="R17" s="195">
        <f t="shared" si="2"/>
        <v>0.18218005952380953</v>
      </c>
      <c r="S17" s="195">
        <f t="shared" si="1"/>
        <v>0.17043010752688173</v>
      </c>
      <c r="T17" s="195">
        <f t="shared" si="1"/>
        <v>0.18196180555555555</v>
      </c>
      <c r="U17" s="195">
        <f t="shared" si="1"/>
        <v>0.17127016129032258</v>
      </c>
      <c r="V17" s="195">
        <f t="shared" si="1"/>
        <v>0.16901041666666666</v>
      </c>
      <c r="W17" s="195">
        <f t="shared" si="1"/>
        <v>0.17397513440860216</v>
      </c>
      <c r="X17" s="195">
        <f t="shared" si="1"/>
        <v>0.17830981182795699</v>
      </c>
      <c r="Y17" s="195">
        <f t="shared" si="1"/>
        <v>0.168125</v>
      </c>
      <c r="Z17" s="195">
        <f t="shared" si="1"/>
        <v>0</v>
      </c>
      <c r="AA17" s="195">
        <f t="shared" si="1"/>
        <v>0</v>
      </c>
      <c r="AB17" s="195">
        <f t="shared" si="1"/>
        <v>0</v>
      </c>
    </row>
    <row r="18" spans="2:28" x14ac:dyDescent="0.3">
      <c r="C18" s="155" t="s">
        <v>25</v>
      </c>
      <c r="D18" s="118">
        <v>100</v>
      </c>
      <c r="E18" s="177"/>
      <c r="F18" s="148"/>
      <c r="G18" s="2"/>
      <c r="H18" s="148"/>
      <c r="I18" s="2"/>
      <c r="J18" s="148"/>
      <c r="K18" s="2"/>
      <c r="L18" s="148"/>
      <c r="M18" s="148"/>
      <c r="N18" s="148"/>
      <c r="O18" s="148"/>
      <c r="P18" s="2"/>
      <c r="Q18" s="195">
        <f t="shared" si="2"/>
        <v>0</v>
      </c>
      <c r="R18" s="195">
        <f t="shared" si="2"/>
        <v>0</v>
      </c>
      <c r="S18" s="195">
        <f t="shared" si="1"/>
        <v>0</v>
      </c>
      <c r="T18" s="195">
        <f t="shared" si="1"/>
        <v>0</v>
      </c>
      <c r="U18" s="195">
        <f t="shared" si="1"/>
        <v>0</v>
      </c>
      <c r="V18" s="195">
        <f t="shared" si="1"/>
        <v>0</v>
      </c>
      <c r="W18" s="195">
        <f t="shared" si="1"/>
        <v>0</v>
      </c>
      <c r="X18" s="195">
        <f t="shared" si="1"/>
        <v>0</v>
      </c>
      <c r="Y18" s="195">
        <f t="shared" si="1"/>
        <v>0</v>
      </c>
      <c r="Z18" s="195">
        <f t="shared" si="1"/>
        <v>0</v>
      </c>
      <c r="AA18" s="195">
        <f t="shared" si="1"/>
        <v>0</v>
      </c>
      <c r="AB18" s="195">
        <f t="shared" si="1"/>
        <v>0</v>
      </c>
    </row>
    <row r="19" spans="2:28" x14ac:dyDescent="0.3">
      <c r="C19" s="155" t="s">
        <v>26</v>
      </c>
      <c r="D19" s="118">
        <v>100</v>
      </c>
      <c r="E19" s="177"/>
      <c r="F19" s="148"/>
      <c r="G19" s="2"/>
      <c r="H19" s="148"/>
      <c r="I19" s="2"/>
      <c r="J19" s="148"/>
      <c r="K19" s="2"/>
      <c r="L19" s="148"/>
      <c r="M19" s="148"/>
      <c r="N19" s="148"/>
      <c r="O19" s="148"/>
      <c r="P19" s="2"/>
      <c r="Q19" s="195">
        <f t="shared" si="2"/>
        <v>0</v>
      </c>
      <c r="R19" s="195">
        <f t="shared" si="2"/>
        <v>0</v>
      </c>
      <c r="S19" s="195">
        <f t="shared" ref="S19:S26" si="3">G19/(G$1*24*$D19)</f>
        <v>0</v>
      </c>
      <c r="T19" s="195">
        <f t="shared" ref="T19:T26" si="4">H19/(H$1*24*$D19)</f>
        <v>0</v>
      </c>
      <c r="U19" s="195">
        <f t="shared" ref="U19:U26" si="5">I19/(I$1*24*$D19)</f>
        <v>0</v>
      </c>
      <c r="V19" s="195">
        <f t="shared" ref="V19:V26" si="6">J19/(J$1*24*$D19)</f>
        <v>0</v>
      </c>
      <c r="W19" s="195">
        <f t="shared" ref="W19:W26" si="7">K19/(K$1*24*$D19)</f>
        <v>0</v>
      </c>
      <c r="X19" s="195">
        <f t="shared" ref="X19:X26" si="8">L19/(L$1*24*$D19)</f>
        <v>0</v>
      </c>
      <c r="Y19" s="195">
        <f t="shared" ref="Y19:Y26" si="9">M19/(M$1*24*$D19)</f>
        <v>0</v>
      </c>
      <c r="Z19" s="195">
        <f t="shared" ref="Z19:Z26" si="10">N19/(N$1*24*$D19)</f>
        <v>0</v>
      </c>
      <c r="AA19" s="195">
        <f t="shared" ref="AA19:AA26" si="11">O19/(O$1*24*$D19)</f>
        <v>0</v>
      </c>
      <c r="AB19" s="195">
        <f t="shared" ref="AB19:AB26" si="12">P19/(P$1*24*$D19)</f>
        <v>0</v>
      </c>
    </row>
    <row r="20" spans="2:28" x14ac:dyDescent="0.3">
      <c r="C20" s="155" t="s">
        <v>27</v>
      </c>
      <c r="D20" s="118">
        <v>100</v>
      </c>
      <c r="E20" s="177"/>
      <c r="F20" s="148"/>
      <c r="G20" s="2"/>
      <c r="H20" s="148"/>
      <c r="I20" s="2"/>
      <c r="J20" s="148"/>
      <c r="K20" s="2"/>
      <c r="L20" s="148"/>
      <c r="M20" s="148"/>
      <c r="N20" s="148"/>
      <c r="O20" s="148"/>
      <c r="P20" s="2"/>
      <c r="Q20" s="195">
        <f t="shared" si="2"/>
        <v>0</v>
      </c>
      <c r="R20" s="195">
        <f t="shared" si="2"/>
        <v>0</v>
      </c>
      <c r="S20" s="195">
        <f t="shared" si="3"/>
        <v>0</v>
      </c>
      <c r="T20" s="195">
        <f t="shared" si="4"/>
        <v>0</v>
      </c>
      <c r="U20" s="195">
        <f t="shared" si="5"/>
        <v>0</v>
      </c>
      <c r="V20" s="195">
        <f t="shared" si="6"/>
        <v>0</v>
      </c>
      <c r="W20" s="195">
        <f t="shared" si="7"/>
        <v>0</v>
      </c>
      <c r="X20" s="195">
        <f t="shared" si="8"/>
        <v>0</v>
      </c>
      <c r="Y20" s="195">
        <f t="shared" si="9"/>
        <v>0</v>
      </c>
      <c r="Z20" s="195">
        <f t="shared" si="10"/>
        <v>0</v>
      </c>
      <c r="AA20" s="195">
        <f t="shared" si="11"/>
        <v>0</v>
      </c>
      <c r="AB20" s="195">
        <f t="shared" si="12"/>
        <v>0</v>
      </c>
    </row>
    <row r="21" spans="2:28" x14ac:dyDescent="0.3">
      <c r="C21" s="155" t="s">
        <v>28</v>
      </c>
      <c r="D21" s="118">
        <v>100</v>
      </c>
      <c r="E21" s="177"/>
      <c r="F21" s="148"/>
      <c r="G21" s="2"/>
      <c r="H21" s="148"/>
      <c r="I21" s="2"/>
      <c r="J21" s="148"/>
      <c r="K21" s="2"/>
      <c r="L21" s="148"/>
      <c r="M21" s="148"/>
      <c r="N21" s="148"/>
      <c r="O21" s="148"/>
      <c r="P21" s="2"/>
      <c r="Q21" s="195">
        <f t="shared" si="2"/>
        <v>0</v>
      </c>
      <c r="R21" s="195">
        <f t="shared" si="2"/>
        <v>0</v>
      </c>
      <c r="S21" s="195">
        <f t="shared" si="3"/>
        <v>0</v>
      </c>
      <c r="T21" s="195">
        <f t="shared" si="4"/>
        <v>0</v>
      </c>
      <c r="U21" s="195">
        <f t="shared" si="5"/>
        <v>0</v>
      </c>
      <c r="V21" s="195">
        <f t="shared" si="6"/>
        <v>0</v>
      </c>
      <c r="W21" s="195">
        <f t="shared" si="7"/>
        <v>0</v>
      </c>
      <c r="X21" s="195">
        <f t="shared" si="8"/>
        <v>0</v>
      </c>
      <c r="Y21" s="195">
        <f t="shared" si="9"/>
        <v>0</v>
      </c>
      <c r="Z21" s="195">
        <f t="shared" si="10"/>
        <v>0</v>
      </c>
      <c r="AA21" s="195">
        <f t="shared" si="11"/>
        <v>0</v>
      </c>
      <c r="AB21" s="195">
        <f t="shared" si="12"/>
        <v>0</v>
      </c>
    </row>
    <row r="22" spans="2:28" x14ac:dyDescent="0.3">
      <c r="C22" s="155" t="s">
        <v>29</v>
      </c>
      <c r="D22" s="118">
        <v>100</v>
      </c>
      <c r="E22" s="177"/>
      <c r="F22" s="148"/>
      <c r="G22" s="2"/>
      <c r="H22" s="148"/>
      <c r="I22" s="2"/>
      <c r="J22" s="148"/>
      <c r="K22" s="2"/>
      <c r="L22" s="148"/>
      <c r="M22" s="148"/>
      <c r="N22" s="148"/>
      <c r="O22" s="148"/>
      <c r="P22" s="2"/>
      <c r="Q22" s="195">
        <f t="shared" si="2"/>
        <v>0</v>
      </c>
      <c r="R22" s="195">
        <f t="shared" si="2"/>
        <v>0</v>
      </c>
      <c r="S22" s="195">
        <f t="shared" si="3"/>
        <v>0</v>
      </c>
      <c r="T22" s="195">
        <f t="shared" si="4"/>
        <v>0</v>
      </c>
      <c r="U22" s="195">
        <f t="shared" si="5"/>
        <v>0</v>
      </c>
      <c r="V22" s="195">
        <f t="shared" si="6"/>
        <v>0</v>
      </c>
      <c r="W22" s="195">
        <f t="shared" si="7"/>
        <v>0</v>
      </c>
      <c r="X22" s="195">
        <f t="shared" si="8"/>
        <v>0</v>
      </c>
      <c r="Y22" s="195">
        <f t="shared" si="9"/>
        <v>0</v>
      </c>
      <c r="Z22" s="195">
        <f t="shared" si="10"/>
        <v>0</v>
      </c>
      <c r="AA22" s="195">
        <f t="shared" si="11"/>
        <v>0</v>
      </c>
      <c r="AB22" s="195">
        <f t="shared" si="12"/>
        <v>0</v>
      </c>
    </row>
    <row r="23" spans="2:28" x14ac:dyDescent="0.3">
      <c r="C23" s="155" t="s">
        <v>30</v>
      </c>
      <c r="D23" s="118">
        <v>360</v>
      </c>
      <c r="E23" s="177"/>
      <c r="F23" s="148"/>
      <c r="G23" s="2"/>
      <c r="H23" s="148"/>
      <c r="I23" s="2"/>
      <c r="J23" s="148"/>
      <c r="K23" s="2"/>
      <c r="L23" s="148"/>
      <c r="M23" s="148"/>
      <c r="N23" s="148"/>
      <c r="O23" s="148"/>
      <c r="P23" s="2"/>
      <c r="Q23" s="195">
        <f t="shared" si="2"/>
        <v>0</v>
      </c>
      <c r="R23" s="195">
        <f t="shared" si="2"/>
        <v>0</v>
      </c>
      <c r="S23" s="195">
        <f t="shared" si="3"/>
        <v>0</v>
      </c>
      <c r="T23" s="195">
        <f t="shared" si="4"/>
        <v>0</v>
      </c>
      <c r="U23" s="195">
        <f t="shared" si="5"/>
        <v>0</v>
      </c>
      <c r="V23" s="195">
        <f t="shared" si="6"/>
        <v>0</v>
      </c>
      <c r="W23" s="195">
        <f t="shared" si="7"/>
        <v>0</v>
      </c>
      <c r="X23" s="195">
        <f t="shared" si="8"/>
        <v>0</v>
      </c>
      <c r="Y23" s="195">
        <f t="shared" si="9"/>
        <v>0</v>
      </c>
      <c r="Z23" s="195">
        <f t="shared" si="10"/>
        <v>0</v>
      </c>
      <c r="AA23" s="195">
        <f t="shared" si="11"/>
        <v>0</v>
      </c>
      <c r="AB23" s="195">
        <f t="shared" si="12"/>
        <v>0</v>
      </c>
    </row>
    <row r="24" spans="2:28" x14ac:dyDescent="0.3">
      <c r="C24" s="155" t="s">
        <v>111</v>
      </c>
      <c r="D24" s="118">
        <v>100</v>
      </c>
      <c r="E24" s="177"/>
      <c r="F24" s="148"/>
      <c r="G24" s="2"/>
      <c r="H24" s="148"/>
      <c r="I24" s="2"/>
      <c r="J24" s="148"/>
      <c r="K24" s="2"/>
      <c r="L24" s="148"/>
      <c r="M24" s="148"/>
      <c r="N24" s="148"/>
      <c r="O24" s="148"/>
      <c r="P24" s="2"/>
      <c r="Q24" s="195">
        <f t="shared" si="2"/>
        <v>0</v>
      </c>
      <c r="R24" s="195">
        <f t="shared" si="2"/>
        <v>0</v>
      </c>
      <c r="S24" s="195">
        <f t="shared" si="3"/>
        <v>0</v>
      </c>
      <c r="T24" s="195">
        <f t="shared" si="4"/>
        <v>0</v>
      </c>
      <c r="U24" s="195">
        <f t="shared" si="5"/>
        <v>0</v>
      </c>
      <c r="V24" s="195">
        <f t="shared" si="6"/>
        <v>0</v>
      </c>
      <c r="W24" s="195">
        <f t="shared" si="7"/>
        <v>0</v>
      </c>
      <c r="X24" s="195">
        <f t="shared" si="8"/>
        <v>0</v>
      </c>
      <c r="Y24" s="195">
        <f t="shared" si="9"/>
        <v>0</v>
      </c>
      <c r="Z24" s="195">
        <f t="shared" si="10"/>
        <v>0</v>
      </c>
      <c r="AA24" s="195">
        <f t="shared" si="11"/>
        <v>0</v>
      </c>
      <c r="AB24" s="195">
        <f t="shared" si="12"/>
        <v>0</v>
      </c>
    </row>
    <row r="25" spans="2:28" x14ac:dyDescent="0.3">
      <c r="C25" s="155" t="s">
        <v>32</v>
      </c>
      <c r="D25" s="118">
        <v>100</v>
      </c>
      <c r="E25" s="177"/>
      <c r="F25" s="148"/>
      <c r="G25" s="2"/>
      <c r="H25" s="148"/>
      <c r="I25" s="2"/>
      <c r="J25" s="148"/>
      <c r="K25" s="2"/>
      <c r="L25" s="148"/>
      <c r="M25" s="148"/>
      <c r="N25" s="148"/>
      <c r="O25" s="148"/>
      <c r="P25" s="2"/>
      <c r="Q25" s="195">
        <f t="shared" si="2"/>
        <v>0</v>
      </c>
      <c r="R25" s="195">
        <f t="shared" si="2"/>
        <v>0</v>
      </c>
      <c r="S25" s="195">
        <f t="shared" si="3"/>
        <v>0</v>
      </c>
      <c r="T25" s="195">
        <f t="shared" si="4"/>
        <v>0</v>
      </c>
      <c r="U25" s="195">
        <f t="shared" si="5"/>
        <v>0</v>
      </c>
      <c r="V25" s="195">
        <f t="shared" si="6"/>
        <v>0</v>
      </c>
      <c r="W25" s="195">
        <f t="shared" si="7"/>
        <v>0</v>
      </c>
      <c r="X25" s="195">
        <f t="shared" si="8"/>
        <v>0</v>
      </c>
      <c r="Y25" s="195">
        <f t="shared" si="9"/>
        <v>0</v>
      </c>
      <c r="Z25" s="195">
        <f t="shared" si="10"/>
        <v>0</v>
      </c>
      <c r="AA25" s="195">
        <f t="shared" si="11"/>
        <v>0</v>
      </c>
      <c r="AB25" s="195">
        <f t="shared" si="12"/>
        <v>0</v>
      </c>
    </row>
    <row r="26" spans="2:28" ht="15" thickBot="1" x14ac:dyDescent="0.35">
      <c r="C26" s="156" t="s">
        <v>112</v>
      </c>
      <c r="D26" s="119">
        <v>100</v>
      </c>
      <c r="E26" s="179"/>
      <c r="F26" s="149"/>
      <c r="G26" s="149"/>
      <c r="H26" s="149"/>
      <c r="I26" s="149"/>
      <c r="J26" s="146"/>
      <c r="K26" s="149"/>
      <c r="L26" s="149"/>
      <c r="M26" s="149"/>
      <c r="N26" s="149"/>
      <c r="O26" s="149"/>
      <c r="P26" s="146"/>
      <c r="Q26" s="196">
        <f t="shared" si="2"/>
        <v>0</v>
      </c>
      <c r="R26" s="196">
        <f t="shared" si="2"/>
        <v>0</v>
      </c>
      <c r="S26" s="196">
        <f t="shared" si="3"/>
        <v>0</v>
      </c>
      <c r="T26" s="196">
        <f t="shared" si="4"/>
        <v>0</v>
      </c>
      <c r="U26" s="196">
        <f t="shared" si="5"/>
        <v>0</v>
      </c>
      <c r="V26" s="196">
        <f t="shared" si="6"/>
        <v>0</v>
      </c>
      <c r="W26" s="196">
        <f t="shared" si="7"/>
        <v>0</v>
      </c>
      <c r="X26" s="196">
        <f t="shared" si="8"/>
        <v>0</v>
      </c>
      <c r="Y26" s="196">
        <f t="shared" si="9"/>
        <v>0</v>
      </c>
      <c r="Z26" s="196">
        <f t="shared" si="10"/>
        <v>0</v>
      </c>
      <c r="AA26" s="196">
        <f t="shared" si="11"/>
        <v>0</v>
      </c>
      <c r="AB26" s="196">
        <f t="shared" si="12"/>
        <v>0</v>
      </c>
    </row>
    <row r="28" spans="2:28" x14ac:dyDescent="0.3">
      <c r="C28" s="161" t="s">
        <v>648</v>
      </c>
      <c r="R28" s="2">
        <v>1500</v>
      </c>
      <c r="S28" s="2">
        <v>1500</v>
      </c>
      <c r="T28" s="2">
        <v>1500</v>
      </c>
      <c r="U28" s="2">
        <v>1500</v>
      </c>
      <c r="V28" s="2">
        <v>1500</v>
      </c>
    </row>
    <row r="29" spans="2:28" ht="15" thickBot="1" x14ac:dyDescent="0.35">
      <c r="R29" s="2">
        <v>1500</v>
      </c>
      <c r="S29" s="2">
        <v>1500</v>
      </c>
      <c r="T29" s="2">
        <v>1500</v>
      </c>
      <c r="U29" s="2">
        <v>1500</v>
      </c>
      <c r="V29" s="2">
        <v>1500</v>
      </c>
    </row>
    <row r="30" spans="2:28" ht="60.75" customHeight="1" thickBot="1" x14ac:dyDescent="0.35">
      <c r="B30" s="804" t="s">
        <v>1145</v>
      </c>
      <c r="C30" s="805"/>
      <c r="D30" s="188" t="s">
        <v>649</v>
      </c>
      <c r="E30" s="187" t="str">
        <f>'Julho 25'!Z4</f>
        <v>Monitoramento 23/07/2025 (kWh)</v>
      </c>
      <c r="F30" s="187" t="str">
        <f>'Julho 25'!AA4</f>
        <v>Monitoramento 24/07/2025 (kWh)</v>
      </c>
      <c r="G30" s="187" t="str">
        <f>'Julho 25'!AB4</f>
        <v>Monitoramento 25/07/2025 (kWh)</v>
      </c>
      <c r="H30" s="187" t="s">
        <v>650</v>
      </c>
      <c r="I30" s="205" t="str">
        <f>'Julho 25'!AC4</f>
        <v>Monitoramento 26/07/2025 (kWh)</v>
      </c>
      <c r="J30" s="188" t="s">
        <v>651</v>
      </c>
      <c r="K30" s="187" t="str">
        <f>'Março 25'!AI4</f>
        <v>Monitoramento acumulado do mês (kWh)</v>
      </c>
      <c r="L30" s="188" t="s">
        <v>1144</v>
      </c>
      <c r="U30"/>
      <c r="V30"/>
    </row>
    <row r="31" spans="2:28" ht="24.75" customHeight="1" x14ac:dyDescent="0.3">
      <c r="B31" s="806" t="s">
        <v>652</v>
      </c>
      <c r="C31" s="658" t="s">
        <v>7</v>
      </c>
      <c r="D31" s="659">
        <v>12</v>
      </c>
      <c r="E31" s="361">
        <f>'Julho 25'!Z5</f>
        <v>35.5</v>
      </c>
      <c r="F31" s="563">
        <f>'Julho 25'!AA5</f>
        <v>9.5</v>
      </c>
      <c r="G31" s="562">
        <f>'Julho 25'!AB5</f>
        <v>17.100000000000001</v>
      </c>
      <c r="H31" s="505" t="e" vm="1">
        <v>#VALUE!</v>
      </c>
      <c r="I31" s="361">
        <f>'Julho 25'!AC5</f>
        <v>44.9</v>
      </c>
      <c r="J31" s="801">
        <f>SUM(I31:I38)</f>
        <v>1325.5</v>
      </c>
      <c r="K31" s="168">
        <f>'Julho 25'!AI5</f>
        <v>882.4</v>
      </c>
      <c r="L31" s="801">
        <f>SUM(K31:K38)</f>
        <v>31396.200000000004</v>
      </c>
      <c r="N31" s="2"/>
      <c r="O31" s="593">
        <f>I31-G31</f>
        <v>27.799999999999997</v>
      </c>
      <c r="Q31" s="391"/>
      <c r="U31"/>
      <c r="V31"/>
      <c r="W31" s="102"/>
      <c r="X31" s="228">
        <v>31</v>
      </c>
      <c r="Y31" s="102"/>
      <c r="Z31" s="215">
        <v>36.4</v>
      </c>
    </row>
    <row r="32" spans="2:28" ht="24.75" customHeight="1" x14ac:dyDescent="0.3">
      <c r="B32" s="807"/>
      <c r="C32" s="660" t="s">
        <v>8</v>
      </c>
      <c r="D32" s="661">
        <v>67</v>
      </c>
      <c r="E32" s="243">
        <f>'Julho 25'!Z6</f>
        <v>268</v>
      </c>
      <c r="F32" s="564">
        <f>'Julho 25'!AA6</f>
        <v>56.2</v>
      </c>
      <c r="G32" s="243">
        <f>'Julho 25'!AB6</f>
        <v>104.1</v>
      </c>
      <c r="H32" s="375" t="e" vm="1">
        <v>#VALUE!</v>
      </c>
      <c r="I32" s="243">
        <f>'Julho 25'!AC6</f>
        <v>262</v>
      </c>
      <c r="J32" s="802"/>
      <c r="K32" s="169">
        <f>'Julho 25'!AI6</f>
        <v>5930.1000000000013</v>
      </c>
      <c r="L32" s="802"/>
      <c r="N32" s="2"/>
      <c r="O32" s="593">
        <f t="shared" ref="O32:O58" si="13">I32-G32</f>
        <v>157.9</v>
      </c>
      <c r="Q32" s="621">
        <f>320*355</f>
        <v>113600</v>
      </c>
      <c r="U32"/>
      <c r="V32"/>
      <c r="W32" s="102"/>
      <c r="X32" s="215">
        <f>34.2+142.6</f>
        <v>176.8</v>
      </c>
      <c r="Y32" s="102"/>
      <c r="Z32" s="215">
        <f>152.5+34.5</f>
        <v>187</v>
      </c>
    </row>
    <row r="33" spans="2:26" ht="24.75" customHeight="1" x14ac:dyDescent="0.3">
      <c r="B33" s="807"/>
      <c r="C33" s="662" t="s">
        <v>9</v>
      </c>
      <c r="D33" s="663">
        <v>49</v>
      </c>
      <c r="E33" s="252">
        <f>'Julho 25'!Z7</f>
        <v>175.9</v>
      </c>
      <c r="F33" s="565">
        <f>'Julho 25'!AA7</f>
        <v>44</v>
      </c>
      <c r="G33" s="252">
        <f>'Julho 25'!AB7</f>
        <v>79.099999999999994</v>
      </c>
      <c r="H33" s="374" t="e" vm="1">
        <v>#VALUE!</v>
      </c>
      <c r="I33" s="252">
        <f>'Julho 25'!AC7</f>
        <v>212.7</v>
      </c>
      <c r="J33" s="802"/>
      <c r="K33" s="170">
        <f>'Julho 25'!AI7</f>
        <v>4394.1000000000004</v>
      </c>
      <c r="L33" s="802"/>
      <c r="O33" s="593">
        <f t="shared" si="13"/>
        <v>133.6</v>
      </c>
      <c r="Q33" s="621">
        <f>360*355</f>
        <v>127800</v>
      </c>
      <c r="U33"/>
      <c r="V33"/>
      <c r="W33" s="102"/>
      <c r="X33" s="215">
        <v>123.3</v>
      </c>
      <c r="Y33" s="102"/>
      <c r="Z33" s="265">
        <v>107.1</v>
      </c>
    </row>
    <row r="34" spans="2:26" ht="24.75" customHeight="1" x14ac:dyDescent="0.3">
      <c r="B34" s="807"/>
      <c r="C34" s="660" t="s">
        <v>10</v>
      </c>
      <c r="D34" s="661">
        <v>33</v>
      </c>
      <c r="E34" s="243">
        <f>'Julho 25'!Z8</f>
        <v>102.2</v>
      </c>
      <c r="F34" s="564">
        <f>'Julho 25'!AA8</f>
        <v>26.7</v>
      </c>
      <c r="G34" s="243">
        <f>'Julho 25'!AB8</f>
        <v>46.1</v>
      </c>
      <c r="H34" s="375" t="e" vm="1">
        <v>#VALUE!</v>
      </c>
      <c r="I34" s="243">
        <f>'Julho 25'!AC8</f>
        <v>118.6</v>
      </c>
      <c r="J34" s="802"/>
      <c r="K34" s="169">
        <f>'Julho 25'!AI8</f>
        <v>2507.8999999999996</v>
      </c>
      <c r="L34" s="802"/>
      <c r="N34" s="2"/>
      <c r="O34" s="593">
        <f t="shared" si="13"/>
        <v>72.5</v>
      </c>
      <c r="Q34" s="621">
        <f>60*355</f>
        <v>21300</v>
      </c>
      <c r="U34"/>
      <c r="V34"/>
      <c r="W34" s="102"/>
      <c r="X34" s="215">
        <v>84.7</v>
      </c>
      <c r="Y34" s="102"/>
      <c r="Z34" s="265">
        <v>73.599999999999994</v>
      </c>
    </row>
    <row r="35" spans="2:26" ht="24.75" customHeight="1" x14ac:dyDescent="0.3">
      <c r="B35" s="807"/>
      <c r="C35" s="662" t="s">
        <v>11</v>
      </c>
      <c r="D35" s="663">
        <v>12</v>
      </c>
      <c r="E35" s="252">
        <f>'Julho 25'!Z9</f>
        <v>51.9</v>
      </c>
      <c r="F35" s="565">
        <f>'Julho 25'!AA9</f>
        <v>9.4</v>
      </c>
      <c r="G35" s="252">
        <f>'Julho 25'!AB9</f>
        <v>17.2</v>
      </c>
      <c r="H35" s="374" t="e" vm="1">
        <v>#VALUE!</v>
      </c>
      <c r="I35" s="252">
        <f>'Julho 25'!AC9</f>
        <v>47.4</v>
      </c>
      <c r="J35" s="802"/>
      <c r="K35" s="170">
        <f>'Julho 25'!AI9</f>
        <v>1123.7000000000005</v>
      </c>
      <c r="L35" s="802"/>
      <c r="N35" s="2"/>
      <c r="O35" s="593">
        <f t="shared" si="13"/>
        <v>30.2</v>
      </c>
      <c r="Q35" s="391"/>
      <c r="U35"/>
      <c r="V35"/>
      <c r="W35" s="102"/>
      <c r="X35" s="215">
        <v>33.299999999999997</v>
      </c>
      <c r="Y35" s="102"/>
      <c r="Z35" s="215">
        <v>31.1</v>
      </c>
    </row>
    <row r="36" spans="2:26" ht="24.75" customHeight="1" x14ac:dyDescent="0.3">
      <c r="B36" s="807"/>
      <c r="C36" s="664" t="s">
        <v>12</v>
      </c>
      <c r="D36" s="661">
        <v>25</v>
      </c>
      <c r="E36" s="243">
        <f>'Julho 25'!Z10</f>
        <v>45.5</v>
      </c>
      <c r="F36" s="564">
        <f>'Julho 25'!AA10</f>
        <v>9.9</v>
      </c>
      <c r="G36" s="243">
        <f>'Julho 25'!AB10</f>
        <v>18.7</v>
      </c>
      <c r="H36" s="618" t="e" vm="1">
        <v>#VALUE!</v>
      </c>
      <c r="I36" s="243">
        <f>'Julho 25'!AC10</f>
        <v>40.5</v>
      </c>
      <c r="J36" s="802"/>
      <c r="K36" s="169">
        <f>'Julho 25'!AI10</f>
        <v>984.80000000000007</v>
      </c>
      <c r="L36" s="802"/>
      <c r="N36" s="2"/>
      <c r="O36" s="593">
        <f t="shared" si="13"/>
        <v>21.8</v>
      </c>
      <c r="Q36" s="391"/>
      <c r="U36"/>
      <c r="V36"/>
      <c r="W36" s="102"/>
      <c r="X36" s="215">
        <v>70</v>
      </c>
      <c r="Y36" s="102"/>
      <c r="Z36" s="215">
        <v>65.599999999999994</v>
      </c>
    </row>
    <row r="37" spans="2:26" ht="24.75" customHeight="1" x14ac:dyDescent="0.3">
      <c r="B37" s="807"/>
      <c r="C37" s="665" t="s">
        <v>13</v>
      </c>
      <c r="D37" s="663">
        <v>78</v>
      </c>
      <c r="E37" s="252">
        <f>'Julho 25'!Z11</f>
        <v>501.2</v>
      </c>
      <c r="F37" s="565">
        <f>'Julho 25'!AA11</f>
        <v>112.7</v>
      </c>
      <c r="G37" s="252">
        <f>'Julho 25'!AB11</f>
        <v>214.4</v>
      </c>
      <c r="H37" s="374" t="e" vm="1">
        <v>#VALUE!</v>
      </c>
      <c r="I37" s="252">
        <f>'Julho 25'!AC11</f>
        <v>380.4</v>
      </c>
      <c r="J37" s="802"/>
      <c r="K37" s="170">
        <f>'Julho 25'!AI11</f>
        <v>10131.200000000001</v>
      </c>
      <c r="L37" s="802"/>
      <c r="N37" s="2"/>
      <c r="O37" s="593">
        <f t="shared" si="13"/>
        <v>165.99999999999997</v>
      </c>
      <c r="Q37" s="391"/>
      <c r="U37"/>
      <c r="V37"/>
      <c r="W37" s="102"/>
      <c r="X37" s="265">
        <v>135.30000000000001</v>
      </c>
      <c r="Y37" s="102"/>
      <c r="Z37" s="212">
        <v>255.2</v>
      </c>
    </row>
    <row r="38" spans="2:26" ht="24.75" customHeight="1" thickBot="1" x14ac:dyDescent="0.35">
      <c r="B38" s="808"/>
      <c r="C38" s="666" t="s">
        <v>14</v>
      </c>
      <c r="D38" s="667">
        <v>60</v>
      </c>
      <c r="E38" s="244">
        <f>'Julho 25'!Z12</f>
        <v>260</v>
      </c>
      <c r="F38" s="549">
        <f>'Julho 25'!AA12</f>
        <v>55</v>
      </c>
      <c r="G38" s="244">
        <f>'Julho 25'!AB12</f>
        <v>101</v>
      </c>
      <c r="H38" s="375" t="e" vm="1">
        <v>#VALUE!</v>
      </c>
      <c r="I38" s="244">
        <f>'Julho 25'!AC12</f>
        <v>219</v>
      </c>
      <c r="J38" s="803"/>
      <c r="K38" s="171">
        <f>'Julho 25'!AI12</f>
        <v>5442</v>
      </c>
      <c r="L38" s="803"/>
      <c r="N38" s="2"/>
      <c r="O38" s="593">
        <f t="shared" si="13"/>
        <v>118</v>
      </c>
      <c r="Q38" s="391"/>
      <c r="U38"/>
      <c r="V38"/>
      <c r="W38" s="102"/>
      <c r="X38" s="266">
        <v>169.7</v>
      </c>
      <c r="Y38" s="102"/>
      <c r="Z38" s="267">
        <v>179.9</v>
      </c>
    </row>
    <row r="39" spans="2:26" ht="24.75" customHeight="1" x14ac:dyDescent="0.3">
      <c r="B39" s="819" t="s">
        <v>653</v>
      </c>
      <c r="C39" s="668" t="s">
        <v>17</v>
      </c>
      <c r="D39" s="669">
        <v>100</v>
      </c>
      <c r="E39" s="516">
        <f>'Julho 25'!Z13</f>
        <v>415</v>
      </c>
      <c r="F39" s="548">
        <f>'Julho 25'!AA13</f>
        <v>88.1</v>
      </c>
      <c r="G39" s="516">
        <f>'Julho 25'!AB13</f>
        <v>148</v>
      </c>
      <c r="H39" s="376" t="e" vm="1">
        <v>#VALUE!</v>
      </c>
      <c r="I39" s="516">
        <f>'Julho 25'!AC13</f>
        <v>347.1</v>
      </c>
      <c r="J39" s="798">
        <f>SUM(I39:I43)</f>
        <v>1643.8</v>
      </c>
      <c r="K39" s="172">
        <f>'Julho 25'!AI13</f>
        <v>8534</v>
      </c>
      <c r="L39" s="798">
        <f>SUM(K39:K43)</f>
        <v>38486.630000000005</v>
      </c>
      <c r="N39" s="2"/>
      <c r="O39" s="593">
        <f t="shared" si="13"/>
        <v>199.10000000000002</v>
      </c>
      <c r="Q39" s="391"/>
      <c r="U39"/>
      <c r="V39"/>
      <c r="W39" s="102"/>
      <c r="X39" s="215">
        <v>286.10000000000002</v>
      </c>
      <c r="Y39" s="102"/>
      <c r="Z39" s="212">
        <v>284.39999999999998</v>
      </c>
    </row>
    <row r="40" spans="2:26" ht="24.75" customHeight="1" x14ac:dyDescent="0.3">
      <c r="B40" s="820"/>
      <c r="C40" s="664" t="s">
        <v>18</v>
      </c>
      <c r="D40" s="661">
        <v>100</v>
      </c>
      <c r="E40" s="243">
        <f>'Julho 25'!Z14</f>
        <v>438.2</v>
      </c>
      <c r="F40" s="564">
        <f>'Julho 25'!AA14</f>
        <v>95.8</v>
      </c>
      <c r="G40" s="243">
        <f>'Julho 25'!AB14</f>
        <v>182.5</v>
      </c>
      <c r="H40" s="375" t="e" vm="1">
        <v>#VALUE!</v>
      </c>
      <c r="I40" s="243">
        <f>'Julho 25'!AC14</f>
        <v>320.89999999999998</v>
      </c>
      <c r="J40" s="799"/>
      <c r="K40" s="169">
        <f>'Julho 25'!AI14</f>
        <v>8847.7000000000007</v>
      </c>
      <c r="L40" s="799"/>
      <c r="N40" s="2"/>
      <c r="O40" s="593">
        <f t="shared" si="13"/>
        <v>138.39999999999998</v>
      </c>
      <c r="Q40" s="391"/>
      <c r="U40"/>
      <c r="V40"/>
      <c r="W40" s="102"/>
      <c r="X40" s="265">
        <v>175.6</v>
      </c>
      <c r="Y40" s="102"/>
      <c r="Z40" s="212">
        <v>335.7</v>
      </c>
    </row>
    <row r="41" spans="2:26" ht="24.75" customHeight="1" x14ac:dyDescent="0.3">
      <c r="B41" s="820"/>
      <c r="C41" s="670" t="s">
        <v>110</v>
      </c>
      <c r="D41" s="671">
        <v>29</v>
      </c>
      <c r="E41" s="687">
        <f>'Julho 25'!Z15</f>
        <v>97.6</v>
      </c>
      <c r="F41" s="688">
        <f>'Julho 25'!AA15</f>
        <v>21.9</v>
      </c>
      <c r="G41" s="687">
        <f>'Julho 25'!AB15</f>
        <v>26</v>
      </c>
      <c r="H41" s="377" t="e" vm="1">
        <v>#VALUE!</v>
      </c>
      <c r="I41" s="687">
        <f>'Julho 25'!AC15</f>
        <v>60.6</v>
      </c>
      <c r="J41" s="799"/>
      <c r="K41" s="173">
        <f>'Julho 25'!AI15</f>
        <v>1984.0000000000002</v>
      </c>
      <c r="L41" s="799"/>
      <c r="N41" s="241"/>
      <c r="O41" s="593">
        <f t="shared" si="13"/>
        <v>34.6</v>
      </c>
      <c r="Q41" s="391"/>
      <c r="U41"/>
      <c r="V41"/>
      <c r="W41" s="102"/>
      <c r="X41" s="265">
        <v>50.3</v>
      </c>
      <c r="Y41" s="102"/>
      <c r="Z41" s="212">
        <v>96.1</v>
      </c>
    </row>
    <row r="42" spans="2:26" ht="24.75" customHeight="1" x14ac:dyDescent="0.3">
      <c r="B42" s="820"/>
      <c r="C42" s="723" t="s">
        <v>20</v>
      </c>
      <c r="D42" s="724">
        <v>100</v>
      </c>
      <c r="E42" s="564">
        <f>'Julho 25'!Z16</f>
        <v>454.5</v>
      </c>
      <c r="F42" s="564">
        <f>'Julho 25'!AA16</f>
        <v>84.8</v>
      </c>
      <c r="G42" s="243">
        <f>'Julho 25'!AB16</f>
        <v>183.6</v>
      </c>
      <c r="H42" s="380" t="e" vm="1">
        <v>#VALUE!</v>
      </c>
      <c r="I42" s="243">
        <f>'Julho 25'!AC16</f>
        <v>457</v>
      </c>
      <c r="J42" s="799"/>
      <c r="K42" s="375">
        <f>'Julho 25'!AI16</f>
        <v>9402.5000000000018</v>
      </c>
      <c r="L42" s="799"/>
      <c r="N42" s="2"/>
      <c r="O42" s="593">
        <f t="shared" si="13"/>
        <v>273.39999999999998</v>
      </c>
      <c r="Q42" s="391"/>
      <c r="U42"/>
      <c r="V42"/>
      <c r="W42" s="102"/>
      <c r="X42" s="215">
        <v>159.69999999999999</v>
      </c>
      <c r="Y42" s="102"/>
      <c r="Z42" s="212">
        <v>400.7</v>
      </c>
    </row>
    <row r="43" spans="2:26" ht="24.75" customHeight="1" thickBot="1" x14ac:dyDescent="0.35">
      <c r="B43" s="821"/>
      <c r="C43" s="725" t="s">
        <v>1078</v>
      </c>
      <c r="D43" s="726">
        <v>100</v>
      </c>
      <c r="E43" s="687">
        <f>'Julho 25'!Z17</f>
        <v>417.8</v>
      </c>
      <c r="F43" s="688">
        <f>'Julho 25'!AA17</f>
        <v>103.7</v>
      </c>
      <c r="G43" s="727">
        <f>'Julho 25'!AB17</f>
        <v>186.9</v>
      </c>
      <c r="H43" s="728" t="e" vm="1">
        <v>#VALUE!</v>
      </c>
      <c r="I43" s="727">
        <f>'Julho 25'!AC17</f>
        <v>458.2</v>
      </c>
      <c r="J43" s="800"/>
      <c r="K43" s="173">
        <f>'Julho 25'!AI17</f>
        <v>9718.43</v>
      </c>
      <c r="L43" s="800"/>
      <c r="N43" s="2"/>
      <c r="O43" s="593">
        <f t="shared" si="13"/>
        <v>271.29999999999995</v>
      </c>
      <c r="Q43" s="391"/>
      <c r="U43"/>
      <c r="V43"/>
      <c r="W43" s="102"/>
      <c r="X43" s="215"/>
      <c r="Y43" s="102"/>
      <c r="Z43" s="212"/>
    </row>
    <row r="44" spans="2:26" ht="24.75" customHeight="1" x14ac:dyDescent="0.45">
      <c r="B44" s="816" t="s">
        <v>654</v>
      </c>
      <c r="C44" s="672" t="s">
        <v>22</v>
      </c>
      <c r="D44" s="673">
        <v>110</v>
      </c>
      <c r="E44" s="310">
        <f>'Julho 25'!Z18</f>
        <v>471.4</v>
      </c>
      <c r="F44" s="579">
        <f>'Julho 25'!AA18</f>
        <v>183.5</v>
      </c>
      <c r="G44" s="310">
        <f>'Julho 25'!AB18</f>
        <v>205.8</v>
      </c>
      <c r="H44" s="379" t="e" vm="1">
        <v>#VALUE!</v>
      </c>
      <c r="I44" s="310">
        <f>'Julho 25'!AC18</f>
        <v>404.3</v>
      </c>
      <c r="J44" s="811">
        <f>SUM(I44:I56)</f>
        <v>5327.4</v>
      </c>
      <c r="K44" s="174">
        <f>'Julho 25'!AI18</f>
        <v>10442.899999999998</v>
      </c>
      <c r="L44" s="811">
        <f>SUM(K44:K56)</f>
        <v>142114.40000000002</v>
      </c>
      <c r="N44" s="242"/>
      <c r="O44" s="593">
        <f t="shared" si="13"/>
        <v>198.5</v>
      </c>
      <c r="Q44" s="391"/>
      <c r="U44"/>
      <c r="V44"/>
      <c r="W44" s="102"/>
      <c r="X44" s="215">
        <v>212.4</v>
      </c>
      <c r="Y44" s="102"/>
      <c r="Z44" s="212">
        <v>316.39999999999998</v>
      </c>
    </row>
    <row r="45" spans="2:26" ht="24.75" customHeight="1" x14ac:dyDescent="0.3">
      <c r="B45" s="817"/>
      <c r="C45" s="664" t="s">
        <v>23</v>
      </c>
      <c r="D45" s="661">
        <v>110</v>
      </c>
      <c r="E45" s="243">
        <f>'Julho 25'!Z19</f>
        <v>450</v>
      </c>
      <c r="F45" s="564">
        <f>'Julho 25'!AA19</f>
        <v>184.8</v>
      </c>
      <c r="G45" s="243">
        <f>'Julho 25'!AB19</f>
        <v>202.3</v>
      </c>
      <c r="H45" s="380" t="e" vm="1">
        <v>#VALUE!</v>
      </c>
      <c r="I45" s="243">
        <f>'Julho 25'!AC19</f>
        <v>402.7</v>
      </c>
      <c r="J45" s="812"/>
      <c r="K45" s="169">
        <f>'Julho 25'!AI19</f>
        <v>10088.900000000001</v>
      </c>
      <c r="L45" s="812"/>
      <c r="N45" s="242"/>
      <c r="O45" s="593">
        <f t="shared" si="13"/>
        <v>200.39999999999998</v>
      </c>
      <c r="Q45" s="391"/>
      <c r="U45"/>
      <c r="V45"/>
      <c r="W45" s="102"/>
      <c r="X45" s="215">
        <v>229</v>
      </c>
      <c r="Y45" s="102"/>
      <c r="Z45" s="212">
        <v>348.1</v>
      </c>
    </row>
    <row r="46" spans="2:26" ht="24.75" customHeight="1" x14ac:dyDescent="0.3">
      <c r="B46" s="817"/>
      <c r="C46" s="674" t="s">
        <v>24</v>
      </c>
      <c r="D46" s="675">
        <v>80</v>
      </c>
      <c r="E46" s="245">
        <f>'Julho 25'!Z20</f>
        <v>364.3</v>
      </c>
      <c r="F46" s="566">
        <f>'Julho 25'!AA20</f>
        <v>130.5</v>
      </c>
      <c r="G46" s="245">
        <f>'Julho 25'!AB20</f>
        <v>151.9</v>
      </c>
      <c r="H46" s="381" t="e" vm="1">
        <v>#VALUE!</v>
      </c>
      <c r="I46" s="245">
        <f>'Julho 25'!AC20</f>
        <v>292.39999999999998</v>
      </c>
      <c r="J46" s="812"/>
      <c r="K46" s="175">
        <f>'Julho 25'!AI20</f>
        <v>7813.1</v>
      </c>
      <c r="L46" s="812"/>
      <c r="N46" s="2"/>
      <c r="O46" s="593">
        <f t="shared" si="13"/>
        <v>140.49999999999997</v>
      </c>
      <c r="Q46" s="391"/>
      <c r="U46"/>
      <c r="V46"/>
      <c r="W46" s="102"/>
      <c r="X46" s="265">
        <v>145</v>
      </c>
      <c r="Y46" s="102"/>
      <c r="Z46" s="212">
        <v>294.8</v>
      </c>
    </row>
    <row r="47" spans="2:26" ht="24.75" customHeight="1" x14ac:dyDescent="0.3">
      <c r="B47" s="817"/>
      <c r="C47" s="664" t="s">
        <v>25</v>
      </c>
      <c r="D47" s="661">
        <v>100</v>
      </c>
      <c r="E47" s="243">
        <f>'Julho 25'!Z21</f>
        <v>480.4</v>
      </c>
      <c r="F47" s="564">
        <f>'Julho 25'!AA21</f>
        <v>162.1</v>
      </c>
      <c r="G47" s="243">
        <f>'Julho 25'!AB21</f>
        <v>193.2</v>
      </c>
      <c r="H47" s="380" t="e" vm="1">
        <v>#VALUE!</v>
      </c>
      <c r="I47" s="243">
        <f>'Julho 25'!AC21</f>
        <v>354.8</v>
      </c>
      <c r="J47" s="812"/>
      <c r="K47" s="169">
        <f>'Julho 25'!AI21</f>
        <v>10135.700000000001</v>
      </c>
      <c r="L47" s="812"/>
      <c r="N47" s="2"/>
      <c r="O47" s="593">
        <f t="shared" si="13"/>
        <v>161.60000000000002</v>
      </c>
      <c r="Q47" s="391"/>
      <c r="U47"/>
      <c r="V47"/>
      <c r="W47" s="102"/>
      <c r="X47" s="215">
        <v>253.8</v>
      </c>
      <c r="Y47" s="102"/>
      <c r="Z47" s="212">
        <v>383</v>
      </c>
    </row>
    <row r="48" spans="2:26" ht="24.75" customHeight="1" x14ac:dyDescent="0.3">
      <c r="B48" s="817"/>
      <c r="C48" s="674" t="s">
        <v>26</v>
      </c>
      <c r="D48" s="675">
        <v>100</v>
      </c>
      <c r="E48" s="245">
        <f>'Julho 25'!Z22</f>
        <v>330.6</v>
      </c>
      <c r="F48" s="566">
        <f>'Julho 25'!AA22</f>
        <v>115.2</v>
      </c>
      <c r="G48" s="245">
        <f>'Julho 25'!AB22</f>
        <v>140.69999999999999</v>
      </c>
      <c r="H48" s="381" t="e" vm="1">
        <v>#VALUE!</v>
      </c>
      <c r="I48" s="245">
        <f>'Julho 25'!AC22</f>
        <v>251.4</v>
      </c>
      <c r="J48" s="812"/>
      <c r="K48" s="175">
        <f>'Julho 25'!AI22</f>
        <v>7108.199999999998</v>
      </c>
      <c r="L48" s="812"/>
      <c r="N48" s="2"/>
      <c r="O48" s="593">
        <f t="shared" si="13"/>
        <v>110.70000000000002</v>
      </c>
      <c r="Q48" s="391"/>
      <c r="U48"/>
      <c r="V48"/>
      <c r="W48" s="102"/>
      <c r="X48" s="215">
        <v>204.3</v>
      </c>
      <c r="Y48" s="102"/>
      <c r="Z48" s="212">
        <v>310.3</v>
      </c>
    </row>
    <row r="49" spans="2:26" ht="24.75" customHeight="1" x14ac:dyDescent="0.3">
      <c r="B49" s="817"/>
      <c r="C49" s="664" t="s">
        <v>28</v>
      </c>
      <c r="D49" s="661">
        <v>120</v>
      </c>
      <c r="E49" s="243">
        <f>'Julho 25'!Z23</f>
        <v>444.9</v>
      </c>
      <c r="F49" s="564">
        <f>'Julho 25'!AA23</f>
        <v>89.8</v>
      </c>
      <c r="G49" s="686">
        <f>'Julho 25'!AB23</f>
        <v>217.9</v>
      </c>
      <c r="H49" s="380" t="e" vm="1">
        <v>#VALUE!</v>
      </c>
      <c r="I49" s="243">
        <f>'Julho 25'!AC23</f>
        <v>303.39999999999998</v>
      </c>
      <c r="J49" s="812"/>
      <c r="K49" s="169">
        <f>'Julho 25'!AI23</f>
        <v>9468.0999999999967</v>
      </c>
      <c r="L49" s="812"/>
      <c r="N49" s="242"/>
      <c r="O49" s="593">
        <f t="shared" si="13"/>
        <v>85.499999999999972</v>
      </c>
      <c r="Q49" s="391"/>
      <c r="U49"/>
      <c r="V49"/>
      <c r="W49" s="102"/>
      <c r="X49" s="215">
        <v>156.6</v>
      </c>
      <c r="Y49" s="102"/>
      <c r="Z49" s="212">
        <v>362.3</v>
      </c>
    </row>
    <row r="50" spans="2:26" ht="24.75" customHeight="1" x14ac:dyDescent="0.3">
      <c r="B50" s="817"/>
      <c r="C50" s="674" t="s">
        <v>29</v>
      </c>
      <c r="D50" s="675">
        <v>100</v>
      </c>
      <c r="E50" s="245">
        <f>'Julho 25'!Z24</f>
        <v>403.4</v>
      </c>
      <c r="F50" s="566">
        <f>'Julho 25'!AA24</f>
        <v>80.400000000000006</v>
      </c>
      <c r="G50" s="245">
        <f>'Julho 25'!AB24</f>
        <v>197.1</v>
      </c>
      <c r="H50" s="381" t="e" vm="1">
        <v>#VALUE!</v>
      </c>
      <c r="I50" s="245">
        <f>'Julho 25'!AC24</f>
        <v>274.5</v>
      </c>
      <c r="J50" s="812"/>
      <c r="K50" s="175">
        <f>'Julho 25'!AI24</f>
        <v>8675.5999999999985</v>
      </c>
      <c r="L50" s="812"/>
      <c r="N50" s="2" t="s">
        <v>1038</v>
      </c>
      <c r="O50" s="593">
        <f t="shared" si="13"/>
        <v>77.400000000000006</v>
      </c>
      <c r="Q50" s="391"/>
      <c r="U50"/>
      <c r="V50"/>
      <c r="W50" s="102"/>
      <c r="X50" s="215">
        <v>184.42</v>
      </c>
      <c r="Y50" s="102"/>
      <c r="Z50" s="230">
        <v>312.08999999999997</v>
      </c>
    </row>
    <row r="51" spans="2:26" ht="24.75" customHeight="1" x14ac:dyDescent="0.3">
      <c r="B51" s="817"/>
      <c r="C51" s="664" t="s">
        <v>30</v>
      </c>
      <c r="D51" s="661">
        <v>385</v>
      </c>
      <c r="E51" s="243">
        <f>'Julho 25'!Z25</f>
        <v>1579</v>
      </c>
      <c r="F51" s="564">
        <f>'Julho 25'!AA25</f>
        <v>314.7</v>
      </c>
      <c r="G51" s="243">
        <f>'Julho 25'!AB25</f>
        <v>770</v>
      </c>
      <c r="H51" s="380" t="e" vm="1">
        <v>#VALUE!</v>
      </c>
      <c r="I51" s="243">
        <f>'Julho 25'!AC25</f>
        <v>1159</v>
      </c>
      <c r="J51" s="812"/>
      <c r="K51" s="169">
        <f>'Julho 25'!AI25</f>
        <v>33989.1</v>
      </c>
      <c r="L51" s="812"/>
      <c r="N51" s="2"/>
      <c r="O51" s="593">
        <f t="shared" si="13"/>
        <v>389</v>
      </c>
      <c r="Q51" s="391"/>
      <c r="U51"/>
      <c r="V51"/>
      <c r="W51" s="102"/>
      <c r="X51" s="215">
        <v>219.6</v>
      </c>
      <c r="Y51" s="102"/>
      <c r="Z51" s="207">
        <v>366.4</v>
      </c>
    </row>
    <row r="52" spans="2:26" ht="24.75" customHeight="1" x14ac:dyDescent="0.3">
      <c r="B52" s="817"/>
      <c r="C52" s="674" t="s">
        <v>111</v>
      </c>
      <c r="D52" s="675">
        <v>120</v>
      </c>
      <c r="E52" s="245">
        <f>'Julho 25'!Z26</f>
        <v>486.6</v>
      </c>
      <c r="F52" s="566">
        <f>'Julho 25'!AA26</f>
        <v>108</v>
      </c>
      <c r="G52" s="245">
        <f>'Julho 25'!AB26</f>
        <v>213.9</v>
      </c>
      <c r="H52" s="381" t="e" vm="1">
        <v>#VALUE!</v>
      </c>
      <c r="I52" s="245">
        <f>'Julho 25'!AC26</f>
        <v>432.3</v>
      </c>
      <c r="J52" s="812"/>
      <c r="K52" s="175">
        <f>'Julho 25'!AI26</f>
        <v>10507.899999999998</v>
      </c>
      <c r="L52" s="812"/>
      <c r="N52" s="2"/>
      <c r="O52" s="593">
        <f t="shared" si="13"/>
        <v>218.4</v>
      </c>
      <c r="Q52" s="391"/>
      <c r="U52"/>
      <c r="V52"/>
      <c r="W52" s="102"/>
      <c r="X52" s="215">
        <v>599.70000000000005</v>
      </c>
      <c r="Y52" s="102"/>
      <c r="Z52" s="230">
        <v>1003.5</v>
      </c>
    </row>
    <row r="53" spans="2:26" ht="24.75" customHeight="1" x14ac:dyDescent="0.3">
      <c r="B53" s="817"/>
      <c r="C53" s="664" t="s">
        <v>32</v>
      </c>
      <c r="D53" s="661">
        <v>110</v>
      </c>
      <c r="E53" s="243">
        <f>'Julho 25'!Z27</f>
        <v>429.3</v>
      </c>
      <c r="F53" s="564">
        <f>'Julho 25'!AA27</f>
        <v>92.9</v>
      </c>
      <c r="G53" s="243">
        <f>'Julho 25'!AB27</f>
        <v>289</v>
      </c>
      <c r="H53" s="375" t="e" vm="1">
        <v>#VALUE!</v>
      </c>
      <c r="I53" s="243">
        <f>'Julho 25'!AC27</f>
        <v>391.2</v>
      </c>
      <c r="J53" s="812"/>
      <c r="K53" s="169">
        <f>'Julho 25'!AI27</f>
        <v>9639.7999999999975</v>
      </c>
      <c r="L53" s="812"/>
      <c r="N53" s="241"/>
      <c r="O53" s="593">
        <f>I53-G53</f>
        <v>102.19999999999999</v>
      </c>
      <c r="Q53" s="391"/>
      <c r="U53"/>
      <c r="V53"/>
      <c r="W53" s="102"/>
      <c r="X53" s="215">
        <v>188.5</v>
      </c>
      <c r="Y53" s="102"/>
      <c r="Z53" s="212">
        <v>388</v>
      </c>
    </row>
    <row r="54" spans="2:26" ht="24.75" customHeight="1" x14ac:dyDescent="0.3">
      <c r="B54" s="817"/>
      <c r="C54" s="674" t="s">
        <v>288</v>
      </c>
      <c r="D54" s="675">
        <v>100</v>
      </c>
      <c r="E54" s="245">
        <f>'Julho 25'!Z28</f>
        <v>379</v>
      </c>
      <c r="F54" s="566">
        <f>'Julho 25'!AA28</f>
        <v>72.3</v>
      </c>
      <c r="G54" s="245">
        <f>'Julho 25'!AB28</f>
        <v>273.8</v>
      </c>
      <c r="H54" s="566" t="e" vm="1">
        <v>#VALUE!</v>
      </c>
      <c r="I54" s="245">
        <f>'Julho 25'!AC28</f>
        <v>376.4</v>
      </c>
      <c r="J54" s="812"/>
      <c r="K54" s="175">
        <f>'Julho 25'!AI28</f>
        <v>8532.7000000000007</v>
      </c>
      <c r="L54" s="812"/>
      <c r="N54" s="241"/>
      <c r="O54" s="593">
        <f t="shared" si="13"/>
        <v>102.59999999999997</v>
      </c>
      <c r="Q54" s="391"/>
      <c r="U54"/>
      <c r="V54"/>
      <c r="W54" s="102"/>
      <c r="X54" s="215">
        <v>221.8</v>
      </c>
      <c r="Y54" s="102"/>
      <c r="Z54" s="207">
        <v>437</v>
      </c>
    </row>
    <row r="55" spans="2:26" ht="24.75" customHeight="1" thickBot="1" x14ac:dyDescent="0.35">
      <c r="B55" s="817"/>
      <c r="C55" s="664" t="s">
        <v>112</v>
      </c>
      <c r="D55" s="661">
        <v>100</v>
      </c>
      <c r="E55" s="243">
        <f>'Julho 25'!Z29</f>
        <v>390</v>
      </c>
      <c r="F55" s="564">
        <f>'Julho 25'!AA29</f>
        <v>75.7</v>
      </c>
      <c r="G55" s="243">
        <f>'Julho 25'!AB29</f>
        <v>275.89999999999998</v>
      </c>
      <c r="H55" s="564" t="e" vm="1">
        <v>#VALUE!</v>
      </c>
      <c r="I55" s="243">
        <f>'Julho 25'!AC29</f>
        <v>341</v>
      </c>
      <c r="J55" s="812"/>
      <c r="K55" s="531">
        <f>'Julho 25'!AI29</f>
        <v>7767.7000000000007</v>
      </c>
      <c r="L55" s="812"/>
      <c r="N55" s="242"/>
      <c r="O55" s="593">
        <f t="shared" si="13"/>
        <v>65.100000000000023</v>
      </c>
      <c r="Q55" s="391"/>
      <c r="U55"/>
      <c r="V55"/>
      <c r="W55" s="102"/>
      <c r="X55" s="216">
        <v>159.9</v>
      </c>
      <c r="Y55" s="102"/>
      <c r="Z55" s="230">
        <v>340</v>
      </c>
    </row>
    <row r="56" spans="2:26" ht="24.75" customHeight="1" thickBot="1" x14ac:dyDescent="0.35">
      <c r="B56" s="818"/>
      <c r="C56" s="676" t="s">
        <v>289</v>
      </c>
      <c r="D56" s="675">
        <v>100</v>
      </c>
      <c r="E56" s="245">
        <f>'Julho 25'!Z30</f>
        <v>389</v>
      </c>
      <c r="F56" s="566">
        <f>'Julho 25'!AA30</f>
        <v>76</v>
      </c>
      <c r="G56" s="245">
        <f>'Julho 25'!AB30</f>
        <v>277</v>
      </c>
      <c r="H56" s="591" t="e" vm="1">
        <v>#VALUE!</v>
      </c>
      <c r="I56" s="245">
        <f>'Julho 25'!AC30</f>
        <v>344</v>
      </c>
      <c r="J56" s="812"/>
      <c r="K56" s="307">
        <f>'Julho 25'!AI30</f>
        <v>7944.7000000000007</v>
      </c>
      <c r="L56" s="813"/>
      <c r="N56" s="242"/>
      <c r="O56" s="593">
        <f>I56-G56</f>
        <v>67</v>
      </c>
      <c r="Q56" s="391"/>
      <c r="U56"/>
      <c r="V56"/>
      <c r="W56" s="102"/>
      <c r="X56" s="293"/>
      <c r="Y56" s="102"/>
      <c r="Z56" s="294"/>
    </row>
    <row r="57" spans="2:26" ht="24.75" customHeight="1" x14ac:dyDescent="0.3">
      <c r="B57" s="809" t="s">
        <v>655</v>
      </c>
      <c r="C57" s="677" t="s">
        <v>291</v>
      </c>
      <c r="D57" s="678">
        <v>100</v>
      </c>
      <c r="E57" s="741">
        <f>'Julho 25'!Z31</f>
        <v>375.8</v>
      </c>
      <c r="F57" s="567">
        <f>'Julho 25'!AA31</f>
        <v>83.6</v>
      </c>
      <c r="G57" s="741">
        <f>'Julho 25'!AB31</f>
        <v>216</v>
      </c>
      <c r="H57" s="567" t="e" vm="1">
        <v>#VALUE!</v>
      </c>
      <c r="I57" s="741">
        <f>'Julho 25'!AC31</f>
        <v>343.6</v>
      </c>
      <c r="J57" s="814">
        <f>SUM(I57:I58)</f>
        <v>719.40000000000009</v>
      </c>
      <c r="K57" s="295">
        <f>'Julho 25'!AI31</f>
        <v>6455.1000000000013</v>
      </c>
      <c r="L57" s="814">
        <f>SUM(K57:K58)</f>
        <v>14294.660000000003</v>
      </c>
      <c r="N57" s="242"/>
      <c r="O57" s="593">
        <f t="shared" si="13"/>
        <v>127.60000000000002</v>
      </c>
      <c r="Q57" s="391"/>
      <c r="U57"/>
      <c r="V57"/>
      <c r="W57" s="102"/>
      <c r="X57" s="293"/>
      <c r="Y57" s="102"/>
      <c r="Z57" s="294"/>
    </row>
    <row r="58" spans="2:26" ht="24.75" customHeight="1" thickBot="1" x14ac:dyDescent="0.35">
      <c r="B58" s="810"/>
      <c r="C58" s="679" t="s">
        <v>563</v>
      </c>
      <c r="D58" s="680">
        <v>100</v>
      </c>
      <c r="E58" s="632">
        <f>'Julho 25'!Z32</f>
        <v>347.6</v>
      </c>
      <c r="F58" s="720">
        <f>'Julho 25'!AA32</f>
        <v>74.599999999999994</v>
      </c>
      <c r="G58" s="632">
        <f>'Julho 25'!AB32</f>
        <v>193.3</v>
      </c>
      <c r="H58" s="606" t="e" vm="1">
        <v>#VALUE!</v>
      </c>
      <c r="I58" s="632">
        <f>'Julho 25'!AC32</f>
        <v>375.8</v>
      </c>
      <c r="J58" s="815"/>
      <c r="K58" s="296">
        <f>'Julho 25'!AI32</f>
        <v>7839.5600000000013</v>
      </c>
      <c r="L58" s="815"/>
      <c r="N58" s="242"/>
      <c r="O58" s="593">
        <f t="shared" si="13"/>
        <v>182.5</v>
      </c>
      <c r="U58"/>
      <c r="V58"/>
      <c r="W58" s="102"/>
      <c r="X58" s="293"/>
      <c r="Y58" s="102"/>
      <c r="Z58" s="294"/>
    </row>
    <row r="59" spans="2:26" ht="33.75" customHeight="1" thickBot="1" x14ac:dyDescent="0.35">
      <c r="C59" s="298" t="s">
        <v>113</v>
      </c>
      <c r="D59" s="185">
        <f>SUM(D31:D58)</f>
        <v>2600</v>
      </c>
      <c r="E59" s="186">
        <f>SUM(E31:E58)</f>
        <v>10584.599999999999</v>
      </c>
      <c r="F59" s="186">
        <f>SUM(F31:F58)</f>
        <v>2561.7999999999997</v>
      </c>
      <c r="G59" s="186">
        <f>SUM(G31:G58)</f>
        <v>5142.5</v>
      </c>
      <c r="H59" s="297"/>
      <c r="I59" s="299" t="s">
        <v>113</v>
      </c>
      <c r="J59" s="186">
        <f>SUM(J31:J58)</f>
        <v>9016.1</v>
      </c>
      <c r="K59" s="300" t="s">
        <v>113</v>
      </c>
      <c r="L59" s="185">
        <f>SUM(L31:L58)</f>
        <v>226291.89000000004</v>
      </c>
      <c r="U59"/>
      <c r="V59"/>
    </row>
    <row r="60" spans="2:26" ht="14.25" customHeight="1" thickBot="1" x14ac:dyDescent="0.35">
      <c r="C60" s="181"/>
      <c r="D60" s="182"/>
      <c r="E60" s="183"/>
      <c r="F60" s="183"/>
      <c r="G60" s="183"/>
      <c r="H60" s="183"/>
      <c r="I60" s="183"/>
      <c r="J60" s="183"/>
      <c r="K60" s="184"/>
      <c r="L60" s="183"/>
      <c r="O60" s="31" t="s">
        <v>656</v>
      </c>
      <c r="U60"/>
      <c r="V60"/>
    </row>
    <row r="61" spans="2:26" ht="27" customHeight="1" thickBot="1" x14ac:dyDescent="0.35">
      <c r="K61" s="185" t="s">
        <v>657</v>
      </c>
      <c r="L61" s="186">
        <v>255520</v>
      </c>
      <c r="O61" s="681">
        <f>(L61/31)</f>
        <v>8242.5806451612898</v>
      </c>
      <c r="P61" s="681">
        <f>O61*25</f>
        <v>206064.51612903224</v>
      </c>
      <c r="Q61" s="593">
        <f>L59-P61</f>
        <v>20227.3738709678</v>
      </c>
      <c r="V61"/>
    </row>
    <row r="62" spans="2:26" ht="27" customHeight="1" thickBot="1" x14ac:dyDescent="1.7">
      <c r="E62" s="682" t="s">
        <v>658</v>
      </c>
      <c r="H62" s="683"/>
      <c r="K62" s="185" t="s">
        <v>659</v>
      </c>
      <c r="L62" s="222">
        <f>L59/L61</f>
        <v>0.88561322010018806</v>
      </c>
    </row>
    <row r="63" spans="2:26" ht="33" customHeight="1" x14ac:dyDescent="1.65">
      <c r="H63" s="683"/>
      <c r="U63">
        <v>289</v>
      </c>
    </row>
    <row r="64" spans="2:26" x14ac:dyDescent="0.3">
      <c r="U64">
        <v>312</v>
      </c>
    </row>
    <row r="65" spans="8:17" x14ac:dyDescent="0.3">
      <c r="M65" s="634"/>
    </row>
    <row r="68" spans="8:17" x14ac:dyDescent="0.3">
      <c r="P68" s="31">
        <v>270</v>
      </c>
      <c r="Q68" s="2">
        <f>270*12</f>
        <v>3240</v>
      </c>
    </row>
    <row r="69" spans="8:17" x14ac:dyDescent="0.3">
      <c r="H69" s="31" t="e" vm="2">
        <v>#VALUE!</v>
      </c>
      <c r="P69" s="31">
        <v>1800</v>
      </c>
      <c r="Q69" s="2">
        <f>P69*6</f>
        <v>10800</v>
      </c>
    </row>
    <row r="70" spans="8:17" x14ac:dyDescent="0.3">
      <c r="Q70" s="2">
        <f>SUM(Q68:Q69)/24</f>
        <v>585</v>
      </c>
    </row>
    <row r="74" spans="8:17" x14ac:dyDescent="0.3">
      <c r="M74" s="791" t="s">
        <v>660</v>
      </c>
      <c r="N74" s="31" t="s">
        <v>661</v>
      </c>
      <c r="O74" s="31" t="s">
        <v>662</v>
      </c>
    </row>
    <row r="75" spans="8:17" x14ac:dyDescent="0.3">
      <c r="J75" s="31" t="s">
        <v>656</v>
      </c>
      <c r="M75" s="791"/>
      <c r="N75" s="31" t="s">
        <v>663</v>
      </c>
      <c r="O75" s="31" t="s">
        <v>664</v>
      </c>
    </row>
    <row r="76" spans="8:17" x14ac:dyDescent="0.3">
      <c r="M76" s="791"/>
      <c r="N76" s="31" t="s">
        <v>665</v>
      </c>
      <c r="O76" s="31" t="s">
        <v>666</v>
      </c>
    </row>
  </sheetData>
  <mergeCells count="14">
    <mergeCell ref="L39:L43"/>
    <mergeCell ref="M74:M76"/>
    <mergeCell ref="L31:L38"/>
    <mergeCell ref="B30:C30"/>
    <mergeCell ref="B31:B38"/>
    <mergeCell ref="J31:J38"/>
    <mergeCell ref="B57:B58"/>
    <mergeCell ref="J44:J56"/>
    <mergeCell ref="L44:L56"/>
    <mergeCell ref="L57:L58"/>
    <mergeCell ref="J57:J58"/>
    <mergeCell ref="B44:B56"/>
    <mergeCell ref="B39:B43"/>
    <mergeCell ref="J39:J43"/>
  </mergeCells>
  <phoneticPr fontId="3" type="noConversion"/>
  <conditionalFormatting sqref="Q3:AB26">
    <cfRule type="cellIs" dxfId="0" priority="1" operator="equal">
      <formula>0</formula>
    </cfRule>
  </conditionalFormatting>
  <pageMargins left="7.0000000000000007E-2" right="0" top="0.3" bottom="0.32" header="0.31496062000000002" footer="0.31496062000000002"/>
  <pageSetup paperSize="9" scale="34" orientation="landscape" r:id="rId1"/>
  <ignoredErrors>
    <ignoredError sqref="K31 K39:K58" formula="1"/>
  </ignoredErrors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C8852-354C-4322-BFCE-4C322C1FFC2E}">
  <dimension ref="B5:AI522"/>
  <sheetViews>
    <sheetView showGridLines="0" tabSelected="1" topLeftCell="A15" zoomScale="115" zoomScaleNormal="115" workbookViewId="0">
      <selection activeCell="K25" sqref="K25"/>
    </sheetView>
  </sheetViews>
  <sheetFormatPr defaultRowHeight="14.4" x14ac:dyDescent="0.3"/>
  <cols>
    <col min="1" max="1" width="4.33203125" customWidth="1"/>
    <col min="2" max="2" width="19.6640625" customWidth="1"/>
    <col min="3" max="3" width="19.44140625" customWidth="1"/>
    <col min="4" max="7" width="10.33203125" customWidth="1"/>
    <col min="8" max="8" width="9.6640625" customWidth="1"/>
    <col min="9" max="9" width="9.88671875" customWidth="1"/>
    <col min="10" max="10" width="11.5546875" customWidth="1"/>
    <col min="11" max="11" width="14" customWidth="1"/>
    <col min="12" max="12" width="9.88671875" customWidth="1"/>
    <col min="13" max="13" width="11.88671875" customWidth="1"/>
    <col min="14" max="14" width="12.33203125" customWidth="1"/>
    <col min="15" max="15" width="11.33203125" customWidth="1"/>
    <col min="16" max="16" width="9.88671875" customWidth="1"/>
    <col min="17" max="17" width="14.33203125" customWidth="1"/>
    <col min="18" max="18" width="12.88671875" customWidth="1"/>
    <col min="19" max="28" width="9.88671875" customWidth="1"/>
    <col min="29" max="29" width="10.77734375" customWidth="1"/>
    <col min="30" max="33" width="10" customWidth="1"/>
    <col min="34" max="34" width="10.6640625" customWidth="1"/>
    <col min="35" max="35" width="12.109375" customWidth="1"/>
  </cols>
  <sheetData>
    <row r="5" spans="2:35" ht="23.4" customHeight="1" x14ac:dyDescent="0.3">
      <c r="C5" s="424" t="s">
        <v>358</v>
      </c>
      <c r="D5" s="425">
        <v>45839</v>
      </c>
      <c r="E5" s="425">
        <v>45810</v>
      </c>
      <c r="F5" s="425">
        <v>45811</v>
      </c>
      <c r="G5" s="425">
        <v>45812</v>
      </c>
      <c r="H5" s="425">
        <v>45813</v>
      </c>
      <c r="I5" s="425">
        <v>45814</v>
      </c>
      <c r="J5" s="425">
        <v>45815</v>
      </c>
      <c r="K5" s="425">
        <v>45816</v>
      </c>
      <c r="L5" s="425">
        <v>45817</v>
      </c>
      <c r="M5" s="425">
        <v>45818</v>
      </c>
      <c r="N5" s="425">
        <v>45819</v>
      </c>
      <c r="O5" s="425">
        <v>45820</v>
      </c>
      <c r="P5" s="425">
        <v>45821</v>
      </c>
      <c r="Q5" s="425">
        <v>45822</v>
      </c>
      <c r="R5" s="425">
        <v>45823</v>
      </c>
      <c r="S5" s="425">
        <v>45824</v>
      </c>
      <c r="T5" s="425">
        <v>45825</v>
      </c>
      <c r="U5" s="425">
        <v>45826</v>
      </c>
      <c r="V5" s="425">
        <v>45827</v>
      </c>
      <c r="W5" s="425">
        <v>45828</v>
      </c>
      <c r="X5" s="425">
        <v>45829</v>
      </c>
      <c r="Y5" s="425">
        <v>45830</v>
      </c>
      <c r="Z5" s="425">
        <v>45831</v>
      </c>
      <c r="AA5" s="425">
        <v>45832</v>
      </c>
      <c r="AB5" s="425">
        <v>45833</v>
      </c>
      <c r="AC5" s="425">
        <v>45834</v>
      </c>
      <c r="AD5" s="425">
        <v>45835</v>
      </c>
      <c r="AE5" s="425">
        <v>45836</v>
      </c>
      <c r="AF5" s="425">
        <v>45837</v>
      </c>
      <c r="AG5" s="425">
        <v>45838</v>
      </c>
      <c r="AH5" s="425">
        <v>45808</v>
      </c>
      <c r="AI5" s="426" t="s">
        <v>667</v>
      </c>
    </row>
    <row r="6" spans="2:35" ht="16.95" customHeight="1" x14ac:dyDescent="0.3">
      <c r="B6" s="823" t="s">
        <v>668</v>
      </c>
      <c r="C6" s="139" t="s">
        <v>669</v>
      </c>
      <c r="D6" s="472">
        <f>F436-F435</f>
        <v>0</v>
      </c>
      <c r="E6" s="472">
        <f>F497-F498</f>
        <v>0</v>
      </c>
      <c r="F6" s="472">
        <f>F499-F498</f>
        <v>602</v>
      </c>
      <c r="G6" s="472">
        <f>F500-F499</f>
        <v>0</v>
      </c>
      <c r="H6" s="472">
        <f>F501-F500</f>
        <v>172</v>
      </c>
      <c r="I6" s="472">
        <f>F502-F501</f>
        <v>0</v>
      </c>
      <c r="J6" s="472">
        <f>F503-F502</f>
        <v>0</v>
      </c>
      <c r="K6" s="472">
        <f>F504-F503</f>
        <v>0</v>
      </c>
      <c r="L6" s="472">
        <f>F505-F504</f>
        <v>0</v>
      </c>
      <c r="M6" s="472">
        <f>F506-F505</f>
        <v>0</v>
      </c>
      <c r="N6" s="472">
        <f>F507-F506</f>
        <v>0</v>
      </c>
      <c r="O6" s="472">
        <f>F508-F507</f>
        <v>0</v>
      </c>
      <c r="P6" s="472">
        <f>F509-F508</f>
        <v>0</v>
      </c>
      <c r="Q6" s="472">
        <f>F510-F509</f>
        <v>0</v>
      </c>
      <c r="R6" s="472">
        <f>F511-F510</f>
        <v>0</v>
      </c>
      <c r="S6" s="472">
        <f>F512-F511</f>
        <v>0</v>
      </c>
      <c r="T6" s="472">
        <f>F513-F512</f>
        <v>0</v>
      </c>
      <c r="U6" s="472">
        <f>F514-F513</f>
        <v>0</v>
      </c>
      <c r="V6" s="472">
        <f>F515-F514</f>
        <v>184</v>
      </c>
      <c r="W6" s="472">
        <f>F516-F515</f>
        <v>484</v>
      </c>
      <c r="X6" s="472">
        <f>F517-F516</f>
        <v>766</v>
      </c>
      <c r="Y6" s="472">
        <f>F518-F517</f>
        <v>0</v>
      </c>
      <c r="Z6" s="472">
        <f>F519-F518</f>
        <v>375</v>
      </c>
      <c r="AA6" s="472">
        <f>F520-F519</f>
        <v>0</v>
      </c>
      <c r="AB6" s="472">
        <f>F521-F520</f>
        <v>60</v>
      </c>
      <c r="AC6" s="472">
        <f>F522-F521</f>
        <v>130</v>
      </c>
      <c r="AD6" s="472"/>
      <c r="AE6" s="472"/>
      <c r="AF6" s="472"/>
      <c r="AG6" s="472">
        <f>F496-F495</f>
        <v>0</v>
      </c>
      <c r="AH6" s="472"/>
      <c r="AI6" s="473">
        <f>SUM(D6:AH6)</f>
        <v>2773</v>
      </c>
    </row>
    <row r="7" spans="2:35" ht="18" customHeight="1" x14ac:dyDescent="0.3">
      <c r="B7" s="823"/>
      <c r="C7" s="139" t="s">
        <v>670</v>
      </c>
      <c r="D7" s="472">
        <f>P205-P204</f>
        <v>0</v>
      </c>
      <c r="E7" s="472">
        <f>Q205-Q204</f>
        <v>0</v>
      </c>
      <c r="F7" s="472">
        <f>R205-R204</f>
        <v>0</v>
      </c>
      <c r="G7" s="472"/>
      <c r="H7" s="472"/>
      <c r="I7" s="472"/>
      <c r="J7" s="472"/>
      <c r="K7" s="472"/>
      <c r="L7" s="472"/>
      <c r="M7" s="472"/>
      <c r="N7" s="472"/>
      <c r="O7" s="472"/>
      <c r="P7" s="472"/>
      <c r="Q7" s="472"/>
      <c r="R7" s="472"/>
      <c r="S7" s="472"/>
      <c r="T7" s="472"/>
      <c r="U7" s="472"/>
      <c r="V7" s="472"/>
      <c r="W7" s="472"/>
      <c r="X7" s="472"/>
      <c r="Y7" s="472"/>
      <c r="Z7" s="472"/>
      <c r="AA7" s="472"/>
      <c r="AB7" s="472"/>
      <c r="AC7" s="472"/>
      <c r="AD7" s="472"/>
      <c r="AE7" s="472"/>
      <c r="AF7" s="472"/>
      <c r="AG7" s="472"/>
      <c r="AH7" s="472"/>
      <c r="AI7" s="473">
        <f>SUM(D7:AH7)</f>
        <v>0</v>
      </c>
    </row>
    <row r="8" spans="2:35" x14ac:dyDescent="0.3">
      <c r="B8" s="823"/>
      <c r="C8" s="424" t="s">
        <v>113</v>
      </c>
      <c r="D8" s="472">
        <f t="shared" ref="D8:M8" si="0">SUM(D6:D7)</f>
        <v>0</v>
      </c>
      <c r="E8" s="472">
        <f t="shared" si="0"/>
        <v>0</v>
      </c>
      <c r="F8" s="472">
        <f t="shared" si="0"/>
        <v>602</v>
      </c>
      <c r="G8" s="472">
        <f t="shared" si="0"/>
        <v>0</v>
      </c>
      <c r="H8" s="472">
        <f t="shared" si="0"/>
        <v>172</v>
      </c>
      <c r="I8" s="472">
        <f t="shared" si="0"/>
        <v>0</v>
      </c>
      <c r="J8" s="472">
        <f t="shared" si="0"/>
        <v>0</v>
      </c>
      <c r="K8" s="472">
        <f t="shared" si="0"/>
        <v>0</v>
      </c>
      <c r="L8" s="472">
        <f t="shared" si="0"/>
        <v>0</v>
      </c>
      <c r="M8" s="472">
        <f t="shared" si="0"/>
        <v>0</v>
      </c>
      <c r="N8" s="472">
        <f>SUM(N6:N7)</f>
        <v>0</v>
      </c>
      <c r="O8" s="472">
        <f>SUM(O6:O7)</f>
        <v>0</v>
      </c>
      <c r="P8" s="472">
        <f>SUM(P6:P7)</f>
        <v>0</v>
      </c>
      <c r="Q8" s="472">
        <f>SUM(Q6:Q7)</f>
        <v>0</v>
      </c>
      <c r="R8" s="472">
        <f t="shared" ref="R8:AG8" si="1">SUM(R6:R7)</f>
        <v>0</v>
      </c>
      <c r="S8" s="472">
        <f t="shared" si="1"/>
        <v>0</v>
      </c>
      <c r="T8" s="472">
        <f t="shared" si="1"/>
        <v>0</v>
      </c>
      <c r="U8" s="472">
        <f t="shared" si="1"/>
        <v>0</v>
      </c>
      <c r="V8" s="472">
        <f t="shared" si="1"/>
        <v>184</v>
      </c>
      <c r="W8" s="472">
        <f t="shared" si="1"/>
        <v>484</v>
      </c>
      <c r="X8" s="472">
        <f t="shared" si="1"/>
        <v>766</v>
      </c>
      <c r="Y8" s="472">
        <f t="shared" si="1"/>
        <v>0</v>
      </c>
      <c r="Z8" s="472">
        <f t="shared" si="1"/>
        <v>375</v>
      </c>
      <c r="AA8" s="472">
        <f t="shared" si="1"/>
        <v>0</v>
      </c>
      <c r="AB8" s="472">
        <f t="shared" si="1"/>
        <v>60</v>
      </c>
      <c r="AC8" s="472">
        <f t="shared" si="1"/>
        <v>130</v>
      </c>
      <c r="AD8" s="472">
        <f t="shared" si="1"/>
        <v>0</v>
      </c>
      <c r="AE8" s="472">
        <f t="shared" si="1"/>
        <v>0</v>
      </c>
      <c r="AF8" s="472">
        <f t="shared" si="1"/>
        <v>0</v>
      </c>
      <c r="AG8" s="472">
        <f t="shared" si="1"/>
        <v>0</v>
      </c>
      <c r="AH8" s="472"/>
      <c r="AI8" s="473">
        <f>SUM(AI6:AI7)</f>
        <v>2773</v>
      </c>
    </row>
    <row r="9" spans="2:35" x14ac:dyDescent="0.3"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</row>
    <row r="11" spans="2:35" x14ac:dyDescent="0.3">
      <c r="C11" s="635" t="s">
        <v>671</v>
      </c>
      <c r="D11" s="635" t="s">
        <v>672</v>
      </c>
      <c r="E11" s="397">
        <v>45292</v>
      </c>
      <c r="F11" s="397">
        <v>45323</v>
      </c>
      <c r="G11" s="397">
        <v>45352</v>
      </c>
      <c r="H11" s="397">
        <v>45383</v>
      </c>
      <c r="I11" s="397">
        <v>45413</v>
      </c>
      <c r="J11" s="397">
        <v>45444</v>
      </c>
      <c r="K11" s="397">
        <v>45474</v>
      </c>
      <c r="L11" s="397">
        <v>45505</v>
      </c>
      <c r="M11" s="397">
        <v>45536</v>
      </c>
      <c r="N11" s="397">
        <v>45566</v>
      </c>
      <c r="O11" s="397">
        <v>45597</v>
      </c>
      <c r="P11" s="397">
        <v>45627</v>
      </c>
      <c r="Q11" s="397" t="s">
        <v>674</v>
      </c>
    </row>
    <row r="12" spans="2:35" x14ac:dyDescent="0.3">
      <c r="C12" s="636" t="s">
        <v>669</v>
      </c>
      <c r="D12" s="637">
        <v>75</v>
      </c>
      <c r="E12" s="643">
        <v>9840</v>
      </c>
      <c r="F12" s="643">
        <v>13572</v>
      </c>
      <c r="G12" s="643">
        <v>13428</v>
      </c>
      <c r="H12" s="643">
        <v>7185</v>
      </c>
      <c r="I12" s="643">
        <v>15718</v>
      </c>
      <c r="J12" s="643">
        <v>13879</v>
      </c>
      <c r="K12" s="643">
        <v>14534</v>
      </c>
      <c r="L12" s="643">
        <v>10231</v>
      </c>
      <c r="M12" s="643">
        <v>12849</v>
      </c>
      <c r="N12" s="643">
        <v>247</v>
      </c>
      <c r="O12" s="643">
        <v>8638</v>
      </c>
      <c r="P12" s="643">
        <v>7700</v>
      </c>
      <c r="Q12" s="638">
        <f>SUM(E12:P12)</f>
        <v>127821</v>
      </c>
    </row>
    <row r="13" spans="2:35" x14ac:dyDescent="0.3">
      <c r="C13" s="639" t="s">
        <v>670</v>
      </c>
      <c r="D13" s="640">
        <v>75</v>
      </c>
      <c r="E13" s="644">
        <v>9343</v>
      </c>
      <c r="F13" s="644">
        <v>21520</v>
      </c>
      <c r="G13" s="644">
        <v>16829</v>
      </c>
      <c r="H13" s="644">
        <v>5403</v>
      </c>
      <c r="I13" s="644">
        <v>5036</v>
      </c>
      <c r="J13" s="644">
        <v>29437</v>
      </c>
      <c r="K13" s="644">
        <v>20201</v>
      </c>
      <c r="L13" s="644">
        <v>3450</v>
      </c>
      <c r="M13" s="644">
        <v>3493</v>
      </c>
      <c r="N13" s="644">
        <v>2826</v>
      </c>
      <c r="O13" s="644">
        <v>0</v>
      </c>
      <c r="P13" s="644">
        <v>0</v>
      </c>
      <c r="Q13" s="641">
        <f>SUM(E13:P13)</f>
        <v>117538</v>
      </c>
    </row>
    <row r="14" spans="2:35" x14ac:dyDescent="0.3">
      <c r="C14" s="642" t="s">
        <v>905</v>
      </c>
      <c r="D14" s="415">
        <f>SUM(D12:D13)</f>
        <v>150</v>
      </c>
      <c r="E14" s="415">
        <f>SUM(E12:E13)</f>
        <v>19183</v>
      </c>
      <c r="F14" s="415">
        <f>SUM(F12:F13)</f>
        <v>35092</v>
      </c>
      <c r="G14" s="415">
        <f>SUM(G12:G13)</f>
        <v>30257</v>
      </c>
      <c r="H14" s="415">
        <f>SUM(H12:H13)+G14</f>
        <v>42845</v>
      </c>
      <c r="I14" s="415">
        <f t="shared" ref="I14:O14" si="2">SUM(I12:I13)+H14</f>
        <v>63599</v>
      </c>
      <c r="J14" s="415">
        <f t="shared" si="2"/>
        <v>106915</v>
      </c>
      <c r="K14" s="415">
        <f t="shared" si="2"/>
        <v>141650</v>
      </c>
      <c r="L14" s="415">
        <f t="shared" si="2"/>
        <v>155331</v>
      </c>
      <c r="M14" s="415">
        <f t="shared" si="2"/>
        <v>171673</v>
      </c>
      <c r="N14" s="415">
        <f t="shared" si="2"/>
        <v>174746</v>
      </c>
      <c r="O14" s="415">
        <f t="shared" si="2"/>
        <v>183384</v>
      </c>
      <c r="P14" s="415"/>
      <c r="Q14" s="415">
        <f>SUM(Q12:Q13)</f>
        <v>245359</v>
      </c>
    </row>
    <row r="17" spans="2:18" ht="15" thickBot="1" x14ac:dyDescent="0.35">
      <c r="M17" t="s">
        <v>804</v>
      </c>
    </row>
    <row r="18" spans="2:18" ht="39" customHeight="1" thickBot="1" x14ac:dyDescent="0.35">
      <c r="B18" s="828" t="s">
        <v>1145</v>
      </c>
      <c r="C18" s="829"/>
      <c r="D18" s="430">
        <f t="shared" ref="D18:F18" si="3">Z5</f>
        <v>45831</v>
      </c>
      <c r="E18" s="430">
        <f t="shared" si="3"/>
        <v>45832</v>
      </c>
      <c r="F18" s="430">
        <f t="shared" si="3"/>
        <v>45833</v>
      </c>
      <c r="G18" s="430">
        <f>AC5</f>
        <v>45834</v>
      </c>
      <c r="H18" s="432" t="s">
        <v>651</v>
      </c>
      <c r="I18" s="431" t="s">
        <v>679</v>
      </c>
      <c r="J18" s="433" t="s">
        <v>839</v>
      </c>
      <c r="K18" s="432" t="s">
        <v>1146</v>
      </c>
      <c r="N18" t="s">
        <v>948</v>
      </c>
      <c r="O18" t="s">
        <v>915</v>
      </c>
    </row>
    <row r="19" spans="2:18" ht="22.95" customHeight="1" x14ac:dyDescent="0.3">
      <c r="B19" s="826" t="s">
        <v>680</v>
      </c>
      <c r="C19" s="427" t="s">
        <v>669</v>
      </c>
      <c r="D19" s="548">
        <f t="shared" ref="D19:F19" si="4">Z6</f>
        <v>375</v>
      </c>
      <c r="E19" s="548">
        <f t="shared" si="4"/>
        <v>0</v>
      </c>
      <c r="F19" s="548">
        <f t="shared" si="4"/>
        <v>60</v>
      </c>
      <c r="G19" s="548">
        <f>AC6</f>
        <v>130</v>
      </c>
      <c r="H19" s="830">
        <f>SUM(G19:G20)</f>
        <v>130</v>
      </c>
      <c r="I19" s="376">
        <f>SUM('OESTE BIOGAS'!H497:H527)</f>
        <v>51</v>
      </c>
      <c r="J19" s="429">
        <f>AI6</f>
        <v>2773</v>
      </c>
      <c r="K19" s="824">
        <f>J19+J20</f>
        <v>2773</v>
      </c>
      <c r="M19" t="s">
        <v>681</v>
      </c>
      <c r="N19">
        <f>-F34+F61</f>
        <v>4952</v>
      </c>
    </row>
    <row r="20" spans="2:18" ht="22.95" customHeight="1" thickBot="1" x14ac:dyDescent="0.35">
      <c r="B20" s="827"/>
      <c r="C20" s="428"/>
      <c r="D20" s="549"/>
      <c r="E20" s="549"/>
      <c r="F20" s="549"/>
      <c r="G20" s="549"/>
      <c r="H20" s="831"/>
      <c r="I20" s="474"/>
      <c r="J20" s="471"/>
      <c r="K20" s="825"/>
      <c r="M20" t="s">
        <v>682</v>
      </c>
      <c r="N20">
        <f>-F56+F90</f>
        <v>10953</v>
      </c>
    </row>
    <row r="21" spans="2:18" ht="15" thickBot="1" x14ac:dyDescent="0.35">
      <c r="B21" s="832" t="s">
        <v>674</v>
      </c>
      <c r="C21" s="833"/>
      <c r="D21" s="551">
        <f>SUM(D19:D20)</f>
        <v>375</v>
      </c>
      <c r="E21" s="551">
        <f>SUM(E19:E20)</f>
        <v>0</v>
      </c>
      <c r="F21" s="551">
        <f>SUM(F19:F20)</f>
        <v>60</v>
      </c>
      <c r="G21" s="551">
        <f>SUM(G19:G20)</f>
        <v>130</v>
      </c>
      <c r="H21" s="552"/>
      <c r="I21" s="553"/>
      <c r="J21" s="553"/>
      <c r="K21" s="554"/>
      <c r="M21" t="s">
        <v>683</v>
      </c>
      <c r="N21">
        <f>-F90+F122</f>
        <v>13592</v>
      </c>
    </row>
    <row r="22" spans="2:18" x14ac:dyDescent="0.3">
      <c r="B22" s="550"/>
      <c r="C22" s="550"/>
      <c r="G22" s="550"/>
    </row>
    <row r="24" spans="2:18" x14ac:dyDescent="0.3">
      <c r="D24" s="822" t="s">
        <v>685</v>
      </c>
      <c r="E24" s="822"/>
      <c r="F24" t="s">
        <v>686</v>
      </c>
      <c r="G24" t="s">
        <v>687</v>
      </c>
      <c r="M24" t="s">
        <v>684</v>
      </c>
      <c r="N24" s="822" t="s">
        <v>685</v>
      </c>
      <c r="O24" s="822"/>
      <c r="P24" t="s">
        <v>686</v>
      </c>
      <c r="Q24" t="s">
        <v>687</v>
      </c>
    </row>
    <row r="25" spans="2:18" x14ac:dyDescent="0.3">
      <c r="B25" t="s">
        <v>675</v>
      </c>
      <c r="C25" s="31">
        <v>10745</v>
      </c>
      <c r="D25" s="434">
        <v>45353</v>
      </c>
      <c r="E25" s="435">
        <v>0.43402777777777773</v>
      </c>
      <c r="F25" s="31">
        <v>641796</v>
      </c>
      <c r="G25" s="31">
        <v>1459</v>
      </c>
      <c r="H25" s="31">
        <v>24</v>
      </c>
    </row>
    <row r="26" spans="2:18" x14ac:dyDescent="0.3">
      <c r="B26" t="s">
        <v>675</v>
      </c>
      <c r="C26" s="31">
        <v>10769</v>
      </c>
      <c r="D26" s="434">
        <v>45354</v>
      </c>
      <c r="E26" s="435">
        <v>0.46666666666666662</v>
      </c>
      <c r="F26" s="31">
        <v>643255</v>
      </c>
      <c r="G26" s="31">
        <v>1460</v>
      </c>
      <c r="H26" s="31">
        <f t="shared" ref="H26:H31" si="5">C26-C25</f>
        <v>24</v>
      </c>
      <c r="I26" s="31">
        <v>2</v>
      </c>
    </row>
    <row r="27" spans="2:18" x14ac:dyDescent="0.3">
      <c r="B27" t="s">
        <v>675</v>
      </c>
      <c r="C27" s="31">
        <v>10785</v>
      </c>
      <c r="D27" s="434">
        <v>45355</v>
      </c>
      <c r="E27" s="435">
        <v>0.34513888888888888</v>
      </c>
      <c r="F27" s="31">
        <v>644227</v>
      </c>
      <c r="G27" s="31">
        <v>1462</v>
      </c>
      <c r="H27" s="31">
        <f t="shared" si="5"/>
        <v>16</v>
      </c>
    </row>
    <row r="28" spans="2:18" x14ac:dyDescent="0.3">
      <c r="B28" t="s">
        <v>675</v>
      </c>
      <c r="C28" s="31">
        <v>10804</v>
      </c>
      <c r="D28" s="434">
        <v>45356</v>
      </c>
      <c r="E28" s="435">
        <v>0.3576388888888889</v>
      </c>
      <c r="F28" s="31">
        <v>645372</v>
      </c>
      <c r="G28" s="31">
        <v>1464</v>
      </c>
      <c r="H28" s="31">
        <f t="shared" si="5"/>
        <v>19</v>
      </c>
    </row>
    <row r="29" spans="2:18" x14ac:dyDescent="0.3">
      <c r="B29" t="s">
        <v>675</v>
      </c>
      <c r="C29" s="31">
        <v>10828</v>
      </c>
      <c r="D29" s="434">
        <v>45357</v>
      </c>
      <c r="E29" s="435">
        <v>0.34722222222222221</v>
      </c>
      <c r="F29" s="31">
        <v>646843</v>
      </c>
      <c r="G29" s="31">
        <v>1464</v>
      </c>
      <c r="H29" s="31">
        <f t="shared" si="5"/>
        <v>24</v>
      </c>
      <c r="K29">
        <v>0</v>
      </c>
    </row>
    <row r="30" spans="2:18" x14ac:dyDescent="0.3">
      <c r="B30" t="s">
        <v>675</v>
      </c>
      <c r="C30" s="31">
        <v>10839</v>
      </c>
      <c r="D30" s="434">
        <v>45358</v>
      </c>
      <c r="E30" s="435">
        <v>0.34722222222222227</v>
      </c>
      <c r="F30" s="31">
        <v>647548</v>
      </c>
      <c r="G30" s="31">
        <v>1465</v>
      </c>
      <c r="H30" s="31">
        <f t="shared" si="5"/>
        <v>11</v>
      </c>
      <c r="L30" t="s">
        <v>688</v>
      </c>
      <c r="M30" s="31">
        <v>11219</v>
      </c>
      <c r="N30" s="434">
        <v>45358</v>
      </c>
      <c r="O30" s="435">
        <v>0.62847222222222221</v>
      </c>
      <c r="P30" s="31">
        <v>681838</v>
      </c>
      <c r="Q30" s="31">
        <v>1573</v>
      </c>
    </row>
    <row r="31" spans="2:18" x14ac:dyDescent="0.3">
      <c r="B31" t="s">
        <v>675</v>
      </c>
      <c r="C31" s="31">
        <v>10856</v>
      </c>
      <c r="D31" s="434">
        <v>45359</v>
      </c>
      <c r="E31" s="435">
        <v>0.33333333333333331</v>
      </c>
      <c r="F31" s="31">
        <v>648601</v>
      </c>
      <c r="G31" s="31">
        <v>1466</v>
      </c>
      <c r="H31" s="31">
        <f t="shared" si="5"/>
        <v>17</v>
      </c>
      <c r="L31" t="s">
        <v>688</v>
      </c>
      <c r="M31" s="31">
        <v>11227</v>
      </c>
      <c r="N31" s="434">
        <v>45359</v>
      </c>
      <c r="O31" s="435">
        <v>0.33333333333333331</v>
      </c>
      <c r="P31" s="31">
        <v>682253</v>
      </c>
      <c r="Q31" s="31">
        <v>1573</v>
      </c>
      <c r="R31">
        <f>M31-M30</f>
        <v>8</v>
      </c>
    </row>
    <row r="32" spans="2:18" x14ac:dyDescent="0.3">
      <c r="B32" t="s">
        <v>675</v>
      </c>
      <c r="C32" s="31">
        <v>10861</v>
      </c>
      <c r="D32" s="434">
        <v>45360</v>
      </c>
      <c r="E32" s="435">
        <v>0.45833333333333331</v>
      </c>
      <c r="F32" s="31">
        <v>648907</v>
      </c>
      <c r="G32" s="31">
        <v>1468</v>
      </c>
      <c r="H32" s="31">
        <f t="shared" ref="H32:H37" si="6">C32-C31</f>
        <v>5</v>
      </c>
      <c r="L32" t="s">
        <v>688</v>
      </c>
      <c r="M32" s="31">
        <v>11227</v>
      </c>
      <c r="N32" s="434">
        <v>45360</v>
      </c>
      <c r="O32" s="435">
        <v>0.45833333333333331</v>
      </c>
      <c r="P32" s="31">
        <v>682253</v>
      </c>
      <c r="Q32" s="31">
        <v>1573</v>
      </c>
      <c r="R32">
        <f>M32-M31</f>
        <v>0</v>
      </c>
    </row>
    <row r="33" spans="2:18" x14ac:dyDescent="0.3">
      <c r="B33" t="s">
        <v>675</v>
      </c>
      <c r="C33" s="31">
        <v>10874</v>
      </c>
      <c r="D33" s="434">
        <v>45361</v>
      </c>
      <c r="E33" s="435">
        <v>0.45833333333333331</v>
      </c>
      <c r="F33" s="31">
        <v>649702</v>
      </c>
      <c r="G33" s="31">
        <v>1471</v>
      </c>
      <c r="H33" s="31">
        <f t="shared" si="6"/>
        <v>13</v>
      </c>
      <c r="L33" t="s">
        <v>688</v>
      </c>
      <c r="M33" s="31">
        <v>11243</v>
      </c>
      <c r="N33" s="434">
        <v>45361</v>
      </c>
      <c r="O33" s="435">
        <v>0.45833333333333331</v>
      </c>
      <c r="P33" s="31">
        <v>683071</v>
      </c>
      <c r="Q33" s="31">
        <v>1574</v>
      </c>
      <c r="R33">
        <f>M33-M32</f>
        <v>16</v>
      </c>
    </row>
    <row r="34" spans="2:18" x14ac:dyDescent="0.3">
      <c r="B34" t="s">
        <v>675</v>
      </c>
      <c r="C34" s="31">
        <v>10888</v>
      </c>
      <c r="D34" s="434">
        <v>45362</v>
      </c>
      <c r="E34" s="435">
        <v>0.35416666666666669</v>
      </c>
      <c r="F34" s="31">
        <v>650583</v>
      </c>
      <c r="G34" s="31">
        <v>1471</v>
      </c>
      <c r="H34" s="31">
        <f t="shared" si="6"/>
        <v>14</v>
      </c>
      <c r="L34" t="s">
        <v>688</v>
      </c>
      <c r="M34" s="31">
        <v>11255</v>
      </c>
      <c r="N34" s="434">
        <v>45362</v>
      </c>
      <c r="O34" s="435">
        <v>0.35416666666666669</v>
      </c>
      <c r="P34" s="31">
        <v>683638</v>
      </c>
      <c r="Q34" s="31">
        <v>1575</v>
      </c>
      <c r="R34">
        <f>M34-M33</f>
        <v>12</v>
      </c>
    </row>
    <row r="35" spans="2:18" x14ac:dyDescent="0.3">
      <c r="B35" t="s">
        <v>675</v>
      </c>
      <c r="C35" s="31">
        <v>10897</v>
      </c>
      <c r="D35" s="434">
        <v>45363</v>
      </c>
      <c r="E35" s="435">
        <v>0.35416666666666669</v>
      </c>
      <c r="F35" s="31">
        <v>651110</v>
      </c>
      <c r="G35" s="31">
        <v>1472</v>
      </c>
      <c r="H35" s="31">
        <f t="shared" si="6"/>
        <v>9</v>
      </c>
      <c r="L35" t="s">
        <v>688</v>
      </c>
      <c r="M35" s="31">
        <v>11255</v>
      </c>
      <c r="N35" s="434">
        <v>45363</v>
      </c>
      <c r="O35" s="435">
        <v>0.35416666666666669</v>
      </c>
      <c r="P35" s="31">
        <v>683638</v>
      </c>
      <c r="Q35" s="31">
        <v>1575</v>
      </c>
      <c r="R35">
        <f t="shared" ref="R35:R45" si="7">M35-M34</f>
        <v>0</v>
      </c>
    </row>
    <row r="36" spans="2:18" x14ac:dyDescent="0.3">
      <c r="B36" t="s">
        <v>675</v>
      </c>
      <c r="C36" s="31">
        <v>10908</v>
      </c>
      <c r="D36" s="434">
        <v>45364</v>
      </c>
      <c r="E36" s="435">
        <v>0.33333333333333331</v>
      </c>
      <c r="F36" s="31">
        <v>651820</v>
      </c>
      <c r="G36" s="31">
        <v>1473</v>
      </c>
      <c r="H36" s="31">
        <f t="shared" si="6"/>
        <v>11</v>
      </c>
      <c r="L36" t="s">
        <v>688</v>
      </c>
      <c r="M36" s="31">
        <v>11255</v>
      </c>
      <c r="N36" s="434">
        <v>45364</v>
      </c>
      <c r="O36" s="435">
        <v>0.33333333333333331</v>
      </c>
      <c r="P36" s="31">
        <v>683638</v>
      </c>
      <c r="Q36" s="31">
        <v>1575</v>
      </c>
      <c r="R36">
        <f t="shared" si="7"/>
        <v>0</v>
      </c>
    </row>
    <row r="37" spans="2:18" x14ac:dyDescent="0.3">
      <c r="B37" s="479" t="s">
        <v>675</v>
      </c>
      <c r="C37" s="480">
        <v>10914</v>
      </c>
      <c r="D37" s="481">
        <v>45365</v>
      </c>
      <c r="E37" s="482">
        <v>0.35416666666666669</v>
      </c>
      <c r="F37" s="480">
        <f>F36+352</f>
        <v>652172</v>
      </c>
      <c r="G37" s="480">
        <v>1474</v>
      </c>
      <c r="H37" s="480">
        <f t="shared" si="6"/>
        <v>6</v>
      </c>
      <c r="L37" s="479" t="s">
        <v>688</v>
      </c>
      <c r="M37" s="480">
        <v>11267</v>
      </c>
      <c r="N37" s="481">
        <v>45365</v>
      </c>
      <c r="O37" s="482">
        <v>0.35416666666666669</v>
      </c>
      <c r="P37" s="480">
        <f>P36+608</f>
        <v>684246</v>
      </c>
      <c r="Q37" s="480">
        <v>1579</v>
      </c>
      <c r="R37" s="479">
        <f t="shared" si="7"/>
        <v>12</v>
      </c>
    </row>
    <row r="38" spans="2:18" x14ac:dyDescent="0.3">
      <c r="B38" s="479" t="s">
        <v>675</v>
      </c>
      <c r="C38" s="480">
        <v>10916</v>
      </c>
      <c r="D38" s="481">
        <v>45366</v>
      </c>
      <c r="E38" s="482">
        <v>0.35416666666666669</v>
      </c>
      <c r="F38" s="480">
        <v>652299</v>
      </c>
      <c r="G38" s="480">
        <v>1474</v>
      </c>
      <c r="H38" s="480">
        <f>C38-C37</f>
        <v>2</v>
      </c>
      <c r="L38" s="479" t="s">
        <v>688</v>
      </c>
      <c r="M38" s="480">
        <v>11291</v>
      </c>
      <c r="N38" s="481">
        <v>45366</v>
      </c>
      <c r="O38" s="482">
        <v>0.33333333333333331</v>
      </c>
      <c r="P38" s="480">
        <v>685046</v>
      </c>
      <c r="Q38" s="480">
        <v>1579</v>
      </c>
      <c r="R38" s="479">
        <f t="shared" si="7"/>
        <v>24</v>
      </c>
    </row>
    <row r="39" spans="2:18" x14ac:dyDescent="0.3">
      <c r="B39" s="479" t="s">
        <v>675</v>
      </c>
      <c r="C39" s="480">
        <v>10929</v>
      </c>
      <c r="D39" s="481">
        <v>45367</v>
      </c>
      <c r="E39" s="482">
        <v>0.3125</v>
      </c>
      <c r="F39" s="480">
        <v>653086</v>
      </c>
      <c r="G39" s="480">
        <v>1474</v>
      </c>
      <c r="H39" s="475">
        <f>C39-C38</f>
        <v>13</v>
      </c>
      <c r="L39" s="479" t="s">
        <v>688</v>
      </c>
      <c r="M39" s="480">
        <v>11305</v>
      </c>
      <c r="N39" s="481">
        <v>45367</v>
      </c>
      <c r="O39" s="482">
        <v>0.3125</v>
      </c>
      <c r="P39" s="480">
        <v>685361</v>
      </c>
      <c r="Q39" s="480">
        <v>1584</v>
      </c>
      <c r="R39" s="479">
        <f t="shared" si="7"/>
        <v>14</v>
      </c>
    </row>
    <row r="40" spans="2:18" x14ac:dyDescent="0.3">
      <c r="B40" s="479" t="s">
        <v>675</v>
      </c>
      <c r="C40" s="480">
        <v>10929</v>
      </c>
      <c r="D40" s="481">
        <v>45368</v>
      </c>
      <c r="E40" s="482">
        <v>0.33333333333333331</v>
      </c>
      <c r="F40" s="480">
        <v>653086</v>
      </c>
      <c r="G40" s="480">
        <v>1474</v>
      </c>
      <c r="H40" s="480">
        <f>C40-C39</f>
        <v>0</v>
      </c>
      <c r="L40" s="479" t="s">
        <v>688</v>
      </c>
      <c r="M40" s="480">
        <v>11321</v>
      </c>
      <c r="N40" s="481">
        <v>45368</v>
      </c>
      <c r="O40" s="482">
        <v>0.35416666666666669</v>
      </c>
      <c r="P40" s="480">
        <v>685361</v>
      </c>
      <c r="Q40" s="480">
        <v>1584</v>
      </c>
      <c r="R40" s="479">
        <f t="shared" si="7"/>
        <v>16</v>
      </c>
    </row>
    <row r="41" spans="2:18" x14ac:dyDescent="0.3">
      <c r="B41" s="476" t="s">
        <v>675</v>
      </c>
      <c r="C41" s="475">
        <v>10929</v>
      </c>
      <c r="D41" s="477">
        <v>45369</v>
      </c>
      <c r="E41" s="478">
        <v>0.33333333333333331</v>
      </c>
      <c r="F41" s="475">
        <v>653086</v>
      </c>
      <c r="G41" s="475">
        <v>1474</v>
      </c>
      <c r="H41" s="475">
        <f t="shared" ref="H41:H46" si="8">C41-C40</f>
        <v>0</v>
      </c>
      <c r="L41" s="476" t="s">
        <v>688</v>
      </c>
      <c r="M41" s="475">
        <v>11354</v>
      </c>
      <c r="N41" s="477">
        <v>45369</v>
      </c>
      <c r="O41" s="478">
        <v>0.375</v>
      </c>
      <c r="P41" s="475">
        <v>686069</v>
      </c>
      <c r="Q41" s="475">
        <v>1587</v>
      </c>
      <c r="R41" s="476">
        <f t="shared" si="7"/>
        <v>33</v>
      </c>
    </row>
    <row r="42" spans="2:18" x14ac:dyDescent="0.3">
      <c r="B42" s="479" t="s">
        <v>675</v>
      </c>
      <c r="C42" s="480">
        <v>10929</v>
      </c>
      <c r="D42" s="434">
        <v>45370</v>
      </c>
      <c r="E42" s="435">
        <v>0.33333333333333331</v>
      </c>
      <c r="F42" s="480">
        <v>653086</v>
      </c>
      <c r="G42" s="480">
        <v>1474</v>
      </c>
      <c r="H42" s="475">
        <f t="shared" si="8"/>
        <v>0</v>
      </c>
      <c r="L42" s="479" t="s">
        <v>688</v>
      </c>
      <c r="M42" s="480">
        <v>11367</v>
      </c>
      <c r="N42" s="434">
        <v>45370</v>
      </c>
      <c r="O42" s="435">
        <v>0.33333333333333331</v>
      </c>
      <c r="P42" s="480">
        <v>686715</v>
      </c>
      <c r="Q42" s="480">
        <v>1587</v>
      </c>
      <c r="R42" s="476">
        <f t="shared" si="7"/>
        <v>13</v>
      </c>
    </row>
    <row r="43" spans="2:18" x14ac:dyDescent="0.3">
      <c r="B43" s="479" t="s">
        <v>675</v>
      </c>
      <c r="C43" s="480">
        <v>10934</v>
      </c>
      <c r="D43" s="434">
        <v>45371</v>
      </c>
      <c r="E43" s="435">
        <v>0.3125</v>
      </c>
      <c r="F43" s="480">
        <v>653372</v>
      </c>
      <c r="G43" s="480">
        <v>1475</v>
      </c>
      <c r="H43" s="475">
        <f t="shared" si="8"/>
        <v>5</v>
      </c>
      <c r="L43" s="479" t="s">
        <v>688</v>
      </c>
      <c r="M43" s="480">
        <v>11378</v>
      </c>
      <c r="N43" s="434">
        <v>45371</v>
      </c>
      <c r="O43" s="435">
        <v>0.33333333333333331</v>
      </c>
      <c r="P43" s="480">
        <v>687189</v>
      </c>
      <c r="Q43" s="480">
        <v>1591</v>
      </c>
      <c r="R43" s="476">
        <f t="shared" si="7"/>
        <v>11</v>
      </c>
    </row>
    <row r="44" spans="2:18" x14ac:dyDescent="0.3">
      <c r="B44" s="479" t="s">
        <v>675</v>
      </c>
      <c r="C44" s="480">
        <v>10940</v>
      </c>
      <c r="D44" s="434">
        <v>45372</v>
      </c>
      <c r="E44" s="435">
        <v>0.33333333333333331</v>
      </c>
      <c r="F44" s="480">
        <v>653736</v>
      </c>
      <c r="G44" s="480">
        <v>1476</v>
      </c>
      <c r="H44" s="475">
        <f t="shared" si="8"/>
        <v>6</v>
      </c>
      <c r="L44" s="479" t="s">
        <v>688</v>
      </c>
      <c r="M44" s="480">
        <v>11392</v>
      </c>
      <c r="N44" s="434">
        <v>45372</v>
      </c>
      <c r="O44" s="435">
        <v>0.33333333333333331</v>
      </c>
      <c r="P44" s="480">
        <v>687971</v>
      </c>
      <c r="Q44" s="480">
        <v>1594</v>
      </c>
      <c r="R44" s="476">
        <f t="shared" si="7"/>
        <v>14</v>
      </c>
    </row>
    <row r="45" spans="2:18" x14ac:dyDescent="0.3">
      <c r="B45" s="496" t="s">
        <v>675</v>
      </c>
      <c r="C45" s="497">
        <v>10940</v>
      </c>
      <c r="D45" s="498">
        <v>45373</v>
      </c>
      <c r="E45" s="499">
        <v>0.25</v>
      </c>
      <c r="F45" s="497">
        <v>653736</v>
      </c>
      <c r="G45" s="500">
        <v>1476</v>
      </c>
      <c r="H45" s="475">
        <f t="shared" si="8"/>
        <v>0</v>
      </c>
      <c r="L45" s="479" t="s">
        <v>688</v>
      </c>
      <c r="M45" s="480">
        <v>11392</v>
      </c>
      <c r="N45" s="434">
        <v>45373</v>
      </c>
      <c r="O45" s="435">
        <v>0.25</v>
      </c>
      <c r="P45" s="480">
        <v>687971</v>
      </c>
      <c r="Q45" s="480">
        <v>1594</v>
      </c>
      <c r="R45" s="476">
        <f t="shared" si="7"/>
        <v>0</v>
      </c>
    </row>
    <row r="46" spans="2:18" x14ac:dyDescent="0.3">
      <c r="B46" s="496" t="s">
        <v>675</v>
      </c>
      <c r="C46" s="497">
        <v>10940</v>
      </c>
      <c r="D46" s="498">
        <v>45374</v>
      </c>
      <c r="E46" s="499">
        <v>0.29166666666666702</v>
      </c>
      <c r="F46" s="497">
        <v>653736</v>
      </c>
      <c r="G46" s="500">
        <v>1476</v>
      </c>
      <c r="H46" s="475">
        <f t="shared" si="8"/>
        <v>0</v>
      </c>
      <c r="L46" s="479" t="s">
        <v>688</v>
      </c>
      <c r="M46" s="480">
        <v>11392</v>
      </c>
      <c r="N46" s="434">
        <v>45374</v>
      </c>
      <c r="O46" s="435">
        <v>0.29166666666666702</v>
      </c>
      <c r="P46" s="480">
        <v>687971</v>
      </c>
      <c r="Q46" s="480">
        <v>1594</v>
      </c>
      <c r="R46" s="476">
        <f>M46-M45</f>
        <v>0</v>
      </c>
    </row>
    <row r="47" spans="2:18" x14ac:dyDescent="0.3">
      <c r="B47" s="496" t="s">
        <v>675</v>
      </c>
      <c r="C47" s="497">
        <v>10940</v>
      </c>
      <c r="D47" s="498">
        <v>45374</v>
      </c>
      <c r="E47" s="499">
        <v>0.29166666666666702</v>
      </c>
      <c r="F47" s="497">
        <v>653736</v>
      </c>
      <c r="G47" s="500">
        <v>1476</v>
      </c>
      <c r="H47" s="475">
        <f t="shared" ref="H47:H63" si="9">C47-C46</f>
        <v>0</v>
      </c>
      <c r="L47" s="479" t="s">
        <v>688</v>
      </c>
      <c r="M47" s="480">
        <v>11392</v>
      </c>
      <c r="N47" s="434">
        <v>45374</v>
      </c>
      <c r="O47" s="435">
        <v>0.29166666666666702</v>
      </c>
      <c r="P47" s="480">
        <v>687971</v>
      </c>
      <c r="Q47" s="480">
        <v>1594</v>
      </c>
      <c r="R47" s="476">
        <f>M47-M46</f>
        <v>0</v>
      </c>
    </row>
    <row r="48" spans="2:18" x14ac:dyDescent="0.3">
      <c r="B48" s="496" t="s">
        <v>675</v>
      </c>
      <c r="C48" s="497">
        <v>10940</v>
      </c>
      <c r="D48" s="498">
        <v>45375</v>
      </c>
      <c r="E48" s="499">
        <v>0.33333333333333398</v>
      </c>
      <c r="F48" s="497">
        <v>653736</v>
      </c>
      <c r="G48" s="500">
        <v>1476</v>
      </c>
      <c r="H48" s="475">
        <f t="shared" si="9"/>
        <v>0</v>
      </c>
      <c r="L48" s="479" t="s">
        <v>688</v>
      </c>
      <c r="M48" s="480">
        <v>11392</v>
      </c>
      <c r="N48" s="434">
        <v>45375</v>
      </c>
      <c r="O48" s="435">
        <v>0.33333333333333398</v>
      </c>
      <c r="P48" s="480">
        <v>687971</v>
      </c>
      <c r="Q48" s="480">
        <v>1594</v>
      </c>
      <c r="R48" s="476">
        <f>M48-M47</f>
        <v>0</v>
      </c>
    </row>
    <row r="49" spans="2:18" x14ac:dyDescent="0.3">
      <c r="B49" s="496" t="s">
        <v>675</v>
      </c>
      <c r="C49" s="497">
        <v>10940</v>
      </c>
      <c r="D49" s="498">
        <v>45379</v>
      </c>
      <c r="E49" s="499">
        <v>0.33333333333333331</v>
      </c>
      <c r="F49" s="497">
        <v>653736</v>
      </c>
      <c r="G49" s="500">
        <v>1476</v>
      </c>
      <c r="H49" s="475">
        <f t="shared" si="9"/>
        <v>0</v>
      </c>
      <c r="L49" s="479" t="s">
        <v>688</v>
      </c>
      <c r="M49" s="480">
        <v>11507</v>
      </c>
      <c r="N49" s="434">
        <v>45379</v>
      </c>
      <c r="O49" s="435">
        <v>0.33333333333333398</v>
      </c>
      <c r="P49" s="480">
        <v>694269</v>
      </c>
      <c r="Q49" s="480">
        <v>1603</v>
      </c>
      <c r="R49" s="476">
        <f>M49-M48</f>
        <v>115</v>
      </c>
    </row>
    <row r="50" spans="2:18" x14ac:dyDescent="0.3">
      <c r="B50" s="496" t="s">
        <v>675</v>
      </c>
      <c r="C50" s="497">
        <v>10940</v>
      </c>
      <c r="D50" s="498">
        <v>45380</v>
      </c>
      <c r="E50" s="499">
        <v>0.33333333333333331</v>
      </c>
      <c r="F50" s="497">
        <v>653736</v>
      </c>
      <c r="G50" s="500">
        <v>1476</v>
      </c>
      <c r="H50" s="475">
        <f t="shared" si="9"/>
        <v>0</v>
      </c>
      <c r="L50" s="479" t="s">
        <v>688</v>
      </c>
      <c r="M50" s="480">
        <v>11531</v>
      </c>
      <c r="N50" s="434">
        <v>45380</v>
      </c>
      <c r="O50" s="435">
        <v>0.33333333333333331</v>
      </c>
      <c r="P50" s="480">
        <f>695945-312</f>
        <v>695633</v>
      </c>
      <c r="Q50" s="480">
        <v>1603</v>
      </c>
      <c r="R50" s="476">
        <f>M50-M49</f>
        <v>24</v>
      </c>
    </row>
    <row r="51" spans="2:18" x14ac:dyDescent="0.3">
      <c r="B51" s="496" t="s">
        <v>675</v>
      </c>
      <c r="C51" s="497">
        <v>10940</v>
      </c>
      <c r="D51" s="498">
        <v>45381</v>
      </c>
      <c r="E51" s="499">
        <v>0.33333333333333331</v>
      </c>
      <c r="F51" s="497">
        <v>653736</v>
      </c>
      <c r="G51" s="500">
        <v>1476</v>
      </c>
      <c r="H51" s="475">
        <f t="shared" si="9"/>
        <v>0</v>
      </c>
      <c r="L51" s="479" t="s">
        <v>688</v>
      </c>
      <c r="M51" s="480">
        <v>11555</v>
      </c>
      <c r="N51" s="434">
        <v>45381</v>
      </c>
      <c r="O51" s="435">
        <v>0.375</v>
      </c>
      <c r="P51" s="480">
        <v>697012</v>
      </c>
      <c r="Q51" s="480">
        <v>1604</v>
      </c>
      <c r="R51" s="476">
        <f t="shared" ref="R51:R56" si="10">M51-M50</f>
        <v>24</v>
      </c>
    </row>
    <row r="52" spans="2:18" x14ac:dyDescent="0.3">
      <c r="B52" s="496" t="s">
        <v>675</v>
      </c>
      <c r="C52" s="497">
        <v>10940</v>
      </c>
      <c r="D52" s="498">
        <v>45382</v>
      </c>
      <c r="E52" s="499">
        <v>0.33333333333333331</v>
      </c>
      <c r="F52" s="497">
        <v>653736</v>
      </c>
      <c r="G52" s="500">
        <v>1476</v>
      </c>
      <c r="H52" s="475">
        <f t="shared" si="9"/>
        <v>0</v>
      </c>
      <c r="L52" s="479" t="s">
        <v>688</v>
      </c>
      <c r="M52" s="480">
        <v>11566</v>
      </c>
      <c r="N52" s="434">
        <v>45382</v>
      </c>
      <c r="O52" s="435">
        <v>0.41666666666666669</v>
      </c>
      <c r="P52" s="480">
        <v>697610</v>
      </c>
      <c r="Q52" s="480">
        <v>1606</v>
      </c>
      <c r="R52" s="476">
        <f t="shared" si="10"/>
        <v>11</v>
      </c>
    </row>
    <row r="53" spans="2:18" x14ac:dyDescent="0.3">
      <c r="B53" s="496" t="s">
        <v>675</v>
      </c>
      <c r="C53" s="497">
        <v>10940</v>
      </c>
      <c r="D53" s="498">
        <v>45383</v>
      </c>
      <c r="E53" s="499">
        <v>0.33333333333333331</v>
      </c>
      <c r="F53" s="497">
        <v>653736</v>
      </c>
      <c r="G53" s="500">
        <v>1476</v>
      </c>
      <c r="H53" s="475">
        <f t="shared" si="9"/>
        <v>0</v>
      </c>
      <c r="L53" s="494" t="s">
        <v>688</v>
      </c>
      <c r="M53" s="480">
        <v>11585</v>
      </c>
      <c r="N53" s="434">
        <v>45383</v>
      </c>
      <c r="O53" s="435">
        <v>0.33333333333333331</v>
      </c>
      <c r="P53" s="480">
        <v>698667</v>
      </c>
      <c r="Q53" s="480">
        <v>1607</v>
      </c>
      <c r="R53" s="495">
        <f t="shared" si="10"/>
        <v>19</v>
      </c>
    </row>
    <row r="54" spans="2:18" x14ac:dyDescent="0.3">
      <c r="B54" s="496" t="s">
        <v>675</v>
      </c>
      <c r="C54" s="497">
        <v>10940</v>
      </c>
      <c r="D54" s="498">
        <v>45384</v>
      </c>
      <c r="E54" s="499">
        <v>0.33333333333333331</v>
      </c>
      <c r="F54" s="497">
        <v>653736</v>
      </c>
      <c r="G54" s="500">
        <v>1478</v>
      </c>
      <c r="H54" s="475">
        <f t="shared" si="9"/>
        <v>0</v>
      </c>
      <c r="L54" s="494" t="s">
        <v>688</v>
      </c>
      <c r="M54" s="480">
        <v>11602</v>
      </c>
      <c r="N54" s="434">
        <v>45384</v>
      </c>
      <c r="O54" s="435">
        <v>0.33333333333333331</v>
      </c>
      <c r="P54" s="480">
        <v>699613</v>
      </c>
      <c r="Q54" s="480">
        <v>1608</v>
      </c>
      <c r="R54" s="495">
        <f t="shared" si="10"/>
        <v>17</v>
      </c>
    </row>
    <row r="55" spans="2:18" x14ac:dyDescent="0.3">
      <c r="B55" s="479" t="s">
        <v>675</v>
      </c>
      <c r="C55" s="480">
        <v>10953</v>
      </c>
      <c r="D55" s="434">
        <v>45385</v>
      </c>
      <c r="E55" s="435">
        <v>0.29166666666666669</v>
      </c>
      <c r="F55" s="480">
        <v>654544</v>
      </c>
      <c r="G55" s="31">
        <v>1478</v>
      </c>
      <c r="H55" s="475">
        <f t="shared" si="9"/>
        <v>13</v>
      </c>
      <c r="L55" s="494" t="s">
        <v>688</v>
      </c>
      <c r="M55" s="480">
        <v>11608</v>
      </c>
      <c r="N55" s="434">
        <v>45385</v>
      </c>
      <c r="O55" s="435">
        <v>0.29166666666666669</v>
      </c>
      <c r="P55" s="31">
        <v>699976</v>
      </c>
      <c r="Q55" s="480">
        <v>1608</v>
      </c>
      <c r="R55" s="495">
        <f t="shared" si="10"/>
        <v>6</v>
      </c>
    </row>
    <row r="56" spans="2:18" x14ac:dyDescent="0.3">
      <c r="B56" s="479" t="s">
        <v>675</v>
      </c>
      <c r="C56" s="480">
        <v>10953</v>
      </c>
      <c r="D56" s="434">
        <v>45386</v>
      </c>
      <c r="E56" s="435">
        <v>0.41666666666666702</v>
      </c>
      <c r="F56" s="480">
        <v>654544</v>
      </c>
      <c r="G56" s="31">
        <v>1478</v>
      </c>
      <c r="H56" s="475">
        <f t="shared" si="9"/>
        <v>0</v>
      </c>
      <c r="L56" s="490" t="s">
        <v>688</v>
      </c>
      <c r="M56" s="483">
        <v>11624</v>
      </c>
      <c r="N56" s="485">
        <v>45386</v>
      </c>
      <c r="O56" s="486">
        <v>0.375</v>
      </c>
      <c r="P56" s="487">
        <v>700883</v>
      </c>
      <c r="Q56" s="483">
        <v>1609</v>
      </c>
      <c r="R56" s="491">
        <f t="shared" si="10"/>
        <v>16</v>
      </c>
    </row>
    <row r="57" spans="2:18" x14ac:dyDescent="0.3">
      <c r="B57" s="479" t="s">
        <v>675</v>
      </c>
      <c r="C57" s="480">
        <v>10953</v>
      </c>
      <c r="D57" s="434">
        <v>45387</v>
      </c>
      <c r="E57" s="435">
        <v>0.45833333333333331</v>
      </c>
      <c r="F57" s="480">
        <v>654544</v>
      </c>
      <c r="G57" s="31">
        <v>1478</v>
      </c>
      <c r="H57" s="475">
        <f t="shared" si="9"/>
        <v>0</v>
      </c>
      <c r="L57" s="490" t="s">
        <v>688</v>
      </c>
      <c r="M57" s="483">
        <v>11624</v>
      </c>
      <c r="N57" s="485">
        <v>45387</v>
      </c>
      <c r="O57" s="486">
        <v>0.41666666666666669</v>
      </c>
      <c r="P57" s="487">
        <v>700883</v>
      </c>
      <c r="Q57" s="483">
        <v>1609</v>
      </c>
      <c r="R57" s="491">
        <f t="shared" ref="R57:R88" si="11">M57-M56</f>
        <v>0</v>
      </c>
    </row>
    <row r="58" spans="2:18" x14ac:dyDescent="0.3">
      <c r="B58" s="479" t="s">
        <v>675</v>
      </c>
      <c r="C58" s="480">
        <v>10953</v>
      </c>
      <c r="D58" s="434">
        <v>45388</v>
      </c>
      <c r="E58" s="435">
        <v>0.5</v>
      </c>
      <c r="F58" s="480">
        <v>654544</v>
      </c>
      <c r="G58" s="31">
        <v>1478</v>
      </c>
      <c r="H58" s="475">
        <f t="shared" si="9"/>
        <v>0</v>
      </c>
      <c r="L58" s="490" t="s">
        <v>688</v>
      </c>
      <c r="M58" s="483">
        <v>11624</v>
      </c>
      <c r="N58" s="485">
        <v>45388</v>
      </c>
      <c r="O58" s="486">
        <v>0.45833333333333298</v>
      </c>
      <c r="P58" s="487">
        <v>700883</v>
      </c>
      <c r="Q58" s="483">
        <v>1609</v>
      </c>
      <c r="R58" s="491">
        <f t="shared" si="11"/>
        <v>0</v>
      </c>
    </row>
    <row r="59" spans="2:18" x14ac:dyDescent="0.3">
      <c r="B59" s="479" t="s">
        <v>675</v>
      </c>
      <c r="C59" s="480">
        <v>10953</v>
      </c>
      <c r="D59" s="434">
        <v>45389</v>
      </c>
      <c r="E59" s="435">
        <v>0.33333333333333331</v>
      </c>
      <c r="F59" s="480">
        <v>654544</v>
      </c>
      <c r="G59" s="31">
        <v>1478</v>
      </c>
      <c r="H59" s="475">
        <f>C59-C58</f>
        <v>0</v>
      </c>
      <c r="L59" s="490" t="s">
        <v>688</v>
      </c>
      <c r="M59" s="483">
        <v>11624</v>
      </c>
      <c r="N59" s="485">
        <v>45389</v>
      </c>
      <c r="O59" s="486">
        <v>0.5</v>
      </c>
      <c r="P59" s="487">
        <v>700883</v>
      </c>
      <c r="Q59" s="483">
        <v>1609</v>
      </c>
      <c r="R59" s="491">
        <f t="shared" si="11"/>
        <v>0</v>
      </c>
    </row>
    <row r="60" spans="2:18" x14ac:dyDescent="0.3">
      <c r="B60" s="479" t="s">
        <v>675</v>
      </c>
      <c r="C60" s="480">
        <v>10955</v>
      </c>
      <c r="D60" s="434">
        <v>45390</v>
      </c>
      <c r="E60" s="435">
        <v>0.33333333333333331</v>
      </c>
      <c r="F60" s="480">
        <v>654653</v>
      </c>
      <c r="G60" s="31">
        <v>1480</v>
      </c>
      <c r="H60" s="475">
        <f t="shared" si="9"/>
        <v>2</v>
      </c>
      <c r="L60" s="494" t="s">
        <v>688</v>
      </c>
      <c r="M60" s="480">
        <v>11624</v>
      </c>
      <c r="N60" s="434">
        <v>45390</v>
      </c>
      <c r="O60" s="435">
        <v>0.33333333333333331</v>
      </c>
      <c r="P60" s="31">
        <v>700883</v>
      </c>
      <c r="Q60" s="480">
        <v>1609</v>
      </c>
      <c r="R60" s="495">
        <f t="shared" si="11"/>
        <v>0</v>
      </c>
    </row>
    <row r="61" spans="2:18" x14ac:dyDescent="0.3">
      <c r="B61" s="479" t="s">
        <v>675</v>
      </c>
      <c r="C61" s="480">
        <v>10969</v>
      </c>
      <c r="D61" s="434">
        <v>45391</v>
      </c>
      <c r="E61" s="435">
        <v>0.33333333333333331</v>
      </c>
      <c r="F61" s="480">
        <v>655535</v>
      </c>
      <c r="G61" s="31">
        <v>1480</v>
      </c>
      <c r="H61" s="475">
        <f t="shared" si="9"/>
        <v>14</v>
      </c>
      <c r="L61" s="494" t="s">
        <v>688</v>
      </c>
      <c r="M61" s="480">
        <v>11624</v>
      </c>
      <c r="N61" s="434">
        <v>45391</v>
      </c>
      <c r="O61" s="435">
        <v>0.33333333333333331</v>
      </c>
      <c r="P61" s="31">
        <v>700883</v>
      </c>
      <c r="Q61" s="480">
        <v>1609</v>
      </c>
      <c r="R61" s="495">
        <f t="shared" si="11"/>
        <v>0</v>
      </c>
    </row>
    <row r="62" spans="2:18" x14ac:dyDescent="0.3">
      <c r="B62" s="479" t="s">
        <v>675</v>
      </c>
      <c r="C62" s="480">
        <v>10969</v>
      </c>
      <c r="D62" s="434">
        <v>45392</v>
      </c>
      <c r="E62" s="435">
        <v>0.29166666666666669</v>
      </c>
      <c r="F62" s="480">
        <v>655535</v>
      </c>
      <c r="G62" s="31">
        <v>1480</v>
      </c>
      <c r="H62" s="475">
        <f t="shared" si="9"/>
        <v>0</v>
      </c>
      <c r="L62" s="494" t="s">
        <v>688</v>
      </c>
      <c r="M62" s="480">
        <v>11624</v>
      </c>
      <c r="N62" s="434">
        <v>45392</v>
      </c>
      <c r="O62" s="435">
        <v>0.375</v>
      </c>
      <c r="P62" s="31">
        <v>700883</v>
      </c>
      <c r="Q62" s="480">
        <v>1609</v>
      </c>
      <c r="R62" s="495">
        <f t="shared" si="11"/>
        <v>0</v>
      </c>
    </row>
    <row r="63" spans="2:18" x14ac:dyDescent="0.3">
      <c r="B63" s="479" t="s">
        <v>675</v>
      </c>
      <c r="C63" s="480">
        <v>10980</v>
      </c>
      <c r="D63" s="434">
        <v>45393</v>
      </c>
      <c r="E63" s="435">
        <v>0.33333333333333298</v>
      </c>
      <c r="F63" s="480">
        <f>((C63-C62)*62)+F62</f>
        <v>656217</v>
      </c>
      <c r="G63" s="31">
        <v>1482</v>
      </c>
      <c r="H63" s="475">
        <f t="shared" si="9"/>
        <v>11</v>
      </c>
      <c r="L63" s="494" t="s">
        <v>688</v>
      </c>
      <c r="M63" s="480">
        <v>11639</v>
      </c>
      <c r="N63" s="434">
        <v>45393</v>
      </c>
      <c r="O63" s="435">
        <v>0.33333333333333331</v>
      </c>
      <c r="P63" s="31">
        <v>701676</v>
      </c>
      <c r="Q63" s="480">
        <v>1613</v>
      </c>
      <c r="R63" s="495">
        <f t="shared" si="11"/>
        <v>15</v>
      </c>
    </row>
    <row r="64" spans="2:18" x14ac:dyDescent="0.3">
      <c r="B64" s="479" t="s">
        <v>675</v>
      </c>
      <c r="C64" s="480">
        <v>10991</v>
      </c>
      <c r="D64" s="434">
        <v>45395</v>
      </c>
      <c r="E64" s="435">
        <v>0.45833333333333331</v>
      </c>
      <c r="F64" s="480">
        <v>656867</v>
      </c>
      <c r="G64" s="31">
        <v>1483</v>
      </c>
      <c r="H64" s="475">
        <f t="shared" ref="H64:H69" si="12">C64-C63</f>
        <v>11</v>
      </c>
      <c r="L64" s="494" t="s">
        <v>688</v>
      </c>
      <c r="M64" s="480">
        <v>11643</v>
      </c>
      <c r="N64" s="434">
        <v>45395</v>
      </c>
      <c r="O64" s="435">
        <v>0.375</v>
      </c>
      <c r="P64" s="31">
        <v>701878</v>
      </c>
      <c r="Q64" s="480">
        <v>1614</v>
      </c>
      <c r="R64" s="495">
        <f t="shared" si="11"/>
        <v>4</v>
      </c>
    </row>
    <row r="65" spans="2:18" x14ac:dyDescent="0.3">
      <c r="B65" s="479" t="s">
        <v>675</v>
      </c>
      <c r="C65" s="480">
        <v>10991</v>
      </c>
      <c r="D65" s="434">
        <v>45396</v>
      </c>
      <c r="E65" s="435">
        <v>0.33333333333333331</v>
      </c>
      <c r="F65" s="480">
        <v>656867</v>
      </c>
      <c r="G65" s="31">
        <v>1483</v>
      </c>
      <c r="H65" s="475">
        <f t="shared" si="12"/>
        <v>0</v>
      </c>
      <c r="L65" s="494" t="s">
        <v>688</v>
      </c>
      <c r="M65" s="480">
        <v>11643</v>
      </c>
      <c r="N65" s="434">
        <v>45396</v>
      </c>
      <c r="O65" s="435">
        <v>0.33333333333333331</v>
      </c>
      <c r="P65" s="31">
        <v>701878</v>
      </c>
      <c r="Q65" s="480">
        <v>1614</v>
      </c>
      <c r="R65" s="495">
        <f t="shared" si="11"/>
        <v>0</v>
      </c>
    </row>
    <row r="66" spans="2:18" x14ac:dyDescent="0.3">
      <c r="B66" s="479" t="s">
        <v>675</v>
      </c>
      <c r="C66" s="480">
        <v>11000</v>
      </c>
      <c r="D66" s="434">
        <v>45397</v>
      </c>
      <c r="E66" s="435">
        <v>0.25</v>
      </c>
      <c r="F66" s="480">
        <v>657401</v>
      </c>
      <c r="G66" s="31">
        <v>1484</v>
      </c>
      <c r="H66" s="475">
        <f t="shared" si="12"/>
        <v>9</v>
      </c>
      <c r="L66" s="494" t="s">
        <v>688</v>
      </c>
      <c r="M66" s="480">
        <v>11647</v>
      </c>
      <c r="N66" s="434">
        <v>45397</v>
      </c>
      <c r="O66" s="435">
        <v>0.25</v>
      </c>
      <c r="P66" s="31">
        <v>702094</v>
      </c>
      <c r="Q66" s="480">
        <v>1615</v>
      </c>
      <c r="R66" s="495">
        <f t="shared" si="11"/>
        <v>4</v>
      </c>
    </row>
    <row r="67" spans="2:18" x14ac:dyDescent="0.3">
      <c r="B67" s="479" t="s">
        <v>675</v>
      </c>
      <c r="C67" s="480">
        <v>11001</v>
      </c>
      <c r="D67" s="434">
        <v>45398</v>
      </c>
      <c r="E67" s="435">
        <v>0.25</v>
      </c>
      <c r="F67" s="480">
        <v>657490</v>
      </c>
      <c r="G67" s="31">
        <v>1484</v>
      </c>
      <c r="H67" s="475">
        <f t="shared" si="12"/>
        <v>1</v>
      </c>
      <c r="L67" s="494" t="s">
        <v>688</v>
      </c>
      <c r="M67" s="480">
        <v>11666</v>
      </c>
      <c r="N67" s="434">
        <v>45398</v>
      </c>
      <c r="O67" s="435">
        <v>0.25</v>
      </c>
      <c r="P67" s="31">
        <v>703037</v>
      </c>
      <c r="Q67" s="480">
        <v>1616</v>
      </c>
      <c r="R67" s="495">
        <f t="shared" si="11"/>
        <v>19</v>
      </c>
    </row>
    <row r="68" spans="2:18" x14ac:dyDescent="0.3">
      <c r="B68" s="479" t="s">
        <v>675</v>
      </c>
      <c r="C68" s="480">
        <v>11012</v>
      </c>
      <c r="D68" s="434">
        <v>45399</v>
      </c>
      <c r="E68" s="435">
        <v>0.25</v>
      </c>
      <c r="F68" s="480">
        <v>658139</v>
      </c>
      <c r="G68" s="31">
        <v>1485</v>
      </c>
      <c r="H68" s="475">
        <f t="shared" si="12"/>
        <v>11</v>
      </c>
      <c r="L68" s="494" t="s">
        <v>688</v>
      </c>
      <c r="M68" s="480">
        <v>11666</v>
      </c>
      <c r="N68" s="434">
        <v>45399</v>
      </c>
      <c r="O68" s="435">
        <v>0.25</v>
      </c>
      <c r="P68" s="31">
        <v>703037</v>
      </c>
      <c r="Q68" s="480">
        <v>1616</v>
      </c>
      <c r="R68" s="495">
        <f t="shared" si="11"/>
        <v>0</v>
      </c>
    </row>
    <row r="69" spans="2:18" x14ac:dyDescent="0.3">
      <c r="B69" s="479" t="s">
        <v>675</v>
      </c>
      <c r="C69" s="480">
        <v>11029</v>
      </c>
      <c r="D69" s="434">
        <v>45400</v>
      </c>
      <c r="E69" s="435">
        <v>0.33333333333333331</v>
      </c>
      <c r="F69" s="480">
        <v>659201</v>
      </c>
      <c r="G69" s="31">
        <v>1486</v>
      </c>
      <c r="H69" s="475">
        <f t="shared" si="12"/>
        <v>17</v>
      </c>
      <c r="L69" s="494" t="s">
        <v>688</v>
      </c>
      <c r="M69" s="480">
        <v>11681</v>
      </c>
      <c r="N69" s="434">
        <v>45400</v>
      </c>
      <c r="O69" s="435">
        <v>0.33333333333333331</v>
      </c>
      <c r="P69" s="31">
        <v>703506</v>
      </c>
      <c r="Q69" s="480">
        <v>1621</v>
      </c>
      <c r="R69" s="495">
        <f t="shared" si="11"/>
        <v>15</v>
      </c>
    </row>
    <row r="70" spans="2:18" x14ac:dyDescent="0.3">
      <c r="B70" s="479" t="s">
        <v>675</v>
      </c>
      <c r="C70" s="480">
        <v>11029</v>
      </c>
      <c r="D70" s="434">
        <v>45401</v>
      </c>
      <c r="E70" s="435">
        <v>0.33333333333333331</v>
      </c>
      <c r="F70" s="480">
        <v>659201</v>
      </c>
      <c r="G70" s="31">
        <v>1486</v>
      </c>
      <c r="H70" s="475">
        <f t="shared" ref="H70:H101" si="13">C70-C69</f>
        <v>0</v>
      </c>
      <c r="L70" s="494" t="s">
        <v>688</v>
      </c>
      <c r="M70" s="480">
        <v>11681</v>
      </c>
      <c r="N70" s="434">
        <v>45401</v>
      </c>
      <c r="O70" s="435">
        <v>0.33333333333333331</v>
      </c>
      <c r="P70" s="31">
        <v>703506</v>
      </c>
      <c r="Q70" s="480">
        <v>1621</v>
      </c>
      <c r="R70" s="495">
        <f t="shared" si="11"/>
        <v>0</v>
      </c>
    </row>
    <row r="71" spans="2:18" x14ac:dyDescent="0.3">
      <c r="B71" s="479" t="s">
        <v>675</v>
      </c>
      <c r="C71" s="480">
        <v>11029</v>
      </c>
      <c r="D71" s="434">
        <v>45402</v>
      </c>
      <c r="E71" s="435">
        <v>0.29166666666666669</v>
      </c>
      <c r="F71" s="480">
        <v>659201</v>
      </c>
      <c r="G71" s="31">
        <v>1486</v>
      </c>
      <c r="H71" s="475">
        <f t="shared" si="13"/>
        <v>0</v>
      </c>
      <c r="L71" s="494" t="s">
        <v>688</v>
      </c>
      <c r="M71" s="480">
        <v>11682</v>
      </c>
      <c r="N71" s="434">
        <v>45402</v>
      </c>
      <c r="O71" s="435">
        <v>0.29166666666666669</v>
      </c>
      <c r="P71" s="31">
        <v>704070</v>
      </c>
      <c r="Q71" s="480">
        <v>1622</v>
      </c>
      <c r="R71" s="495">
        <f t="shared" si="11"/>
        <v>1</v>
      </c>
    </row>
    <row r="72" spans="2:18" x14ac:dyDescent="0.3">
      <c r="B72" s="479" t="s">
        <v>675</v>
      </c>
      <c r="C72" s="480">
        <v>11029</v>
      </c>
      <c r="D72" s="434">
        <v>45403</v>
      </c>
      <c r="E72" s="435">
        <v>0.33333333333333298</v>
      </c>
      <c r="F72" s="480">
        <v>659201</v>
      </c>
      <c r="G72" s="31">
        <v>1486</v>
      </c>
      <c r="H72" s="475">
        <f t="shared" si="13"/>
        <v>0</v>
      </c>
      <c r="L72" s="494" t="s">
        <v>688</v>
      </c>
      <c r="M72" s="480">
        <v>11682</v>
      </c>
      <c r="N72" s="434">
        <v>45403</v>
      </c>
      <c r="O72" s="435">
        <v>0.29166666666666669</v>
      </c>
      <c r="P72" s="31">
        <v>704070</v>
      </c>
      <c r="Q72" s="480">
        <v>1622</v>
      </c>
      <c r="R72" s="495">
        <f t="shared" si="11"/>
        <v>0</v>
      </c>
    </row>
    <row r="73" spans="2:18" x14ac:dyDescent="0.3">
      <c r="B73" s="479" t="s">
        <v>675</v>
      </c>
      <c r="C73" s="480">
        <v>11029</v>
      </c>
      <c r="D73" s="434">
        <v>45404</v>
      </c>
      <c r="E73" s="435">
        <v>0.29166666666666669</v>
      </c>
      <c r="F73" s="480">
        <v>659201</v>
      </c>
      <c r="G73" s="31">
        <v>1486</v>
      </c>
      <c r="H73" s="475">
        <f t="shared" si="13"/>
        <v>0</v>
      </c>
      <c r="L73" s="494" t="s">
        <v>688</v>
      </c>
      <c r="M73" s="480">
        <v>11682</v>
      </c>
      <c r="N73" s="434">
        <v>45404</v>
      </c>
      <c r="O73" s="435">
        <v>0.29166666666666669</v>
      </c>
      <c r="P73" s="31">
        <v>704070</v>
      </c>
      <c r="Q73" s="480">
        <v>1622</v>
      </c>
      <c r="R73" s="495">
        <f t="shared" si="11"/>
        <v>0</v>
      </c>
    </row>
    <row r="74" spans="2:18" x14ac:dyDescent="0.3">
      <c r="B74" s="479" t="s">
        <v>675</v>
      </c>
      <c r="C74" s="480">
        <v>11029</v>
      </c>
      <c r="D74" s="434">
        <v>45405</v>
      </c>
      <c r="E74" s="435">
        <v>0.33333333333333298</v>
      </c>
      <c r="F74" s="480">
        <v>659201</v>
      </c>
      <c r="G74" s="31">
        <v>1486</v>
      </c>
      <c r="H74" s="475">
        <f t="shared" si="13"/>
        <v>0</v>
      </c>
      <c r="L74" s="494" t="s">
        <v>688</v>
      </c>
      <c r="M74" s="480">
        <v>11682</v>
      </c>
      <c r="N74" s="434">
        <v>45405</v>
      </c>
      <c r="O74" s="435">
        <v>0.29166666666666669</v>
      </c>
      <c r="P74" s="31">
        <v>704070</v>
      </c>
      <c r="Q74" s="480">
        <v>1622</v>
      </c>
      <c r="R74" s="495">
        <f t="shared" si="11"/>
        <v>0</v>
      </c>
    </row>
    <row r="75" spans="2:18" x14ac:dyDescent="0.3">
      <c r="B75" s="479" t="s">
        <v>675</v>
      </c>
      <c r="C75" s="480">
        <v>11029</v>
      </c>
      <c r="D75" s="434">
        <v>45406</v>
      </c>
      <c r="E75" s="435">
        <v>0.33333333333333298</v>
      </c>
      <c r="F75" s="480">
        <v>659201</v>
      </c>
      <c r="G75" s="31">
        <v>1486</v>
      </c>
      <c r="H75" s="475">
        <f t="shared" si="13"/>
        <v>0</v>
      </c>
      <c r="L75" s="494" t="s">
        <v>688</v>
      </c>
      <c r="M75" s="480">
        <v>11682</v>
      </c>
      <c r="N75" s="434">
        <v>45406</v>
      </c>
      <c r="O75" s="435">
        <v>0.29166666666666669</v>
      </c>
      <c r="P75" s="31">
        <v>704070</v>
      </c>
      <c r="Q75" s="480">
        <v>1622</v>
      </c>
      <c r="R75" s="495">
        <f t="shared" si="11"/>
        <v>0</v>
      </c>
    </row>
    <row r="76" spans="2:18" x14ac:dyDescent="0.3">
      <c r="B76" s="479" t="s">
        <v>675</v>
      </c>
      <c r="C76" s="480">
        <v>11029</v>
      </c>
      <c r="D76" s="434">
        <v>45407</v>
      </c>
      <c r="E76" s="435">
        <v>0.33333333333333298</v>
      </c>
      <c r="F76" s="480">
        <v>659201</v>
      </c>
      <c r="G76" s="31">
        <v>1486</v>
      </c>
      <c r="H76" s="475">
        <f t="shared" si="13"/>
        <v>0</v>
      </c>
      <c r="L76" s="494" t="s">
        <v>688</v>
      </c>
      <c r="M76" s="480">
        <v>11682</v>
      </c>
      <c r="N76" s="434">
        <v>45407</v>
      </c>
      <c r="O76" s="435">
        <v>0.29166666666666669</v>
      </c>
      <c r="P76" s="31">
        <v>704070</v>
      </c>
      <c r="Q76" s="480">
        <v>1622</v>
      </c>
      <c r="R76" s="495">
        <f t="shared" si="11"/>
        <v>0</v>
      </c>
    </row>
    <row r="77" spans="2:18" x14ac:dyDescent="0.3">
      <c r="B77" s="502" t="s">
        <v>675</v>
      </c>
      <c r="C77" s="483">
        <v>11045</v>
      </c>
      <c r="D77" s="485">
        <v>45408</v>
      </c>
      <c r="E77" s="486">
        <v>0.33333333333333298</v>
      </c>
      <c r="F77" s="483">
        <v>660204</v>
      </c>
      <c r="G77" s="487">
        <v>1488</v>
      </c>
      <c r="H77" s="503">
        <f t="shared" si="13"/>
        <v>16</v>
      </c>
      <c r="L77" s="490" t="s">
        <v>688</v>
      </c>
      <c r="M77" s="483">
        <v>11682</v>
      </c>
      <c r="N77" s="485">
        <v>45408</v>
      </c>
      <c r="O77" s="435">
        <v>0.29166666666666669</v>
      </c>
      <c r="P77" s="487">
        <v>704070</v>
      </c>
      <c r="Q77" s="480">
        <v>1622</v>
      </c>
      <c r="R77" s="495">
        <f t="shared" si="11"/>
        <v>0</v>
      </c>
    </row>
    <row r="78" spans="2:18" x14ac:dyDescent="0.3">
      <c r="B78" s="502" t="s">
        <v>675</v>
      </c>
      <c r="C78" s="483">
        <v>11045</v>
      </c>
      <c r="D78" s="485">
        <v>45409</v>
      </c>
      <c r="E78" s="486">
        <v>0.33333333333333331</v>
      </c>
      <c r="F78" s="483">
        <v>660204</v>
      </c>
      <c r="G78" s="487">
        <v>1488</v>
      </c>
      <c r="H78" s="503">
        <f t="shared" si="13"/>
        <v>0</v>
      </c>
      <c r="L78" s="490" t="s">
        <v>688</v>
      </c>
      <c r="M78" s="483">
        <v>11682</v>
      </c>
      <c r="N78" s="485">
        <v>45409</v>
      </c>
      <c r="O78" s="435">
        <v>0.33333333333333298</v>
      </c>
      <c r="P78" s="487">
        <v>704070</v>
      </c>
      <c r="Q78" s="480">
        <v>1622</v>
      </c>
      <c r="R78" s="495">
        <f t="shared" si="11"/>
        <v>0</v>
      </c>
    </row>
    <row r="79" spans="2:18" x14ac:dyDescent="0.3">
      <c r="B79" s="502" t="s">
        <v>675</v>
      </c>
      <c r="C79" s="483">
        <v>11045</v>
      </c>
      <c r="D79" s="485">
        <v>45410</v>
      </c>
      <c r="E79" s="486">
        <v>0.375</v>
      </c>
      <c r="F79" s="483">
        <v>660204</v>
      </c>
      <c r="G79" s="487">
        <v>1488</v>
      </c>
      <c r="H79" s="503">
        <f t="shared" si="13"/>
        <v>0</v>
      </c>
      <c r="L79" s="490" t="s">
        <v>688</v>
      </c>
      <c r="M79" s="483">
        <v>11682</v>
      </c>
      <c r="N79" s="485">
        <v>45410</v>
      </c>
      <c r="O79" s="435">
        <v>0.375</v>
      </c>
      <c r="P79" s="487">
        <v>704070</v>
      </c>
      <c r="Q79" s="480">
        <v>1622</v>
      </c>
      <c r="R79" s="495">
        <f t="shared" si="11"/>
        <v>0</v>
      </c>
    </row>
    <row r="80" spans="2:18" x14ac:dyDescent="0.3">
      <c r="B80" s="502" t="s">
        <v>675</v>
      </c>
      <c r="C80" s="483">
        <v>11045</v>
      </c>
      <c r="D80" s="485">
        <v>45411</v>
      </c>
      <c r="E80" s="486">
        <v>0.41666666666666702</v>
      </c>
      <c r="F80" s="483">
        <v>660204</v>
      </c>
      <c r="G80" s="487">
        <v>1488</v>
      </c>
      <c r="H80" s="503">
        <f t="shared" si="13"/>
        <v>0</v>
      </c>
      <c r="L80" s="490" t="s">
        <v>688</v>
      </c>
      <c r="M80" s="483">
        <v>11682</v>
      </c>
      <c r="N80" s="485">
        <v>45411</v>
      </c>
      <c r="O80" s="435">
        <v>0.29166666666666669</v>
      </c>
      <c r="P80" s="487">
        <v>704070</v>
      </c>
      <c r="Q80" s="480">
        <v>1622</v>
      </c>
      <c r="R80" s="495">
        <f t="shared" si="11"/>
        <v>0</v>
      </c>
    </row>
    <row r="81" spans="2:18" x14ac:dyDescent="0.3">
      <c r="B81" s="502" t="s">
        <v>675</v>
      </c>
      <c r="C81" s="483">
        <v>11045</v>
      </c>
      <c r="D81" s="485">
        <v>45412</v>
      </c>
      <c r="E81" s="486">
        <v>0.25</v>
      </c>
      <c r="F81" s="483">
        <v>660204</v>
      </c>
      <c r="G81" s="487">
        <v>1488</v>
      </c>
      <c r="H81" s="503">
        <f t="shared" si="13"/>
        <v>0</v>
      </c>
      <c r="L81" s="490" t="s">
        <v>688</v>
      </c>
      <c r="M81" s="483">
        <v>11682</v>
      </c>
      <c r="N81" s="485">
        <v>45412</v>
      </c>
      <c r="O81" s="435">
        <v>0.33333333333333298</v>
      </c>
      <c r="P81" s="487">
        <v>704070</v>
      </c>
      <c r="Q81" s="480">
        <v>1622</v>
      </c>
      <c r="R81" s="495">
        <f t="shared" si="11"/>
        <v>0</v>
      </c>
    </row>
    <row r="82" spans="2:18" x14ac:dyDescent="0.3">
      <c r="B82" s="502" t="s">
        <v>675</v>
      </c>
      <c r="C82" s="483">
        <v>11059</v>
      </c>
      <c r="D82" s="485">
        <v>45413</v>
      </c>
      <c r="E82" s="486">
        <v>0.29166666666666702</v>
      </c>
      <c r="F82" s="483">
        <v>660921</v>
      </c>
      <c r="G82" s="487">
        <v>1490</v>
      </c>
      <c r="H82" s="503">
        <f t="shared" si="13"/>
        <v>14</v>
      </c>
      <c r="L82" s="490" t="s">
        <v>688</v>
      </c>
      <c r="M82" s="483">
        <v>11682</v>
      </c>
      <c r="N82" s="485">
        <v>45413</v>
      </c>
      <c r="O82" s="435">
        <v>0.375</v>
      </c>
      <c r="P82" s="487">
        <v>704070</v>
      </c>
      <c r="Q82" s="480">
        <v>1622</v>
      </c>
      <c r="R82" s="495">
        <f t="shared" si="11"/>
        <v>0</v>
      </c>
    </row>
    <row r="83" spans="2:18" x14ac:dyDescent="0.3">
      <c r="B83" s="502" t="s">
        <v>675</v>
      </c>
      <c r="C83" s="483">
        <v>11073</v>
      </c>
      <c r="D83" s="485">
        <v>45414</v>
      </c>
      <c r="E83" s="486">
        <v>0.33333333333333398</v>
      </c>
      <c r="F83" s="483">
        <v>661786</v>
      </c>
      <c r="G83" s="487">
        <v>1491</v>
      </c>
      <c r="H83" s="503">
        <f t="shared" si="13"/>
        <v>14</v>
      </c>
      <c r="L83" s="490" t="s">
        <v>688</v>
      </c>
      <c r="M83" s="483">
        <v>11682</v>
      </c>
      <c r="N83" s="485">
        <v>45414</v>
      </c>
      <c r="O83" s="435">
        <v>0.41666666666666702</v>
      </c>
      <c r="P83" s="487">
        <v>704070</v>
      </c>
      <c r="Q83" s="480">
        <v>1622</v>
      </c>
      <c r="R83" s="495">
        <f t="shared" si="11"/>
        <v>0</v>
      </c>
    </row>
    <row r="84" spans="2:18" x14ac:dyDescent="0.3">
      <c r="B84" s="502" t="s">
        <v>675</v>
      </c>
      <c r="C84" s="483">
        <v>11075</v>
      </c>
      <c r="D84" s="485">
        <v>45415</v>
      </c>
      <c r="E84" s="486">
        <v>0.33333333333333331</v>
      </c>
      <c r="F84" s="483">
        <v>661888</v>
      </c>
      <c r="G84" s="487">
        <v>1492</v>
      </c>
      <c r="H84" s="503">
        <f t="shared" si="13"/>
        <v>2</v>
      </c>
      <c r="L84" s="490" t="s">
        <v>688</v>
      </c>
      <c r="M84" s="483">
        <v>11682</v>
      </c>
      <c r="N84" s="485">
        <v>45415</v>
      </c>
      <c r="O84" s="435">
        <v>0.33333333333333331</v>
      </c>
      <c r="P84" s="487">
        <v>704070</v>
      </c>
      <c r="Q84" s="480">
        <v>1622</v>
      </c>
      <c r="R84" s="495">
        <f t="shared" si="11"/>
        <v>0</v>
      </c>
    </row>
    <row r="85" spans="2:18" x14ac:dyDescent="0.3">
      <c r="B85" s="502" t="s">
        <v>675</v>
      </c>
      <c r="C85" s="483">
        <v>11084</v>
      </c>
      <c r="D85" s="485">
        <v>45416</v>
      </c>
      <c r="E85" s="486">
        <v>0.33333333333333331</v>
      </c>
      <c r="F85" s="483">
        <v>662454</v>
      </c>
      <c r="G85" s="487">
        <v>1492</v>
      </c>
      <c r="H85" s="503">
        <f t="shared" si="13"/>
        <v>9</v>
      </c>
      <c r="L85" s="490" t="s">
        <v>688</v>
      </c>
      <c r="M85" s="483">
        <v>11682</v>
      </c>
      <c r="N85" s="485">
        <v>45416</v>
      </c>
      <c r="O85" s="435">
        <v>0.33333333333333331</v>
      </c>
      <c r="P85" s="487">
        <v>704070</v>
      </c>
      <c r="Q85" s="480">
        <v>1622</v>
      </c>
      <c r="R85" s="495">
        <f t="shared" si="11"/>
        <v>0</v>
      </c>
    </row>
    <row r="86" spans="2:18" x14ac:dyDescent="0.3">
      <c r="B86" s="502" t="s">
        <v>675</v>
      </c>
      <c r="C86" s="483">
        <v>11090</v>
      </c>
      <c r="D86" s="485">
        <v>45417</v>
      </c>
      <c r="E86" s="486">
        <v>0.375</v>
      </c>
      <c r="F86" s="483">
        <v>662950</v>
      </c>
      <c r="G86" s="487">
        <v>1494</v>
      </c>
      <c r="H86" s="503">
        <f t="shared" si="13"/>
        <v>6</v>
      </c>
      <c r="L86" s="490" t="s">
        <v>688</v>
      </c>
      <c r="M86" s="483">
        <v>11682</v>
      </c>
      <c r="N86" s="485">
        <v>45417</v>
      </c>
      <c r="O86" s="435">
        <v>0.375</v>
      </c>
      <c r="P86" s="487">
        <v>704070</v>
      </c>
      <c r="Q86" s="480">
        <v>1622</v>
      </c>
      <c r="R86" s="495">
        <f t="shared" si="11"/>
        <v>0</v>
      </c>
    </row>
    <row r="87" spans="2:18" x14ac:dyDescent="0.3">
      <c r="B87" s="502" t="s">
        <v>675</v>
      </c>
      <c r="C87" s="483">
        <v>11102</v>
      </c>
      <c r="D87" s="485">
        <v>45418</v>
      </c>
      <c r="E87" s="486">
        <v>0.29166666666666669</v>
      </c>
      <c r="F87" s="483">
        <v>663568</v>
      </c>
      <c r="G87" s="487">
        <v>1494</v>
      </c>
      <c r="H87" s="503">
        <f t="shared" si="13"/>
        <v>12</v>
      </c>
      <c r="L87" s="490" t="s">
        <v>688</v>
      </c>
      <c r="M87" s="483">
        <v>11682</v>
      </c>
      <c r="N87" s="485">
        <v>45418</v>
      </c>
      <c r="O87" s="435">
        <v>0.29166666666666669</v>
      </c>
      <c r="P87" s="487">
        <v>704070</v>
      </c>
      <c r="Q87" s="480">
        <v>1622</v>
      </c>
      <c r="R87" s="495">
        <f t="shared" si="11"/>
        <v>0</v>
      </c>
    </row>
    <row r="88" spans="2:18" x14ac:dyDescent="0.3">
      <c r="B88" s="502" t="s">
        <v>675</v>
      </c>
      <c r="C88" s="483">
        <v>11117</v>
      </c>
      <c r="D88" s="485">
        <v>45419</v>
      </c>
      <c r="E88" s="486">
        <v>0.33333333333333298</v>
      </c>
      <c r="F88" s="483">
        <v>664457</v>
      </c>
      <c r="G88" s="487">
        <v>1495</v>
      </c>
      <c r="H88" s="503">
        <f t="shared" si="13"/>
        <v>15</v>
      </c>
      <c r="L88" s="490" t="s">
        <v>688</v>
      </c>
      <c r="M88" s="483">
        <v>11682</v>
      </c>
      <c r="N88" s="485">
        <v>45419</v>
      </c>
      <c r="O88" s="435">
        <v>0.33333333333333298</v>
      </c>
      <c r="P88" s="487">
        <v>704070</v>
      </c>
      <c r="Q88" s="480">
        <v>1622</v>
      </c>
      <c r="R88" s="495">
        <f t="shared" si="11"/>
        <v>0</v>
      </c>
    </row>
    <row r="89" spans="2:18" x14ac:dyDescent="0.3">
      <c r="B89" s="502" t="s">
        <v>675</v>
      </c>
      <c r="C89" s="483">
        <v>11128</v>
      </c>
      <c r="D89" s="485">
        <v>45420</v>
      </c>
      <c r="E89" s="486">
        <v>0.375</v>
      </c>
      <c r="F89" s="483">
        <v>665161</v>
      </c>
      <c r="G89" s="487">
        <v>1496</v>
      </c>
      <c r="H89" s="503">
        <f t="shared" si="13"/>
        <v>11</v>
      </c>
      <c r="L89" s="490" t="s">
        <v>688</v>
      </c>
      <c r="M89" s="483">
        <v>11682</v>
      </c>
      <c r="N89" s="485">
        <v>45420</v>
      </c>
      <c r="O89" s="435">
        <v>0.33333333333333331</v>
      </c>
      <c r="P89" s="487">
        <v>704070</v>
      </c>
      <c r="Q89" s="480">
        <v>1622</v>
      </c>
      <c r="R89" s="495">
        <f t="shared" ref="R89:R120" si="14">M89-M88</f>
        <v>0</v>
      </c>
    </row>
    <row r="90" spans="2:18" x14ac:dyDescent="0.3">
      <c r="B90" s="479" t="s">
        <v>675</v>
      </c>
      <c r="C90" s="480">
        <v>11134</v>
      </c>
      <c r="D90" s="434">
        <v>45421</v>
      </c>
      <c r="E90" s="435">
        <v>0.25</v>
      </c>
      <c r="F90" s="480">
        <v>665497</v>
      </c>
      <c r="G90" s="31">
        <v>1498</v>
      </c>
      <c r="H90" s="475">
        <f t="shared" si="13"/>
        <v>6</v>
      </c>
      <c r="L90" s="494" t="s">
        <v>688</v>
      </c>
      <c r="M90" s="480">
        <v>11724</v>
      </c>
      <c r="N90" s="434">
        <v>45421</v>
      </c>
      <c r="O90" s="435">
        <v>0.25</v>
      </c>
      <c r="P90" s="31">
        <v>705709</v>
      </c>
      <c r="Q90" s="480">
        <v>1628</v>
      </c>
      <c r="R90" s="495">
        <f t="shared" si="14"/>
        <v>42</v>
      </c>
    </row>
    <row r="91" spans="2:18" x14ac:dyDescent="0.3">
      <c r="B91" s="479" t="s">
        <v>675</v>
      </c>
      <c r="C91" s="480">
        <v>11140</v>
      </c>
      <c r="D91" s="434">
        <v>45422</v>
      </c>
      <c r="E91" s="435">
        <v>0.33333333333333331</v>
      </c>
      <c r="F91" s="480">
        <v>665881</v>
      </c>
      <c r="G91" s="31">
        <v>1501</v>
      </c>
      <c r="H91" s="475">
        <f t="shared" si="13"/>
        <v>6</v>
      </c>
      <c r="L91" s="494" t="s">
        <v>688</v>
      </c>
      <c r="M91" s="480">
        <v>11724</v>
      </c>
      <c r="N91" s="434">
        <v>45422</v>
      </c>
      <c r="O91" s="435">
        <v>0.33333333333333331</v>
      </c>
      <c r="P91" s="31">
        <v>705709</v>
      </c>
      <c r="Q91" s="480">
        <v>1628</v>
      </c>
      <c r="R91" s="495">
        <f t="shared" si="14"/>
        <v>0</v>
      </c>
    </row>
    <row r="92" spans="2:18" x14ac:dyDescent="0.3">
      <c r="B92" s="479" t="s">
        <v>675</v>
      </c>
      <c r="C92" s="480">
        <v>11152</v>
      </c>
      <c r="D92" s="434">
        <v>45423</v>
      </c>
      <c r="E92" s="435">
        <v>0.29166666666666669</v>
      </c>
      <c r="F92" s="480">
        <v>666603</v>
      </c>
      <c r="G92" s="31">
        <v>1501</v>
      </c>
      <c r="H92" s="475">
        <f t="shared" si="13"/>
        <v>12</v>
      </c>
      <c r="L92" s="494" t="s">
        <v>688</v>
      </c>
      <c r="M92" s="480">
        <v>11724</v>
      </c>
      <c r="N92" s="434">
        <v>45423</v>
      </c>
      <c r="O92" s="435">
        <v>0.29166666666666669</v>
      </c>
      <c r="P92" s="31">
        <v>705709</v>
      </c>
      <c r="Q92" s="480">
        <v>1628</v>
      </c>
      <c r="R92" s="495">
        <f t="shared" si="14"/>
        <v>0</v>
      </c>
    </row>
    <row r="93" spans="2:18" x14ac:dyDescent="0.3">
      <c r="B93" s="479" t="s">
        <v>675</v>
      </c>
      <c r="C93" s="480">
        <v>11152</v>
      </c>
      <c r="D93" s="434">
        <v>45424</v>
      </c>
      <c r="E93" s="435">
        <v>0.33333333333333331</v>
      </c>
      <c r="F93" s="480">
        <v>666603</v>
      </c>
      <c r="G93" s="31">
        <v>1501</v>
      </c>
      <c r="H93" s="475">
        <f t="shared" si="13"/>
        <v>0</v>
      </c>
      <c r="L93" s="494" t="s">
        <v>688</v>
      </c>
      <c r="M93" s="480">
        <v>11724</v>
      </c>
      <c r="N93" s="434">
        <v>45424</v>
      </c>
      <c r="O93" s="435">
        <v>0.33333333333333298</v>
      </c>
      <c r="P93" s="31">
        <v>705709</v>
      </c>
      <c r="Q93" s="480">
        <v>1628</v>
      </c>
      <c r="R93" s="495">
        <f t="shared" si="14"/>
        <v>0</v>
      </c>
    </row>
    <row r="94" spans="2:18" x14ac:dyDescent="0.3">
      <c r="B94" s="479" t="s">
        <v>675</v>
      </c>
      <c r="C94" s="480">
        <v>11163</v>
      </c>
      <c r="D94" s="434">
        <v>45425</v>
      </c>
      <c r="E94" s="435">
        <v>0.29166666666666669</v>
      </c>
      <c r="F94" s="480">
        <v>667139</v>
      </c>
      <c r="G94" s="31">
        <v>1502</v>
      </c>
      <c r="H94" s="475">
        <f t="shared" si="13"/>
        <v>11</v>
      </c>
      <c r="L94" s="494" t="s">
        <v>688</v>
      </c>
      <c r="M94" s="480">
        <v>11731</v>
      </c>
      <c r="N94" s="434">
        <v>45425</v>
      </c>
      <c r="O94" s="435">
        <v>0.29166666666666669</v>
      </c>
      <c r="P94" s="31">
        <v>706062</v>
      </c>
      <c r="Q94" s="480">
        <v>1629</v>
      </c>
      <c r="R94" s="495">
        <f t="shared" si="14"/>
        <v>7</v>
      </c>
    </row>
    <row r="95" spans="2:18" x14ac:dyDescent="0.3">
      <c r="B95" s="479" t="s">
        <v>675</v>
      </c>
      <c r="C95" s="480">
        <v>11176</v>
      </c>
      <c r="D95" s="434">
        <v>45426</v>
      </c>
      <c r="E95" s="435">
        <v>0.33333333333333298</v>
      </c>
      <c r="F95" s="480">
        <v>667786</v>
      </c>
      <c r="G95" s="31">
        <v>1503</v>
      </c>
      <c r="H95" s="475">
        <f t="shared" si="13"/>
        <v>13</v>
      </c>
      <c r="L95" s="494" t="s">
        <v>688</v>
      </c>
      <c r="M95" s="480">
        <v>11731</v>
      </c>
      <c r="N95" s="434">
        <v>45426</v>
      </c>
      <c r="O95" s="435">
        <v>0.33333333333333298</v>
      </c>
      <c r="P95" s="31">
        <v>706062</v>
      </c>
      <c r="Q95" s="480">
        <v>1629</v>
      </c>
      <c r="R95" s="495">
        <f t="shared" si="14"/>
        <v>0</v>
      </c>
    </row>
    <row r="96" spans="2:18" x14ac:dyDescent="0.3">
      <c r="B96" s="479" t="s">
        <v>675</v>
      </c>
      <c r="C96" s="480">
        <v>11192</v>
      </c>
      <c r="D96" s="434">
        <v>45427</v>
      </c>
      <c r="E96" s="435">
        <v>0.375</v>
      </c>
      <c r="F96" s="480">
        <v>668570</v>
      </c>
      <c r="G96" s="31">
        <v>1505</v>
      </c>
      <c r="H96" s="475">
        <f t="shared" si="13"/>
        <v>16</v>
      </c>
      <c r="L96" s="494" t="s">
        <v>688</v>
      </c>
      <c r="M96" s="480">
        <v>11731</v>
      </c>
      <c r="N96" s="434">
        <v>45427</v>
      </c>
      <c r="O96" s="435">
        <v>0.375</v>
      </c>
      <c r="P96" s="31">
        <v>706062</v>
      </c>
      <c r="Q96" s="480">
        <v>1629</v>
      </c>
      <c r="R96" s="495">
        <f t="shared" si="14"/>
        <v>0</v>
      </c>
    </row>
    <row r="97" spans="2:18" x14ac:dyDescent="0.3">
      <c r="B97" s="479" t="s">
        <v>675</v>
      </c>
      <c r="C97" s="480">
        <v>11202</v>
      </c>
      <c r="D97" s="434">
        <v>45428</v>
      </c>
      <c r="E97" s="435">
        <v>0.29166666666666669</v>
      </c>
      <c r="F97" s="480">
        <v>669078</v>
      </c>
      <c r="G97" s="31">
        <v>1505</v>
      </c>
      <c r="H97" s="475">
        <f t="shared" si="13"/>
        <v>10</v>
      </c>
      <c r="L97" s="494" t="s">
        <v>688</v>
      </c>
      <c r="M97" s="480">
        <v>11731</v>
      </c>
      <c r="N97" s="434">
        <v>45428</v>
      </c>
      <c r="O97" s="435">
        <v>0.29166666666666669</v>
      </c>
      <c r="P97" s="31">
        <v>706062</v>
      </c>
      <c r="Q97" s="480">
        <v>1629</v>
      </c>
      <c r="R97" s="495">
        <f t="shared" si="14"/>
        <v>0</v>
      </c>
    </row>
    <row r="98" spans="2:18" x14ac:dyDescent="0.3">
      <c r="B98" s="502" t="s">
        <v>675</v>
      </c>
      <c r="C98" s="483">
        <v>11202</v>
      </c>
      <c r="D98" s="485">
        <v>45429</v>
      </c>
      <c r="E98" s="486">
        <v>0.33333333333333298</v>
      </c>
      <c r="F98" s="483">
        <v>669078</v>
      </c>
      <c r="G98" s="487">
        <v>1505</v>
      </c>
      <c r="H98" s="503">
        <f t="shared" si="13"/>
        <v>0</v>
      </c>
      <c r="L98" s="490" t="s">
        <v>688</v>
      </c>
      <c r="M98" s="483">
        <v>11747</v>
      </c>
      <c r="N98" s="485">
        <v>45429</v>
      </c>
      <c r="O98" s="486">
        <v>0.33333333333333298</v>
      </c>
      <c r="P98" s="487">
        <v>706972</v>
      </c>
      <c r="Q98" s="483">
        <v>1633</v>
      </c>
      <c r="R98" s="491">
        <f t="shared" si="14"/>
        <v>16</v>
      </c>
    </row>
    <row r="99" spans="2:18" x14ac:dyDescent="0.3">
      <c r="B99" s="502" t="s">
        <v>675</v>
      </c>
      <c r="C99" s="483">
        <v>11203</v>
      </c>
      <c r="D99" s="485">
        <v>45430</v>
      </c>
      <c r="E99" s="486">
        <v>0.375</v>
      </c>
      <c r="F99" s="483">
        <v>669160</v>
      </c>
      <c r="G99" s="487">
        <v>1508</v>
      </c>
      <c r="H99" s="503">
        <f t="shared" si="13"/>
        <v>1</v>
      </c>
      <c r="L99" s="490" t="s">
        <v>688</v>
      </c>
      <c r="M99" s="483">
        <v>11757</v>
      </c>
      <c r="N99" s="485">
        <v>45430</v>
      </c>
      <c r="O99" s="486">
        <v>0.375</v>
      </c>
      <c r="P99" s="487">
        <v>707430</v>
      </c>
      <c r="Q99" s="483">
        <v>1635</v>
      </c>
      <c r="R99" s="491">
        <f t="shared" si="14"/>
        <v>10</v>
      </c>
    </row>
    <row r="100" spans="2:18" x14ac:dyDescent="0.3">
      <c r="B100" s="502" t="s">
        <v>675</v>
      </c>
      <c r="C100" s="483">
        <v>11226</v>
      </c>
      <c r="D100" s="485">
        <v>45431</v>
      </c>
      <c r="E100" s="486">
        <v>0.41666666666666702</v>
      </c>
      <c r="F100" s="483">
        <v>670299</v>
      </c>
      <c r="G100" s="487">
        <v>1510</v>
      </c>
      <c r="H100" s="503">
        <f t="shared" si="13"/>
        <v>23</v>
      </c>
      <c r="L100" s="490" t="s">
        <v>688</v>
      </c>
      <c r="M100" s="483">
        <v>11762</v>
      </c>
      <c r="N100" s="485">
        <v>45431</v>
      </c>
      <c r="O100" s="486">
        <v>0.41666666666666702</v>
      </c>
      <c r="P100" s="487">
        <v>707630</v>
      </c>
      <c r="Q100" s="483">
        <v>1635</v>
      </c>
      <c r="R100" s="491">
        <f t="shared" si="14"/>
        <v>5</v>
      </c>
    </row>
    <row r="101" spans="2:18" x14ac:dyDescent="0.3">
      <c r="B101" s="502" t="s">
        <v>675</v>
      </c>
      <c r="C101" s="483">
        <v>11233</v>
      </c>
      <c r="D101" s="485">
        <v>45432</v>
      </c>
      <c r="E101" s="486">
        <v>0.41666666666666669</v>
      </c>
      <c r="F101" s="483">
        <v>670642</v>
      </c>
      <c r="G101" s="487">
        <v>1510</v>
      </c>
      <c r="H101" s="503">
        <f t="shared" si="13"/>
        <v>7</v>
      </c>
      <c r="L101" s="490" t="s">
        <v>688</v>
      </c>
      <c r="M101" s="483">
        <v>11762</v>
      </c>
      <c r="N101" s="485">
        <v>45432</v>
      </c>
      <c r="O101" s="486">
        <v>0.41666666666666669</v>
      </c>
      <c r="P101" s="487">
        <v>707630</v>
      </c>
      <c r="Q101" s="483">
        <v>1635</v>
      </c>
      <c r="R101" s="491">
        <f t="shared" si="14"/>
        <v>0</v>
      </c>
    </row>
    <row r="102" spans="2:18" x14ac:dyDescent="0.3">
      <c r="B102" s="502" t="s">
        <v>675</v>
      </c>
      <c r="C102" s="483">
        <v>11240</v>
      </c>
      <c r="D102" s="485">
        <v>45433</v>
      </c>
      <c r="E102" s="486">
        <v>0.33333333333333331</v>
      </c>
      <c r="F102" s="483">
        <v>670988</v>
      </c>
      <c r="G102" s="487">
        <v>1512</v>
      </c>
      <c r="H102" s="503">
        <f t="shared" ref="H102:H122" si="15">C102-C101</f>
        <v>7</v>
      </c>
      <c r="L102" s="490" t="s">
        <v>688</v>
      </c>
      <c r="M102" s="483">
        <v>11763</v>
      </c>
      <c r="N102" s="485">
        <v>45433</v>
      </c>
      <c r="O102" s="486">
        <v>0.29166666666666669</v>
      </c>
      <c r="P102" s="487">
        <v>707630</v>
      </c>
      <c r="Q102" s="483">
        <v>1635</v>
      </c>
      <c r="R102" s="491">
        <f t="shared" si="14"/>
        <v>1</v>
      </c>
    </row>
    <row r="103" spans="2:18" x14ac:dyDescent="0.3">
      <c r="B103" s="502" t="s">
        <v>675</v>
      </c>
      <c r="C103" s="483">
        <v>11254</v>
      </c>
      <c r="D103" s="485">
        <v>45434</v>
      </c>
      <c r="E103" s="486">
        <v>0.375</v>
      </c>
      <c r="F103" s="483">
        <v>671690</v>
      </c>
      <c r="G103" s="487">
        <v>1513</v>
      </c>
      <c r="H103" s="503">
        <f t="shared" si="15"/>
        <v>14</v>
      </c>
      <c r="L103" s="490" t="s">
        <v>688</v>
      </c>
      <c r="M103" s="483">
        <v>11774</v>
      </c>
      <c r="N103" s="485">
        <v>45434</v>
      </c>
      <c r="O103" s="486">
        <v>0.375</v>
      </c>
      <c r="P103" s="487">
        <v>708078</v>
      </c>
      <c r="Q103" s="483">
        <v>1636</v>
      </c>
      <c r="R103" s="491">
        <f t="shared" si="14"/>
        <v>11</v>
      </c>
    </row>
    <row r="104" spans="2:18" x14ac:dyDescent="0.3">
      <c r="B104" s="502" t="s">
        <v>675</v>
      </c>
      <c r="C104" s="483">
        <v>11269</v>
      </c>
      <c r="D104" s="485">
        <v>45435</v>
      </c>
      <c r="E104" s="486">
        <v>0.29166666666666669</v>
      </c>
      <c r="F104" s="483">
        <v>672425</v>
      </c>
      <c r="G104" s="487">
        <v>1514</v>
      </c>
      <c r="H104" s="503">
        <f t="shared" si="15"/>
        <v>15</v>
      </c>
      <c r="L104" s="490" t="s">
        <v>688</v>
      </c>
      <c r="M104" s="483">
        <v>11774</v>
      </c>
      <c r="N104" s="485">
        <v>45435</v>
      </c>
      <c r="O104" s="486">
        <v>0.33333333333333331</v>
      </c>
      <c r="P104" s="487">
        <v>708078</v>
      </c>
      <c r="Q104" s="483">
        <v>1636</v>
      </c>
      <c r="R104" s="491">
        <f t="shared" si="14"/>
        <v>0</v>
      </c>
    </row>
    <row r="105" spans="2:18" x14ac:dyDescent="0.3">
      <c r="B105" s="502" t="s">
        <v>675</v>
      </c>
      <c r="C105" s="483">
        <v>11286</v>
      </c>
      <c r="D105" s="485">
        <v>45436</v>
      </c>
      <c r="E105" s="486">
        <v>0.29166666666666669</v>
      </c>
      <c r="F105" s="483">
        <v>673260</v>
      </c>
      <c r="G105" s="487">
        <v>1515</v>
      </c>
      <c r="H105" s="503">
        <f t="shared" si="15"/>
        <v>17</v>
      </c>
      <c r="L105" s="490" t="s">
        <v>688</v>
      </c>
      <c r="M105" s="483">
        <v>11774</v>
      </c>
      <c r="N105" s="485">
        <v>45436</v>
      </c>
      <c r="O105" s="486">
        <v>0.29166666666666669</v>
      </c>
      <c r="P105" s="487">
        <v>708078</v>
      </c>
      <c r="Q105" s="483">
        <v>1636</v>
      </c>
      <c r="R105" s="491">
        <f t="shared" si="14"/>
        <v>0</v>
      </c>
    </row>
    <row r="106" spans="2:18" x14ac:dyDescent="0.3">
      <c r="B106" s="502" t="s">
        <v>675</v>
      </c>
      <c r="C106" s="483">
        <v>11303</v>
      </c>
      <c r="D106" s="485">
        <v>45437</v>
      </c>
      <c r="E106" s="486">
        <v>0.33333333333333298</v>
      </c>
      <c r="F106" s="483">
        <v>674096</v>
      </c>
      <c r="G106" s="487">
        <v>1515</v>
      </c>
      <c r="H106" s="503">
        <f t="shared" si="15"/>
        <v>17</v>
      </c>
      <c r="L106" s="490" t="s">
        <v>688</v>
      </c>
      <c r="M106" s="483">
        <v>11774</v>
      </c>
      <c r="N106" s="485">
        <v>45437</v>
      </c>
      <c r="O106" s="486">
        <v>0.33333333333333298</v>
      </c>
      <c r="P106" s="487">
        <v>708078</v>
      </c>
      <c r="Q106" s="483">
        <v>1636</v>
      </c>
      <c r="R106" s="491">
        <f t="shared" si="14"/>
        <v>0</v>
      </c>
    </row>
    <row r="107" spans="2:18" x14ac:dyDescent="0.3">
      <c r="B107" s="502" t="s">
        <v>675</v>
      </c>
      <c r="C107" s="483">
        <v>11303</v>
      </c>
      <c r="D107" s="485">
        <v>45438</v>
      </c>
      <c r="E107" s="486">
        <v>0.33333333333333331</v>
      </c>
      <c r="F107" s="483">
        <v>674096</v>
      </c>
      <c r="G107" s="487">
        <v>1515</v>
      </c>
      <c r="H107" s="503">
        <f t="shared" si="15"/>
        <v>0</v>
      </c>
      <c r="L107" s="490" t="s">
        <v>688</v>
      </c>
      <c r="M107" s="483">
        <v>11774</v>
      </c>
      <c r="N107" s="485">
        <v>45438</v>
      </c>
      <c r="O107" s="486">
        <v>0.33333333333333331</v>
      </c>
      <c r="P107" s="487">
        <v>708078</v>
      </c>
      <c r="Q107" s="483">
        <v>1636</v>
      </c>
      <c r="R107" s="491">
        <f t="shared" si="14"/>
        <v>0</v>
      </c>
    </row>
    <row r="108" spans="2:18" x14ac:dyDescent="0.3">
      <c r="B108" s="502" t="s">
        <v>675</v>
      </c>
      <c r="C108" s="483">
        <v>11305</v>
      </c>
      <c r="D108" s="485">
        <v>45439</v>
      </c>
      <c r="E108" s="486">
        <v>0.375</v>
      </c>
      <c r="F108" s="483">
        <v>674173</v>
      </c>
      <c r="G108" s="487">
        <v>1516</v>
      </c>
      <c r="H108" s="503">
        <f t="shared" si="15"/>
        <v>2</v>
      </c>
      <c r="L108" s="490" t="s">
        <v>688</v>
      </c>
      <c r="M108" s="483">
        <v>11774</v>
      </c>
      <c r="N108" s="485">
        <v>45439</v>
      </c>
      <c r="O108" s="486">
        <v>0.375</v>
      </c>
      <c r="P108" s="487">
        <v>708078</v>
      </c>
      <c r="Q108" s="483">
        <v>1636</v>
      </c>
      <c r="R108" s="491">
        <f t="shared" si="14"/>
        <v>0</v>
      </c>
    </row>
    <row r="109" spans="2:18" x14ac:dyDescent="0.3">
      <c r="B109" s="502" t="s">
        <v>675</v>
      </c>
      <c r="C109" s="483">
        <v>11314</v>
      </c>
      <c r="D109" s="485">
        <v>45440</v>
      </c>
      <c r="E109" s="486">
        <v>0.33333333333333331</v>
      </c>
      <c r="F109" s="483">
        <v>674657</v>
      </c>
      <c r="G109" s="487">
        <v>1516</v>
      </c>
      <c r="H109" s="503">
        <f t="shared" si="15"/>
        <v>9</v>
      </c>
      <c r="L109" s="490" t="s">
        <v>688</v>
      </c>
      <c r="M109" s="483">
        <v>11774</v>
      </c>
      <c r="N109" s="485">
        <v>45440</v>
      </c>
      <c r="O109" s="486">
        <v>0.33333333333333331</v>
      </c>
      <c r="P109" s="487">
        <v>708078</v>
      </c>
      <c r="Q109" s="483">
        <v>1636</v>
      </c>
      <c r="R109" s="491">
        <f t="shared" si="14"/>
        <v>0</v>
      </c>
    </row>
    <row r="110" spans="2:18" x14ac:dyDescent="0.3">
      <c r="B110" s="502" t="s">
        <v>675</v>
      </c>
      <c r="C110" s="483">
        <v>11327</v>
      </c>
      <c r="D110" s="485">
        <v>45441</v>
      </c>
      <c r="E110" s="486">
        <v>0.29166666666666669</v>
      </c>
      <c r="F110" s="483">
        <v>675305</v>
      </c>
      <c r="G110" s="487">
        <v>1517</v>
      </c>
      <c r="H110" s="503">
        <f t="shared" si="15"/>
        <v>13</v>
      </c>
      <c r="L110" s="490" t="s">
        <v>688</v>
      </c>
      <c r="M110" s="483">
        <v>11774</v>
      </c>
      <c r="N110" s="485">
        <v>45441</v>
      </c>
      <c r="O110" s="486">
        <v>0.33333333333333331</v>
      </c>
      <c r="P110" s="487">
        <v>708078</v>
      </c>
      <c r="Q110" s="483">
        <v>1636</v>
      </c>
      <c r="R110" s="491">
        <f t="shared" si="14"/>
        <v>0</v>
      </c>
    </row>
    <row r="111" spans="2:18" x14ac:dyDescent="0.3">
      <c r="B111" s="502" t="s">
        <v>675</v>
      </c>
      <c r="C111" s="483">
        <v>11342</v>
      </c>
      <c r="D111" s="485">
        <v>45442</v>
      </c>
      <c r="E111" s="486">
        <v>0.375</v>
      </c>
      <c r="F111" s="483">
        <v>676059</v>
      </c>
      <c r="G111" s="487">
        <v>1519</v>
      </c>
      <c r="H111" s="503">
        <f t="shared" si="15"/>
        <v>15</v>
      </c>
      <c r="L111" s="490" t="s">
        <v>688</v>
      </c>
      <c r="M111" s="483">
        <v>11778</v>
      </c>
      <c r="N111" s="485">
        <v>45442</v>
      </c>
      <c r="O111" s="486">
        <v>0.375</v>
      </c>
      <c r="P111" s="487">
        <v>708257</v>
      </c>
      <c r="Q111" s="483">
        <v>1638</v>
      </c>
      <c r="R111" s="491">
        <f t="shared" si="14"/>
        <v>4</v>
      </c>
    </row>
    <row r="112" spans="2:18" x14ac:dyDescent="0.3">
      <c r="B112" s="502" t="s">
        <v>675</v>
      </c>
      <c r="C112" s="483">
        <v>11354</v>
      </c>
      <c r="D112" s="485">
        <v>45443</v>
      </c>
      <c r="E112" s="486">
        <v>0.33333333333333331</v>
      </c>
      <c r="F112" s="483">
        <v>676639</v>
      </c>
      <c r="G112" s="487">
        <v>1520</v>
      </c>
      <c r="H112" s="503">
        <f t="shared" si="15"/>
        <v>12</v>
      </c>
      <c r="L112" s="490" t="s">
        <v>688</v>
      </c>
      <c r="M112" s="483">
        <v>11796</v>
      </c>
      <c r="N112" s="485">
        <v>45443</v>
      </c>
      <c r="O112" s="486">
        <v>0.33333333333333331</v>
      </c>
      <c r="P112" s="487">
        <v>709106</v>
      </c>
      <c r="Q112" s="483">
        <v>1639</v>
      </c>
      <c r="R112" s="491">
        <f t="shared" si="14"/>
        <v>18</v>
      </c>
    </row>
    <row r="113" spans="2:19" x14ac:dyDescent="0.3">
      <c r="B113" s="502" t="s">
        <v>675</v>
      </c>
      <c r="C113" s="483">
        <v>11360</v>
      </c>
      <c r="D113" s="485">
        <v>45444</v>
      </c>
      <c r="E113" s="486">
        <v>0.375</v>
      </c>
      <c r="F113" s="483">
        <v>676919</v>
      </c>
      <c r="G113" s="487">
        <v>1520</v>
      </c>
      <c r="H113" s="503">
        <f t="shared" si="15"/>
        <v>6</v>
      </c>
      <c r="L113" s="490" t="s">
        <v>688</v>
      </c>
      <c r="M113" s="483">
        <v>11813</v>
      </c>
      <c r="N113" s="485">
        <v>45444</v>
      </c>
      <c r="O113" s="486">
        <v>0.375</v>
      </c>
      <c r="P113" s="487">
        <v>709852</v>
      </c>
      <c r="Q113" s="483">
        <v>1644</v>
      </c>
      <c r="R113" s="491">
        <f t="shared" si="14"/>
        <v>17</v>
      </c>
    </row>
    <row r="114" spans="2:19" x14ac:dyDescent="0.3">
      <c r="B114" s="502" t="s">
        <v>675</v>
      </c>
      <c r="C114" s="483">
        <v>11360</v>
      </c>
      <c r="D114" s="485">
        <v>45445</v>
      </c>
      <c r="E114" s="486">
        <v>0.41666666666666702</v>
      </c>
      <c r="F114" s="483">
        <v>676919</v>
      </c>
      <c r="G114" s="487">
        <v>1520</v>
      </c>
      <c r="H114" s="503">
        <f t="shared" si="15"/>
        <v>0</v>
      </c>
      <c r="L114" s="490" t="s">
        <v>688</v>
      </c>
      <c r="M114" s="483">
        <v>11821</v>
      </c>
      <c r="N114" s="485">
        <v>45445</v>
      </c>
      <c r="O114" s="486">
        <v>0.33333333333333331</v>
      </c>
      <c r="P114" s="487">
        <v>710153</v>
      </c>
      <c r="Q114" s="483">
        <v>1646</v>
      </c>
      <c r="R114" s="491">
        <f t="shared" si="14"/>
        <v>8</v>
      </c>
    </row>
    <row r="115" spans="2:19" x14ac:dyDescent="0.3">
      <c r="B115" s="502" t="s">
        <v>675</v>
      </c>
      <c r="C115" s="483">
        <v>11360</v>
      </c>
      <c r="D115" s="485">
        <v>45446</v>
      </c>
      <c r="E115" s="486">
        <v>0.45833333333333398</v>
      </c>
      <c r="F115" s="483">
        <v>676919</v>
      </c>
      <c r="G115" s="487">
        <v>1520</v>
      </c>
      <c r="H115" s="503">
        <f t="shared" si="15"/>
        <v>0</v>
      </c>
      <c r="L115" s="490" t="s">
        <v>688</v>
      </c>
      <c r="M115" s="483">
        <v>11844</v>
      </c>
      <c r="N115" s="485">
        <v>45446</v>
      </c>
      <c r="O115" s="486">
        <v>0.375</v>
      </c>
      <c r="P115" s="487">
        <v>711315</v>
      </c>
      <c r="Q115" s="483">
        <v>1647</v>
      </c>
      <c r="R115" s="491">
        <f t="shared" si="14"/>
        <v>23</v>
      </c>
    </row>
    <row r="116" spans="2:19" x14ac:dyDescent="0.3">
      <c r="B116" s="502" t="s">
        <v>675</v>
      </c>
      <c r="C116" s="483">
        <v>11360</v>
      </c>
      <c r="D116" s="485">
        <v>45447</v>
      </c>
      <c r="E116" s="486">
        <v>0.33333333333333331</v>
      </c>
      <c r="F116" s="483">
        <v>676919</v>
      </c>
      <c r="G116" s="487">
        <v>1520</v>
      </c>
      <c r="H116" s="503">
        <f t="shared" si="15"/>
        <v>0</v>
      </c>
      <c r="L116" s="490" t="s">
        <v>688</v>
      </c>
      <c r="M116" s="483">
        <v>11859</v>
      </c>
      <c r="N116" s="485">
        <v>45447</v>
      </c>
      <c r="O116" s="486">
        <v>0.33333333333333331</v>
      </c>
      <c r="P116" s="487">
        <v>712101</v>
      </c>
      <c r="Q116" s="483">
        <v>1650</v>
      </c>
      <c r="R116" s="491">
        <f t="shared" si="14"/>
        <v>15</v>
      </c>
    </row>
    <row r="117" spans="2:19" x14ac:dyDescent="0.3">
      <c r="B117" s="502" t="s">
        <v>675</v>
      </c>
      <c r="C117" s="483">
        <v>11363</v>
      </c>
      <c r="D117" s="485">
        <v>45448</v>
      </c>
      <c r="E117" s="486">
        <v>0.33333333333333331</v>
      </c>
      <c r="F117" s="483">
        <v>677052</v>
      </c>
      <c r="G117" s="487">
        <v>1521</v>
      </c>
      <c r="H117" s="503">
        <f t="shared" si="15"/>
        <v>3</v>
      </c>
      <c r="L117" s="490" t="s">
        <v>688</v>
      </c>
      <c r="M117" s="483">
        <v>11879</v>
      </c>
      <c r="N117" s="485">
        <v>45448</v>
      </c>
      <c r="O117" s="486">
        <v>0.375</v>
      </c>
      <c r="P117" s="487">
        <v>713001</v>
      </c>
      <c r="Q117" s="483">
        <v>1652</v>
      </c>
      <c r="R117" s="491">
        <f t="shared" si="14"/>
        <v>20</v>
      </c>
    </row>
    <row r="118" spans="2:19" x14ac:dyDescent="0.3">
      <c r="B118" s="502" t="s">
        <v>675</v>
      </c>
      <c r="C118" s="483">
        <v>11369</v>
      </c>
      <c r="D118" s="485">
        <v>45449</v>
      </c>
      <c r="E118" s="486">
        <v>0.375</v>
      </c>
      <c r="F118" s="483">
        <v>677374</v>
      </c>
      <c r="G118" s="487">
        <v>1523</v>
      </c>
      <c r="H118" s="503">
        <f t="shared" si="15"/>
        <v>6</v>
      </c>
      <c r="L118" s="490" t="s">
        <v>688</v>
      </c>
      <c r="M118" s="483">
        <v>11900</v>
      </c>
      <c r="N118" s="485">
        <v>45449</v>
      </c>
      <c r="O118" s="486">
        <v>0.29166666666666669</v>
      </c>
      <c r="P118" s="487">
        <v>713982</v>
      </c>
      <c r="Q118" s="483">
        <v>1653</v>
      </c>
      <c r="R118" s="491">
        <f t="shared" si="14"/>
        <v>21</v>
      </c>
    </row>
    <row r="119" spans="2:19" x14ac:dyDescent="0.3">
      <c r="B119" s="502" t="s">
        <v>675</v>
      </c>
      <c r="C119" s="483">
        <v>11380</v>
      </c>
      <c r="D119" s="485">
        <v>45450</v>
      </c>
      <c r="E119" s="486">
        <v>0.33333333333333331</v>
      </c>
      <c r="F119" s="483">
        <v>677902</v>
      </c>
      <c r="G119" s="487">
        <v>1523</v>
      </c>
      <c r="H119" s="503">
        <f t="shared" si="15"/>
        <v>11</v>
      </c>
      <c r="L119" s="490" t="s">
        <v>688</v>
      </c>
      <c r="M119" s="483">
        <v>11912</v>
      </c>
      <c r="N119" s="485">
        <v>45450</v>
      </c>
      <c r="O119" s="486">
        <v>0</v>
      </c>
      <c r="P119" s="487">
        <v>714673</v>
      </c>
      <c r="Q119" s="483">
        <v>1654</v>
      </c>
      <c r="R119" s="491">
        <f t="shared" si="14"/>
        <v>12</v>
      </c>
    </row>
    <row r="120" spans="2:19" x14ac:dyDescent="0.3">
      <c r="B120" s="502" t="s">
        <v>675</v>
      </c>
      <c r="C120" s="483">
        <v>11393</v>
      </c>
      <c r="D120" s="485">
        <v>45451</v>
      </c>
      <c r="E120" s="486">
        <v>0</v>
      </c>
      <c r="F120" s="483">
        <v>678551</v>
      </c>
      <c r="G120" s="487">
        <v>1524</v>
      </c>
      <c r="H120" s="503">
        <f t="shared" si="15"/>
        <v>13</v>
      </c>
      <c r="L120" s="490" t="s">
        <v>688</v>
      </c>
      <c r="M120" s="483">
        <v>11930</v>
      </c>
      <c r="N120" s="485">
        <v>45451</v>
      </c>
      <c r="O120" s="486">
        <v>0</v>
      </c>
      <c r="P120" s="487">
        <v>715620</v>
      </c>
      <c r="Q120" s="483">
        <v>1656</v>
      </c>
      <c r="R120" s="491">
        <f t="shared" si="14"/>
        <v>18</v>
      </c>
    </row>
    <row r="121" spans="2:19" x14ac:dyDescent="0.3">
      <c r="B121" s="502" t="s">
        <v>675</v>
      </c>
      <c r="C121" s="483">
        <v>11399</v>
      </c>
      <c r="D121" s="485">
        <v>45452</v>
      </c>
      <c r="E121" s="486">
        <v>0</v>
      </c>
      <c r="F121" s="483">
        <v>678846</v>
      </c>
      <c r="G121" s="487">
        <v>1525</v>
      </c>
      <c r="H121" s="503">
        <f t="shared" si="15"/>
        <v>6</v>
      </c>
      <c r="L121" s="490" t="s">
        <v>688</v>
      </c>
      <c r="M121" s="483">
        <v>11951</v>
      </c>
      <c r="N121" s="485">
        <v>45452</v>
      </c>
      <c r="O121" s="486">
        <v>0</v>
      </c>
      <c r="P121" s="487">
        <v>716884</v>
      </c>
      <c r="Q121" s="483">
        <v>1656</v>
      </c>
      <c r="R121" s="491">
        <f t="shared" ref="R121:R131" si="16">M121-M120</f>
        <v>21</v>
      </c>
    </row>
    <row r="122" spans="2:19" x14ac:dyDescent="0.3">
      <c r="B122" s="502" t="s">
        <v>675</v>
      </c>
      <c r="C122" s="483">
        <v>11404</v>
      </c>
      <c r="D122" s="485">
        <v>45453</v>
      </c>
      <c r="E122" s="486" t="s">
        <v>689</v>
      </c>
      <c r="F122" s="483">
        <v>679089</v>
      </c>
      <c r="G122" s="487">
        <v>1526</v>
      </c>
      <c r="H122" s="503">
        <f t="shared" si="15"/>
        <v>5</v>
      </c>
      <c r="I122">
        <f>F136-F121</f>
        <v>9576</v>
      </c>
      <c r="L122" s="490" t="s">
        <v>688</v>
      </c>
      <c r="M122" s="483">
        <v>11974</v>
      </c>
      <c r="N122" s="485">
        <v>45453</v>
      </c>
      <c r="O122" s="486">
        <v>0</v>
      </c>
      <c r="P122" s="487">
        <v>717719</v>
      </c>
      <c r="Q122" s="483">
        <v>1658</v>
      </c>
      <c r="R122" s="491">
        <f t="shared" si="16"/>
        <v>23</v>
      </c>
      <c r="S122">
        <f>P136-P121</f>
        <v>17142</v>
      </c>
    </row>
    <row r="123" spans="2:19" x14ac:dyDescent="0.3">
      <c r="B123" s="502" t="s">
        <v>675</v>
      </c>
      <c r="C123" s="483">
        <v>11</v>
      </c>
      <c r="D123" s="485">
        <v>45454</v>
      </c>
      <c r="E123" s="486">
        <v>0</v>
      </c>
      <c r="F123" s="483">
        <v>679690</v>
      </c>
      <c r="G123" s="487">
        <v>1527</v>
      </c>
      <c r="H123" s="503">
        <f>C123</f>
        <v>11</v>
      </c>
      <c r="L123" s="490" t="s">
        <v>688</v>
      </c>
      <c r="M123" s="483">
        <v>11998</v>
      </c>
      <c r="N123" s="485">
        <v>45454</v>
      </c>
      <c r="O123" s="486">
        <v>0</v>
      </c>
      <c r="P123" s="487">
        <v>718892</v>
      </c>
      <c r="Q123" s="483">
        <v>1660</v>
      </c>
      <c r="R123" s="491">
        <f t="shared" si="16"/>
        <v>24</v>
      </c>
    </row>
    <row r="124" spans="2:19" x14ac:dyDescent="0.3">
      <c r="B124" s="502" t="s">
        <v>675</v>
      </c>
      <c r="C124" s="483">
        <v>26</v>
      </c>
      <c r="D124" s="485">
        <v>45455</v>
      </c>
      <c r="E124" s="486">
        <v>0</v>
      </c>
      <c r="F124" s="483">
        <v>680545</v>
      </c>
      <c r="G124" s="487">
        <v>1528</v>
      </c>
      <c r="H124" s="503">
        <f t="shared" ref="H124:H129" si="17">C124-C123</f>
        <v>15</v>
      </c>
      <c r="L124" s="490" t="s">
        <v>688</v>
      </c>
      <c r="M124" s="483">
        <v>12021</v>
      </c>
      <c r="N124" s="485">
        <v>45455</v>
      </c>
      <c r="O124" s="486">
        <v>0</v>
      </c>
      <c r="P124" s="487">
        <v>720040</v>
      </c>
      <c r="Q124" s="483">
        <v>1662</v>
      </c>
      <c r="R124" s="491">
        <f t="shared" si="16"/>
        <v>23</v>
      </c>
    </row>
    <row r="125" spans="2:19" x14ac:dyDescent="0.3">
      <c r="B125" s="502" t="s">
        <v>675</v>
      </c>
      <c r="C125" s="483">
        <v>42</v>
      </c>
      <c r="D125" s="485">
        <v>45456</v>
      </c>
      <c r="E125" s="486">
        <v>0</v>
      </c>
      <c r="F125" s="483">
        <v>681529</v>
      </c>
      <c r="G125" s="487">
        <v>1529</v>
      </c>
      <c r="H125" s="503">
        <f t="shared" si="17"/>
        <v>16</v>
      </c>
      <c r="L125" s="490" t="s">
        <v>688</v>
      </c>
      <c r="M125" s="483">
        <v>12045</v>
      </c>
      <c r="N125" s="485">
        <v>45456</v>
      </c>
      <c r="O125" s="486">
        <v>0</v>
      </c>
      <c r="P125" s="487">
        <v>721158</v>
      </c>
      <c r="Q125" s="483">
        <v>1663</v>
      </c>
      <c r="R125" s="491">
        <f t="shared" si="16"/>
        <v>24</v>
      </c>
    </row>
    <row r="126" spans="2:19" x14ac:dyDescent="0.3">
      <c r="B126" s="502" t="s">
        <v>675</v>
      </c>
      <c r="C126" s="483">
        <v>42</v>
      </c>
      <c r="D126" s="485">
        <v>45457</v>
      </c>
      <c r="E126" s="486">
        <v>0</v>
      </c>
      <c r="F126" s="483">
        <v>681529</v>
      </c>
      <c r="G126" s="487">
        <v>1529</v>
      </c>
      <c r="H126" s="503">
        <f t="shared" si="17"/>
        <v>0</v>
      </c>
      <c r="L126" s="490" t="s">
        <v>688</v>
      </c>
      <c r="M126" s="483">
        <v>12069</v>
      </c>
      <c r="N126" s="485">
        <v>45457</v>
      </c>
      <c r="O126" s="486">
        <v>0</v>
      </c>
      <c r="P126" s="487">
        <v>721958</v>
      </c>
      <c r="Q126" s="483">
        <v>1664</v>
      </c>
      <c r="R126" s="491">
        <f t="shared" si="16"/>
        <v>24</v>
      </c>
    </row>
    <row r="127" spans="2:19" x14ac:dyDescent="0.3">
      <c r="B127" s="502" t="s">
        <v>675</v>
      </c>
      <c r="C127" s="483">
        <v>42</v>
      </c>
      <c r="D127" s="485">
        <v>45458</v>
      </c>
      <c r="E127" s="486">
        <v>0</v>
      </c>
      <c r="F127" s="483">
        <v>681529</v>
      </c>
      <c r="G127" s="487">
        <v>1529</v>
      </c>
      <c r="H127" s="503">
        <f t="shared" si="17"/>
        <v>0</v>
      </c>
      <c r="L127" s="490" t="s">
        <v>688</v>
      </c>
      <c r="M127" s="483">
        <v>12083</v>
      </c>
      <c r="N127" s="485">
        <v>45458</v>
      </c>
      <c r="O127" s="486">
        <v>0</v>
      </c>
      <c r="P127" s="487">
        <v>722675</v>
      </c>
      <c r="Q127" s="483">
        <v>1667</v>
      </c>
      <c r="R127" s="491">
        <f t="shared" si="16"/>
        <v>14</v>
      </c>
    </row>
    <row r="128" spans="2:19" x14ac:dyDescent="0.3">
      <c r="B128" s="502" t="s">
        <v>675</v>
      </c>
      <c r="C128" s="483">
        <v>50</v>
      </c>
      <c r="D128" s="485">
        <v>45459</v>
      </c>
      <c r="E128" s="486">
        <v>0</v>
      </c>
      <c r="F128" s="483">
        <v>682080</v>
      </c>
      <c r="G128" s="487">
        <v>1532</v>
      </c>
      <c r="H128" s="503">
        <f t="shared" si="17"/>
        <v>8</v>
      </c>
      <c r="L128" s="490" t="s">
        <v>688</v>
      </c>
      <c r="M128" s="483">
        <v>12107</v>
      </c>
      <c r="N128" s="485">
        <v>45459</v>
      </c>
      <c r="O128" s="486">
        <v>0</v>
      </c>
      <c r="P128" s="487">
        <v>723932</v>
      </c>
      <c r="Q128" s="483">
        <v>1667</v>
      </c>
      <c r="R128" s="491">
        <f t="shared" si="16"/>
        <v>24</v>
      </c>
    </row>
    <row r="129" spans="2:18" x14ac:dyDescent="0.3">
      <c r="B129" s="502" t="s">
        <v>675</v>
      </c>
      <c r="C129" s="483">
        <v>59</v>
      </c>
      <c r="D129" s="485">
        <v>45460</v>
      </c>
      <c r="E129" s="486">
        <v>0</v>
      </c>
      <c r="F129" s="483">
        <v>682749</v>
      </c>
      <c r="G129" s="487">
        <v>1533</v>
      </c>
      <c r="H129" s="503">
        <f t="shared" si="17"/>
        <v>9</v>
      </c>
      <c r="L129" s="490" t="s">
        <v>688</v>
      </c>
      <c r="M129" s="483">
        <v>12124</v>
      </c>
      <c r="N129" s="485">
        <v>45460</v>
      </c>
      <c r="O129" s="486">
        <v>0</v>
      </c>
      <c r="P129" s="487">
        <v>724971</v>
      </c>
      <c r="Q129" s="483">
        <v>1668</v>
      </c>
      <c r="R129" s="491">
        <f t="shared" si="16"/>
        <v>17</v>
      </c>
    </row>
    <row r="130" spans="2:18" x14ac:dyDescent="0.3">
      <c r="B130" s="502" t="s">
        <v>675</v>
      </c>
      <c r="C130" s="483">
        <v>82</v>
      </c>
      <c r="D130" s="485">
        <v>45462</v>
      </c>
      <c r="E130" s="486">
        <v>0.375</v>
      </c>
      <c r="F130" s="483">
        <v>684288</v>
      </c>
      <c r="G130" s="487">
        <v>1535</v>
      </c>
      <c r="H130" s="503">
        <f t="shared" ref="H130:H161" si="18">C130-C129</f>
        <v>23</v>
      </c>
      <c r="L130" s="490" t="s">
        <v>688</v>
      </c>
      <c r="M130" s="483">
        <v>12162</v>
      </c>
      <c r="N130" s="485">
        <v>45462</v>
      </c>
      <c r="O130" s="486">
        <v>0.375</v>
      </c>
      <c r="P130" s="487">
        <v>727143</v>
      </c>
      <c r="Q130" s="483">
        <v>1672</v>
      </c>
      <c r="R130" s="491">
        <f t="shared" si="16"/>
        <v>38</v>
      </c>
    </row>
    <row r="131" spans="2:18" x14ac:dyDescent="0.3">
      <c r="B131" s="502" t="s">
        <v>675</v>
      </c>
      <c r="C131" s="483">
        <v>97</v>
      </c>
      <c r="D131" s="485">
        <v>45463</v>
      </c>
      <c r="E131" s="486">
        <v>0.41666666666666702</v>
      </c>
      <c r="F131" s="483">
        <v>685317</v>
      </c>
      <c r="G131" s="487">
        <v>1535</v>
      </c>
      <c r="H131" s="503">
        <f t="shared" si="18"/>
        <v>15</v>
      </c>
      <c r="L131" s="490" t="s">
        <v>688</v>
      </c>
      <c r="M131" s="483">
        <v>12178</v>
      </c>
      <c r="N131" s="485">
        <v>45463</v>
      </c>
      <c r="O131" s="486">
        <v>0</v>
      </c>
      <c r="P131" s="487">
        <v>728061</v>
      </c>
      <c r="Q131" s="483">
        <v>1672</v>
      </c>
      <c r="R131" s="491">
        <f t="shared" si="16"/>
        <v>16</v>
      </c>
    </row>
    <row r="132" spans="2:18" x14ac:dyDescent="0.3">
      <c r="B132" s="502" t="s">
        <v>675</v>
      </c>
      <c r="C132" s="483">
        <v>97</v>
      </c>
      <c r="D132" s="485">
        <v>45464</v>
      </c>
      <c r="E132" s="486">
        <v>0</v>
      </c>
      <c r="F132" s="483">
        <v>685317</v>
      </c>
      <c r="G132" s="487">
        <v>1535</v>
      </c>
      <c r="H132" s="503">
        <f t="shared" si="18"/>
        <v>0</v>
      </c>
      <c r="L132" s="490" t="s">
        <v>688</v>
      </c>
      <c r="M132" s="483">
        <v>12195</v>
      </c>
      <c r="N132" s="485">
        <v>45464</v>
      </c>
      <c r="O132" s="486">
        <v>0</v>
      </c>
      <c r="P132" s="487">
        <v>729119</v>
      </c>
      <c r="Q132" s="483">
        <v>1676</v>
      </c>
      <c r="R132" s="491">
        <f t="shared" ref="R132:R138" si="19">M132-M131</f>
        <v>17</v>
      </c>
    </row>
    <row r="133" spans="2:18" x14ac:dyDescent="0.3">
      <c r="B133" s="502" t="s">
        <v>675</v>
      </c>
      <c r="C133" s="483">
        <v>110</v>
      </c>
      <c r="D133" s="485">
        <v>45465</v>
      </c>
      <c r="E133" s="486">
        <v>0</v>
      </c>
      <c r="F133" s="483">
        <v>686227</v>
      </c>
      <c r="G133" s="487">
        <v>1536</v>
      </c>
      <c r="H133" s="503">
        <f t="shared" si="18"/>
        <v>13</v>
      </c>
      <c r="L133" s="490" t="s">
        <v>688</v>
      </c>
      <c r="M133" s="483">
        <v>12218</v>
      </c>
      <c r="N133" s="485">
        <v>45465</v>
      </c>
      <c r="O133" s="486">
        <v>0</v>
      </c>
      <c r="P133" s="487">
        <v>730477</v>
      </c>
      <c r="Q133" s="483">
        <v>1679</v>
      </c>
      <c r="R133" s="491">
        <f t="shared" si="19"/>
        <v>23</v>
      </c>
    </row>
    <row r="134" spans="2:18" x14ac:dyDescent="0.3">
      <c r="B134" s="502" t="s">
        <v>675</v>
      </c>
      <c r="C134" s="483">
        <v>124</v>
      </c>
      <c r="D134" s="485">
        <v>45466</v>
      </c>
      <c r="E134" s="486">
        <v>0</v>
      </c>
      <c r="F134" s="483">
        <v>687008</v>
      </c>
      <c r="G134" s="487">
        <v>1539</v>
      </c>
      <c r="H134" s="503">
        <f t="shared" si="18"/>
        <v>14</v>
      </c>
      <c r="L134" s="490" t="s">
        <v>688</v>
      </c>
      <c r="M134" s="483">
        <v>12242</v>
      </c>
      <c r="N134" s="485">
        <v>45466</v>
      </c>
      <c r="O134" s="486">
        <v>0</v>
      </c>
      <c r="P134" s="487">
        <v>731962</v>
      </c>
      <c r="Q134" s="483">
        <v>1679</v>
      </c>
      <c r="R134" s="491">
        <f t="shared" si="19"/>
        <v>24</v>
      </c>
    </row>
    <row r="135" spans="2:18" x14ac:dyDescent="0.3">
      <c r="B135" s="502" t="s">
        <v>675</v>
      </c>
      <c r="C135" s="483">
        <v>130</v>
      </c>
      <c r="D135" s="485">
        <v>45467</v>
      </c>
      <c r="E135" s="486">
        <v>0</v>
      </c>
      <c r="F135" s="483">
        <v>687444</v>
      </c>
      <c r="G135" s="487">
        <v>1540</v>
      </c>
      <c r="H135" s="503">
        <f t="shared" si="18"/>
        <v>6</v>
      </c>
      <c r="L135" s="490" t="s">
        <v>688</v>
      </c>
      <c r="M135" s="483">
        <v>12263</v>
      </c>
      <c r="N135" s="485">
        <v>45467</v>
      </c>
      <c r="O135" s="486">
        <v>0</v>
      </c>
      <c r="P135" s="487">
        <v>733328</v>
      </c>
      <c r="Q135" s="483">
        <v>1679</v>
      </c>
      <c r="R135" s="491">
        <f t="shared" si="19"/>
        <v>21</v>
      </c>
    </row>
    <row r="136" spans="2:18" x14ac:dyDescent="0.3">
      <c r="B136" s="502" t="s">
        <v>675</v>
      </c>
      <c r="C136" s="483">
        <v>145</v>
      </c>
      <c r="D136" s="485">
        <v>45468</v>
      </c>
      <c r="E136" s="486">
        <v>0</v>
      </c>
      <c r="F136" s="483">
        <v>688422</v>
      </c>
      <c r="G136" s="487">
        <v>1541</v>
      </c>
      <c r="H136" s="503">
        <f t="shared" si="18"/>
        <v>15</v>
      </c>
      <c r="L136" s="490" t="s">
        <v>688</v>
      </c>
      <c r="M136" s="483">
        <v>12275</v>
      </c>
      <c r="N136" s="485">
        <v>45468</v>
      </c>
      <c r="O136" s="486">
        <v>0</v>
      </c>
      <c r="P136" s="487">
        <v>734026</v>
      </c>
      <c r="Q136" s="483">
        <v>1681</v>
      </c>
      <c r="R136" s="491">
        <f t="shared" si="19"/>
        <v>12</v>
      </c>
    </row>
    <row r="137" spans="2:18" x14ac:dyDescent="0.3">
      <c r="B137" s="502" t="s">
        <v>675</v>
      </c>
      <c r="C137" s="483">
        <v>151</v>
      </c>
      <c r="D137" s="485">
        <v>45469</v>
      </c>
      <c r="E137" s="486">
        <v>0</v>
      </c>
      <c r="F137" s="483">
        <v>688803</v>
      </c>
      <c r="G137" s="487">
        <v>1543</v>
      </c>
      <c r="H137" s="503">
        <f t="shared" si="18"/>
        <v>6</v>
      </c>
      <c r="L137" s="490" t="s">
        <v>688</v>
      </c>
      <c r="M137" s="483">
        <v>12291</v>
      </c>
      <c r="N137" s="485">
        <v>45469</v>
      </c>
      <c r="O137" s="486">
        <v>0</v>
      </c>
      <c r="P137" s="487">
        <v>734984</v>
      </c>
      <c r="Q137" s="483">
        <v>1683</v>
      </c>
      <c r="R137" s="491">
        <f t="shared" si="19"/>
        <v>16</v>
      </c>
    </row>
    <row r="138" spans="2:18" x14ac:dyDescent="0.3">
      <c r="B138" s="502" t="s">
        <v>675</v>
      </c>
      <c r="C138" s="483">
        <v>159</v>
      </c>
      <c r="D138" s="485">
        <v>45470</v>
      </c>
      <c r="E138" s="486">
        <v>0</v>
      </c>
      <c r="F138" s="483">
        <v>689225</v>
      </c>
      <c r="G138" s="487">
        <v>1543</v>
      </c>
      <c r="H138" s="503">
        <f t="shared" si="18"/>
        <v>8</v>
      </c>
      <c r="L138" s="490" t="s">
        <v>688</v>
      </c>
      <c r="M138" s="483">
        <v>12312</v>
      </c>
      <c r="N138" s="485">
        <v>45470</v>
      </c>
      <c r="O138" s="486">
        <v>0</v>
      </c>
      <c r="P138" s="487">
        <v>736012</v>
      </c>
      <c r="Q138" s="483">
        <v>1684</v>
      </c>
      <c r="R138" s="491">
        <f t="shared" si="19"/>
        <v>21</v>
      </c>
    </row>
    <row r="139" spans="2:18" x14ac:dyDescent="0.3">
      <c r="B139" s="502" t="s">
        <v>675</v>
      </c>
      <c r="C139" s="483">
        <v>170</v>
      </c>
      <c r="D139" s="485">
        <v>45471</v>
      </c>
      <c r="E139" s="486">
        <v>0</v>
      </c>
      <c r="F139" s="483">
        <v>689850</v>
      </c>
      <c r="G139" s="487">
        <v>1545</v>
      </c>
      <c r="H139" s="503">
        <f t="shared" si="18"/>
        <v>11</v>
      </c>
      <c r="L139" s="490" t="s">
        <v>688</v>
      </c>
      <c r="M139" s="483">
        <v>12334</v>
      </c>
      <c r="N139" s="485">
        <v>45471</v>
      </c>
      <c r="O139" s="486">
        <v>0</v>
      </c>
      <c r="P139" s="487">
        <v>737244</v>
      </c>
      <c r="Q139" s="483">
        <v>1685</v>
      </c>
      <c r="R139" s="491">
        <f>M139-M138</f>
        <v>22</v>
      </c>
    </row>
    <row r="140" spans="2:18" x14ac:dyDescent="0.3">
      <c r="B140" s="502" t="s">
        <v>675</v>
      </c>
      <c r="C140" s="483">
        <v>190</v>
      </c>
      <c r="D140" s="485">
        <v>45472</v>
      </c>
      <c r="E140" s="486">
        <v>0</v>
      </c>
      <c r="F140" s="483">
        <v>690798</v>
      </c>
      <c r="G140" s="487">
        <v>1546</v>
      </c>
      <c r="H140" s="503">
        <f t="shared" si="18"/>
        <v>20</v>
      </c>
      <c r="L140" s="490" t="s">
        <v>688</v>
      </c>
      <c r="M140" s="483">
        <v>12349</v>
      </c>
      <c r="N140" s="485">
        <v>45472</v>
      </c>
      <c r="O140" s="486">
        <v>0</v>
      </c>
      <c r="P140" s="487">
        <v>737311</v>
      </c>
      <c r="Q140" s="483">
        <v>1686</v>
      </c>
      <c r="R140" s="491">
        <f>M140-M139</f>
        <v>15</v>
      </c>
    </row>
    <row r="141" spans="2:18" x14ac:dyDescent="0.3">
      <c r="B141" s="502" t="s">
        <v>675</v>
      </c>
      <c r="C141" s="483">
        <v>190</v>
      </c>
      <c r="D141" s="485">
        <v>45473</v>
      </c>
      <c r="E141" s="486">
        <v>0</v>
      </c>
      <c r="F141" s="483">
        <v>690798</v>
      </c>
      <c r="G141" s="487">
        <v>1546</v>
      </c>
      <c r="H141" s="503">
        <f t="shared" si="18"/>
        <v>0</v>
      </c>
      <c r="L141" s="490" t="s">
        <v>688</v>
      </c>
      <c r="M141" s="483">
        <v>12379</v>
      </c>
      <c r="N141" s="485">
        <v>45473</v>
      </c>
      <c r="O141" s="486">
        <v>0</v>
      </c>
      <c r="P141" s="487">
        <v>738510</v>
      </c>
      <c r="Q141" s="483">
        <v>1686</v>
      </c>
      <c r="R141" s="491">
        <v>24</v>
      </c>
    </row>
    <row r="142" spans="2:18" x14ac:dyDescent="0.3">
      <c r="B142" s="502" t="s">
        <v>675</v>
      </c>
      <c r="C142" s="483">
        <v>190</v>
      </c>
      <c r="D142" s="485">
        <v>45474</v>
      </c>
      <c r="E142" s="486">
        <v>0</v>
      </c>
      <c r="F142" s="483">
        <v>690798</v>
      </c>
      <c r="G142" s="487">
        <v>1546</v>
      </c>
      <c r="H142" s="503">
        <f t="shared" si="18"/>
        <v>0</v>
      </c>
      <c r="L142" s="490" t="s">
        <v>688</v>
      </c>
      <c r="M142" s="483">
        <v>12388</v>
      </c>
      <c r="N142" s="485">
        <v>45474</v>
      </c>
      <c r="O142" s="486">
        <v>0</v>
      </c>
      <c r="P142" s="487">
        <v>739289</v>
      </c>
      <c r="Q142" s="483">
        <v>1688</v>
      </c>
      <c r="R142" s="491">
        <f t="shared" ref="R142:R151" si="20">M142-M141</f>
        <v>9</v>
      </c>
    </row>
    <row r="143" spans="2:18" x14ac:dyDescent="0.3">
      <c r="B143" s="502" t="s">
        <v>675</v>
      </c>
      <c r="C143" s="483">
        <v>197</v>
      </c>
      <c r="D143" s="485">
        <v>45475</v>
      </c>
      <c r="E143" s="486">
        <v>0</v>
      </c>
      <c r="F143" s="483">
        <v>691233</v>
      </c>
      <c r="G143" s="487">
        <v>1548</v>
      </c>
      <c r="H143" s="503">
        <f t="shared" si="18"/>
        <v>7</v>
      </c>
      <c r="L143" s="490" t="s">
        <v>688</v>
      </c>
      <c r="M143" s="483">
        <v>12402</v>
      </c>
      <c r="N143" s="485">
        <v>45475</v>
      </c>
      <c r="O143" s="486">
        <v>0</v>
      </c>
      <c r="P143" s="487">
        <v>739890</v>
      </c>
      <c r="Q143" s="483">
        <v>1688</v>
      </c>
      <c r="R143" s="491">
        <f t="shared" si="20"/>
        <v>14</v>
      </c>
    </row>
    <row r="144" spans="2:18" x14ac:dyDescent="0.3">
      <c r="B144" s="502" t="s">
        <v>675</v>
      </c>
      <c r="C144" s="483">
        <v>221</v>
      </c>
      <c r="D144" s="485">
        <v>45476</v>
      </c>
      <c r="E144" s="486">
        <v>0</v>
      </c>
      <c r="F144" s="483">
        <v>691903</v>
      </c>
      <c r="G144" s="487">
        <v>1548</v>
      </c>
      <c r="H144" s="503">
        <f t="shared" si="18"/>
        <v>24</v>
      </c>
      <c r="L144" s="490" t="s">
        <v>688</v>
      </c>
      <c r="M144" s="483">
        <v>12419</v>
      </c>
      <c r="N144" s="485">
        <v>45476</v>
      </c>
      <c r="O144" s="486">
        <v>0</v>
      </c>
      <c r="P144" s="487">
        <v>740771</v>
      </c>
      <c r="Q144" s="483">
        <v>1690</v>
      </c>
      <c r="R144" s="491">
        <f t="shared" si="20"/>
        <v>17</v>
      </c>
    </row>
    <row r="145" spans="2:19" x14ac:dyDescent="0.3">
      <c r="B145" s="502" t="s">
        <v>675</v>
      </c>
      <c r="C145" s="483">
        <v>242</v>
      </c>
      <c r="D145" s="485">
        <v>45477</v>
      </c>
      <c r="E145" s="486">
        <v>0</v>
      </c>
      <c r="F145" s="483">
        <v>694325</v>
      </c>
      <c r="G145" s="487">
        <v>1549</v>
      </c>
      <c r="H145" s="503">
        <f t="shared" si="18"/>
        <v>21</v>
      </c>
      <c r="L145" s="490" t="s">
        <v>688</v>
      </c>
      <c r="M145" s="483">
        <v>12429</v>
      </c>
      <c r="N145" s="485">
        <v>45477</v>
      </c>
      <c r="O145" s="486">
        <v>0</v>
      </c>
      <c r="P145" s="487">
        <v>741239</v>
      </c>
      <c r="Q145" s="483">
        <v>1690</v>
      </c>
      <c r="R145" s="491">
        <f t="shared" si="20"/>
        <v>10</v>
      </c>
    </row>
    <row r="146" spans="2:19" x14ac:dyDescent="0.3">
      <c r="B146" s="502" t="s">
        <v>675</v>
      </c>
      <c r="C146" s="483">
        <v>265</v>
      </c>
      <c r="D146" s="485">
        <v>45478</v>
      </c>
      <c r="E146" s="486">
        <v>0</v>
      </c>
      <c r="F146" s="483">
        <v>695923</v>
      </c>
      <c r="G146" s="487">
        <v>1549</v>
      </c>
      <c r="H146" s="503">
        <f t="shared" si="18"/>
        <v>23</v>
      </c>
      <c r="L146" s="490" t="s">
        <v>688</v>
      </c>
      <c r="M146" s="483">
        <v>12453</v>
      </c>
      <c r="N146" s="485">
        <v>45478</v>
      </c>
      <c r="O146" s="486">
        <v>0</v>
      </c>
      <c r="P146" s="487">
        <v>741446</v>
      </c>
      <c r="Q146" s="483">
        <v>1692</v>
      </c>
      <c r="R146" s="491">
        <f t="shared" si="20"/>
        <v>24</v>
      </c>
    </row>
    <row r="147" spans="2:19" x14ac:dyDescent="0.3">
      <c r="B147" s="502" t="s">
        <v>675</v>
      </c>
      <c r="C147" s="483">
        <v>266</v>
      </c>
      <c r="D147" s="485">
        <v>45479</v>
      </c>
      <c r="E147" s="486">
        <v>0</v>
      </c>
      <c r="F147" s="483">
        <v>695987</v>
      </c>
      <c r="G147" s="487">
        <v>1549</v>
      </c>
      <c r="H147" s="503">
        <f t="shared" si="18"/>
        <v>1</v>
      </c>
      <c r="L147" s="490" t="s">
        <v>688</v>
      </c>
      <c r="M147" s="483">
        <v>12475</v>
      </c>
      <c r="N147" s="485">
        <v>45479</v>
      </c>
      <c r="O147" s="486">
        <v>0</v>
      </c>
      <c r="P147" s="487">
        <v>743174</v>
      </c>
      <c r="Q147" s="483">
        <v>1693</v>
      </c>
      <c r="R147" s="491">
        <f t="shared" si="20"/>
        <v>22</v>
      </c>
    </row>
    <row r="148" spans="2:19" x14ac:dyDescent="0.3">
      <c r="B148" s="502" t="s">
        <v>675</v>
      </c>
      <c r="C148" s="483">
        <v>266</v>
      </c>
      <c r="D148" s="485">
        <v>45480</v>
      </c>
      <c r="E148" s="486">
        <v>0</v>
      </c>
      <c r="F148" s="483">
        <v>695987</v>
      </c>
      <c r="G148" s="487">
        <v>1549</v>
      </c>
      <c r="H148" s="503">
        <f t="shared" si="18"/>
        <v>0</v>
      </c>
      <c r="L148" s="490" t="s">
        <v>688</v>
      </c>
      <c r="M148" s="483">
        <v>12493</v>
      </c>
      <c r="N148" s="485">
        <v>45480</v>
      </c>
      <c r="O148" s="486">
        <v>0</v>
      </c>
      <c r="P148" s="487">
        <v>743754</v>
      </c>
      <c r="Q148" s="483">
        <v>1694</v>
      </c>
      <c r="R148" s="491">
        <f t="shared" si="20"/>
        <v>18</v>
      </c>
    </row>
    <row r="149" spans="2:19" x14ac:dyDescent="0.3">
      <c r="B149" s="502" t="s">
        <v>675</v>
      </c>
      <c r="C149" s="483">
        <v>266</v>
      </c>
      <c r="D149" s="485">
        <v>45481</v>
      </c>
      <c r="E149" s="486">
        <v>0</v>
      </c>
      <c r="F149" s="483">
        <v>695987</v>
      </c>
      <c r="G149" s="487">
        <v>1549</v>
      </c>
      <c r="H149" s="503">
        <f t="shared" si="18"/>
        <v>0</v>
      </c>
      <c r="L149" s="490" t="s">
        <v>688</v>
      </c>
      <c r="M149" s="483">
        <v>12513</v>
      </c>
      <c r="N149" s="485">
        <v>45481</v>
      </c>
      <c r="O149" s="486">
        <v>0</v>
      </c>
      <c r="P149" s="487">
        <v>744901</v>
      </c>
      <c r="Q149" s="483">
        <v>1694</v>
      </c>
      <c r="R149" s="491">
        <f t="shared" si="20"/>
        <v>20</v>
      </c>
    </row>
    <row r="150" spans="2:19" x14ac:dyDescent="0.3">
      <c r="B150" s="502" t="s">
        <v>675</v>
      </c>
      <c r="C150" s="483">
        <v>277</v>
      </c>
      <c r="D150" s="485">
        <v>45482</v>
      </c>
      <c r="E150" s="486">
        <v>0</v>
      </c>
      <c r="F150" s="483">
        <v>696604</v>
      </c>
      <c r="G150" s="487">
        <v>1551</v>
      </c>
      <c r="H150" s="503">
        <f t="shared" si="18"/>
        <v>11</v>
      </c>
      <c r="L150" s="490" t="s">
        <v>688</v>
      </c>
      <c r="M150" s="483">
        <v>12522</v>
      </c>
      <c r="N150" s="485">
        <v>45482</v>
      </c>
      <c r="O150" s="486">
        <v>0</v>
      </c>
      <c r="P150" s="487">
        <v>745383</v>
      </c>
      <c r="Q150" s="483">
        <v>1699</v>
      </c>
      <c r="R150" s="491">
        <f t="shared" si="20"/>
        <v>9</v>
      </c>
      <c r="S150" s="577"/>
    </row>
    <row r="151" spans="2:19" x14ac:dyDescent="0.3">
      <c r="B151" s="502" t="s">
        <v>675</v>
      </c>
      <c r="C151" s="483">
        <v>287</v>
      </c>
      <c r="D151" s="485">
        <v>45483</v>
      </c>
      <c r="E151" s="486">
        <v>0</v>
      </c>
      <c r="F151" s="483">
        <v>696604</v>
      </c>
      <c r="G151" s="487">
        <v>1552</v>
      </c>
      <c r="H151" s="503">
        <f t="shared" si="18"/>
        <v>10</v>
      </c>
      <c r="L151" s="490" t="s">
        <v>688</v>
      </c>
      <c r="M151" s="483">
        <v>12527</v>
      </c>
      <c r="N151" s="485">
        <v>45483</v>
      </c>
      <c r="O151" s="486">
        <v>0</v>
      </c>
      <c r="P151" s="487">
        <v>745623</v>
      </c>
      <c r="Q151" s="483">
        <v>1700</v>
      </c>
      <c r="R151" s="491">
        <f t="shared" si="20"/>
        <v>5</v>
      </c>
    </row>
    <row r="152" spans="2:19" x14ac:dyDescent="0.3">
      <c r="B152" s="502" t="s">
        <v>675</v>
      </c>
      <c r="C152" s="483">
        <v>297</v>
      </c>
      <c r="D152" s="485">
        <v>45484</v>
      </c>
      <c r="E152" s="486">
        <v>0</v>
      </c>
      <c r="F152" s="483">
        <v>696742</v>
      </c>
      <c r="G152" s="487">
        <v>1552</v>
      </c>
      <c r="H152" s="503">
        <f t="shared" si="18"/>
        <v>10</v>
      </c>
      <c r="L152" s="490" t="s">
        <v>688</v>
      </c>
      <c r="M152" s="483">
        <v>12535</v>
      </c>
      <c r="N152" s="485">
        <v>45484</v>
      </c>
      <c r="O152" s="486">
        <v>0</v>
      </c>
      <c r="P152" s="487">
        <v>745979</v>
      </c>
      <c r="Q152" s="483">
        <v>1705</v>
      </c>
      <c r="R152" s="491">
        <f t="shared" ref="R152:R173" si="21">M152-M151</f>
        <v>8</v>
      </c>
    </row>
    <row r="153" spans="2:19" x14ac:dyDescent="0.3">
      <c r="B153" s="502" t="s">
        <v>675</v>
      </c>
      <c r="C153" s="483">
        <v>302</v>
      </c>
      <c r="D153" s="485">
        <v>45485</v>
      </c>
      <c r="E153" s="486">
        <v>0</v>
      </c>
      <c r="F153" s="483">
        <v>697060</v>
      </c>
      <c r="G153" s="487">
        <v>1554</v>
      </c>
      <c r="H153" s="503">
        <f t="shared" si="18"/>
        <v>5</v>
      </c>
      <c r="L153" s="490" t="s">
        <v>688</v>
      </c>
      <c r="M153" s="483">
        <v>12545</v>
      </c>
      <c r="N153" s="485">
        <v>45485</v>
      </c>
      <c r="O153" s="486">
        <v>0</v>
      </c>
      <c r="P153" s="487">
        <v>746283</v>
      </c>
      <c r="Q153" s="483">
        <v>1710</v>
      </c>
      <c r="R153" s="491">
        <f t="shared" si="21"/>
        <v>10</v>
      </c>
    </row>
    <row r="154" spans="2:19" x14ac:dyDescent="0.3">
      <c r="B154" s="502" t="s">
        <v>675</v>
      </c>
      <c r="C154" s="483">
        <v>322</v>
      </c>
      <c r="D154" s="485">
        <v>45486</v>
      </c>
      <c r="E154" s="486">
        <v>4.1666666666666699E-2</v>
      </c>
      <c r="F154" s="483">
        <v>698209</v>
      </c>
      <c r="G154" s="487">
        <v>1554</v>
      </c>
      <c r="H154" s="503">
        <f t="shared" si="18"/>
        <v>20</v>
      </c>
      <c r="L154" s="490" t="s">
        <v>688</v>
      </c>
      <c r="M154" s="483">
        <v>12561</v>
      </c>
      <c r="N154" s="485">
        <v>45486</v>
      </c>
      <c r="O154" s="486">
        <v>4.1666666666666699E-2</v>
      </c>
      <c r="P154" s="487">
        <v>747162</v>
      </c>
      <c r="Q154" s="483">
        <v>1711</v>
      </c>
      <c r="R154" s="491">
        <f t="shared" si="21"/>
        <v>16</v>
      </c>
    </row>
    <row r="155" spans="2:19" x14ac:dyDescent="0.3">
      <c r="B155" s="502" t="s">
        <v>675</v>
      </c>
      <c r="C155" s="483">
        <v>322</v>
      </c>
      <c r="D155" s="485">
        <v>45487</v>
      </c>
      <c r="E155" s="486">
        <v>0</v>
      </c>
      <c r="F155" s="483">
        <v>698209</v>
      </c>
      <c r="G155" s="487">
        <v>1554</v>
      </c>
      <c r="H155" s="503">
        <f t="shared" si="18"/>
        <v>0</v>
      </c>
      <c r="L155" s="490" t="s">
        <v>688</v>
      </c>
      <c r="M155" s="483">
        <v>12581</v>
      </c>
      <c r="N155" s="485">
        <v>45487</v>
      </c>
      <c r="O155" s="486">
        <v>0</v>
      </c>
      <c r="P155" s="487">
        <v>748200</v>
      </c>
      <c r="Q155" s="483">
        <v>1711</v>
      </c>
      <c r="R155" s="491">
        <f t="shared" si="21"/>
        <v>20</v>
      </c>
    </row>
    <row r="156" spans="2:19" x14ac:dyDescent="0.3">
      <c r="B156" s="502" t="s">
        <v>675</v>
      </c>
      <c r="C156" s="483">
        <v>334</v>
      </c>
      <c r="D156" s="485">
        <v>45488</v>
      </c>
      <c r="E156" s="486">
        <v>0</v>
      </c>
      <c r="F156" s="483">
        <v>698920</v>
      </c>
      <c r="G156" s="487">
        <v>1555</v>
      </c>
      <c r="H156" s="503">
        <f t="shared" si="18"/>
        <v>12</v>
      </c>
      <c r="L156" s="490" t="s">
        <v>688</v>
      </c>
      <c r="M156" s="483">
        <v>12599</v>
      </c>
      <c r="N156" s="485">
        <v>45488</v>
      </c>
      <c r="O156" s="486">
        <v>0</v>
      </c>
      <c r="P156" s="487">
        <v>749017</v>
      </c>
      <c r="Q156" s="483">
        <v>1713</v>
      </c>
      <c r="R156" s="491">
        <f t="shared" si="21"/>
        <v>18</v>
      </c>
    </row>
    <row r="157" spans="2:19" x14ac:dyDescent="0.3">
      <c r="B157" s="502" t="s">
        <v>675</v>
      </c>
      <c r="C157" s="483">
        <v>353</v>
      </c>
      <c r="D157" s="485">
        <v>45489</v>
      </c>
      <c r="E157" s="486">
        <v>0</v>
      </c>
      <c r="F157" s="483">
        <v>700059</v>
      </c>
      <c r="G157" s="487">
        <v>1556</v>
      </c>
      <c r="H157" s="503">
        <f t="shared" si="18"/>
        <v>19</v>
      </c>
      <c r="L157" s="490" t="s">
        <v>688</v>
      </c>
      <c r="M157" s="483">
        <v>12617</v>
      </c>
      <c r="N157" s="485">
        <v>45489</v>
      </c>
      <c r="O157" s="486">
        <v>0</v>
      </c>
      <c r="P157" s="487">
        <v>749964</v>
      </c>
      <c r="Q157" s="483">
        <v>1713</v>
      </c>
      <c r="R157" s="491">
        <f t="shared" si="21"/>
        <v>18</v>
      </c>
    </row>
    <row r="158" spans="2:19" x14ac:dyDescent="0.3">
      <c r="B158" s="502" t="s">
        <v>675</v>
      </c>
      <c r="C158" s="483">
        <v>353</v>
      </c>
      <c r="D158" s="485">
        <v>45490</v>
      </c>
      <c r="E158" s="486">
        <v>0</v>
      </c>
      <c r="F158" s="483">
        <v>700059</v>
      </c>
      <c r="G158" s="487">
        <v>1556</v>
      </c>
      <c r="H158" s="503">
        <f t="shared" si="18"/>
        <v>0</v>
      </c>
      <c r="L158" s="490" t="s">
        <v>688</v>
      </c>
      <c r="M158" s="483">
        <v>12633</v>
      </c>
      <c r="N158" s="485">
        <v>45490</v>
      </c>
      <c r="O158" s="486">
        <v>0</v>
      </c>
      <c r="P158" s="487">
        <v>750781</v>
      </c>
      <c r="Q158" s="483">
        <v>1714</v>
      </c>
      <c r="R158" s="491">
        <f t="shared" si="21"/>
        <v>16</v>
      </c>
    </row>
    <row r="159" spans="2:19" x14ac:dyDescent="0.3">
      <c r="B159" s="502" t="s">
        <v>675</v>
      </c>
      <c r="C159" s="483">
        <v>355</v>
      </c>
      <c r="D159" s="485">
        <v>45491</v>
      </c>
      <c r="E159" s="486">
        <v>0</v>
      </c>
      <c r="F159" s="483">
        <v>700175</v>
      </c>
      <c r="G159" s="487">
        <v>1558</v>
      </c>
      <c r="H159" s="503">
        <f t="shared" si="18"/>
        <v>2</v>
      </c>
      <c r="L159" s="490" t="s">
        <v>688</v>
      </c>
      <c r="M159" s="483">
        <v>12652</v>
      </c>
      <c r="N159" s="485">
        <v>45491</v>
      </c>
      <c r="O159" s="486">
        <v>0</v>
      </c>
      <c r="P159" s="487">
        <v>751726</v>
      </c>
      <c r="Q159" s="483">
        <v>1715</v>
      </c>
      <c r="R159" s="491">
        <f t="shared" si="21"/>
        <v>19</v>
      </c>
    </row>
    <row r="160" spans="2:19" x14ac:dyDescent="0.3">
      <c r="B160" s="502" t="s">
        <v>675</v>
      </c>
      <c r="C160" s="483">
        <v>374</v>
      </c>
      <c r="D160" s="485">
        <v>45492</v>
      </c>
      <c r="E160" s="486">
        <v>4.1666666666666699E-2</v>
      </c>
      <c r="F160" s="483">
        <v>701311</v>
      </c>
      <c r="G160" s="487">
        <v>1559</v>
      </c>
      <c r="H160" s="503">
        <f t="shared" si="18"/>
        <v>19</v>
      </c>
      <c r="L160" s="490" t="s">
        <v>688</v>
      </c>
      <c r="M160" s="483">
        <v>12670</v>
      </c>
      <c r="N160" s="485">
        <v>45492</v>
      </c>
      <c r="O160" s="486">
        <v>0</v>
      </c>
      <c r="P160" s="487">
        <v>752625</v>
      </c>
      <c r="Q160" s="483">
        <v>1716</v>
      </c>
      <c r="R160" s="491">
        <f t="shared" si="21"/>
        <v>18</v>
      </c>
    </row>
    <row r="161" spans="2:18" x14ac:dyDescent="0.3">
      <c r="B161" s="502" t="s">
        <v>675</v>
      </c>
      <c r="C161" s="483">
        <v>377</v>
      </c>
      <c r="D161" s="485">
        <v>45493</v>
      </c>
      <c r="E161" s="486">
        <v>0</v>
      </c>
      <c r="F161" s="483">
        <v>701461</v>
      </c>
      <c r="G161" s="487">
        <v>1560</v>
      </c>
      <c r="H161" s="503">
        <f t="shared" si="18"/>
        <v>3</v>
      </c>
      <c r="L161" s="490" t="s">
        <v>688</v>
      </c>
      <c r="M161" s="483">
        <v>12681</v>
      </c>
      <c r="N161" s="485">
        <v>45493</v>
      </c>
      <c r="O161" s="486">
        <v>0</v>
      </c>
      <c r="P161" s="487">
        <v>753177</v>
      </c>
      <c r="Q161" s="483">
        <v>1718</v>
      </c>
      <c r="R161" s="491">
        <f t="shared" si="21"/>
        <v>11</v>
      </c>
    </row>
    <row r="162" spans="2:18" x14ac:dyDescent="0.3">
      <c r="B162" s="502" t="s">
        <v>675</v>
      </c>
      <c r="C162" s="483">
        <v>386</v>
      </c>
      <c r="D162" s="485">
        <v>45494</v>
      </c>
      <c r="E162" s="486">
        <v>0</v>
      </c>
      <c r="F162" s="483">
        <v>702026</v>
      </c>
      <c r="G162" s="487">
        <v>1561</v>
      </c>
      <c r="H162" s="503">
        <f t="shared" ref="H162:H193" si="22">C162-C161</f>
        <v>9</v>
      </c>
      <c r="L162" s="490" t="s">
        <v>688</v>
      </c>
      <c r="M162" s="483">
        <v>12698</v>
      </c>
      <c r="N162" s="485">
        <v>45494</v>
      </c>
      <c r="O162" s="486">
        <v>0</v>
      </c>
      <c r="P162" s="487">
        <v>754050</v>
      </c>
      <c r="Q162" s="483">
        <v>1719</v>
      </c>
      <c r="R162" s="491">
        <f t="shared" si="21"/>
        <v>17</v>
      </c>
    </row>
    <row r="163" spans="2:18" x14ac:dyDescent="0.3">
      <c r="B163" s="502" t="s">
        <v>675</v>
      </c>
      <c r="C163" s="483">
        <v>398</v>
      </c>
      <c r="D163" s="485">
        <v>45495</v>
      </c>
      <c r="E163" s="486">
        <v>0</v>
      </c>
      <c r="F163" s="483">
        <v>702740</v>
      </c>
      <c r="G163" s="487">
        <v>1562</v>
      </c>
      <c r="H163" s="503">
        <f t="shared" si="22"/>
        <v>12</v>
      </c>
      <c r="L163" s="490" t="s">
        <v>688</v>
      </c>
      <c r="M163" s="483">
        <v>12715</v>
      </c>
      <c r="N163" s="485">
        <v>45495</v>
      </c>
      <c r="O163" s="486">
        <v>0</v>
      </c>
      <c r="P163" s="487">
        <v>754950</v>
      </c>
      <c r="Q163" s="483">
        <v>1720</v>
      </c>
      <c r="R163" s="491">
        <f t="shared" si="21"/>
        <v>17</v>
      </c>
    </row>
    <row r="164" spans="2:18" x14ac:dyDescent="0.3">
      <c r="B164" s="502" t="s">
        <v>675</v>
      </c>
      <c r="C164" s="483">
        <v>398</v>
      </c>
      <c r="D164" s="485">
        <v>45496</v>
      </c>
      <c r="E164" s="486">
        <v>0</v>
      </c>
      <c r="F164" s="483">
        <v>702740</v>
      </c>
      <c r="G164" s="487">
        <v>1563</v>
      </c>
      <c r="H164" s="503">
        <f t="shared" si="22"/>
        <v>0</v>
      </c>
      <c r="L164" s="490" t="s">
        <v>688</v>
      </c>
      <c r="M164" s="483">
        <v>12733</v>
      </c>
      <c r="N164" s="485">
        <v>45496</v>
      </c>
      <c r="O164" s="486">
        <v>0</v>
      </c>
      <c r="P164" s="487">
        <v>755834</v>
      </c>
      <c r="Q164" s="483">
        <v>1721</v>
      </c>
      <c r="R164" s="491">
        <f t="shared" si="21"/>
        <v>18</v>
      </c>
    </row>
    <row r="165" spans="2:18" x14ac:dyDescent="0.3">
      <c r="B165" s="502" t="s">
        <v>675</v>
      </c>
      <c r="C165" s="483">
        <v>414</v>
      </c>
      <c r="D165" s="485">
        <v>45497</v>
      </c>
      <c r="E165" s="486">
        <v>0</v>
      </c>
      <c r="F165" s="483">
        <v>703660</v>
      </c>
      <c r="G165" s="487">
        <v>1564</v>
      </c>
      <c r="H165" s="503">
        <f t="shared" si="22"/>
        <v>16</v>
      </c>
      <c r="L165" s="490" t="s">
        <v>688</v>
      </c>
      <c r="M165" s="483">
        <v>12749</v>
      </c>
      <c r="N165" s="485">
        <v>45497</v>
      </c>
      <c r="O165" s="486">
        <v>0</v>
      </c>
      <c r="P165" s="487">
        <v>756740</v>
      </c>
      <c r="Q165" s="483">
        <v>1729</v>
      </c>
      <c r="R165" s="491">
        <f t="shared" si="21"/>
        <v>16</v>
      </c>
    </row>
    <row r="166" spans="2:18" x14ac:dyDescent="0.3">
      <c r="B166" s="502" t="s">
        <v>675</v>
      </c>
      <c r="C166" s="483">
        <v>420</v>
      </c>
      <c r="D166" s="485">
        <v>45498</v>
      </c>
      <c r="E166" s="486">
        <v>0</v>
      </c>
      <c r="F166" s="483">
        <v>704009</v>
      </c>
      <c r="G166" s="487">
        <v>1565</v>
      </c>
      <c r="H166" s="503">
        <f t="shared" si="22"/>
        <v>6</v>
      </c>
      <c r="L166" s="490" t="s">
        <v>688</v>
      </c>
      <c r="M166" s="483">
        <v>12766</v>
      </c>
      <c r="N166" s="485">
        <v>45498</v>
      </c>
      <c r="O166" s="486">
        <v>0</v>
      </c>
      <c r="P166" s="487">
        <v>757652</v>
      </c>
      <c r="Q166" s="483">
        <v>1730</v>
      </c>
      <c r="R166" s="491">
        <f t="shared" si="21"/>
        <v>17</v>
      </c>
    </row>
    <row r="167" spans="2:18" x14ac:dyDescent="0.3">
      <c r="B167" s="502" t="s">
        <v>675</v>
      </c>
      <c r="C167" s="483">
        <v>420</v>
      </c>
      <c r="D167" s="485">
        <v>45499</v>
      </c>
      <c r="E167" s="486">
        <v>0</v>
      </c>
      <c r="F167" s="483">
        <v>704009</v>
      </c>
      <c r="G167" s="487">
        <v>1565</v>
      </c>
      <c r="H167" s="503">
        <f t="shared" si="22"/>
        <v>0</v>
      </c>
      <c r="J167">
        <f>F199-F168</f>
        <v>8550</v>
      </c>
      <c r="L167" s="490" t="s">
        <v>688</v>
      </c>
      <c r="M167" s="483">
        <v>12779</v>
      </c>
      <c r="N167" s="485">
        <v>45499</v>
      </c>
      <c r="O167" s="486">
        <v>0</v>
      </c>
      <c r="P167" s="487">
        <v>758375</v>
      </c>
      <c r="Q167" s="483">
        <v>1732</v>
      </c>
      <c r="R167" s="491">
        <f t="shared" si="21"/>
        <v>13</v>
      </c>
    </row>
    <row r="168" spans="2:18" x14ac:dyDescent="0.3">
      <c r="B168" s="502" t="s">
        <v>675</v>
      </c>
      <c r="C168" s="483">
        <v>423</v>
      </c>
      <c r="D168" s="485">
        <v>45500</v>
      </c>
      <c r="E168" s="486">
        <v>4.1666666666666699E-2</v>
      </c>
      <c r="F168" s="483">
        <v>704216</v>
      </c>
      <c r="G168" s="487">
        <v>1566</v>
      </c>
      <c r="H168" s="503">
        <f t="shared" si="22"/>
        <v>3</v>
      </c>
      <c r="L168" s="490" t="s">
        <v>688</v>
      </c>
      <c r="M168" s="483">
        <v>12801</v>
      </c>
      <c r="N168" s="485">
        <v>45500</v>
      </c>
      <c r="O168" s="486">
        <v>0</v>
      </c>
      <c r="P168" s="487">
        <v>759490</v>
      </c>
      <c r="Q168" s="483">
        <v>1733</v>
      </c>
      <c r="R168" s="491">
        <f t="shared" si="21"/>
        <v>22</v>
      </c>
    </row>
    <row r="169" spans="2:18" x14ac:dyDescent="0.3">
      <c r="B169" s="502" t="s">
        <v>675</v>
      </c>
      <c r="C169" s="483">
        <v>423</v>
      </c>
      <c r="D169" s="485">
        <v>45501</v>
      </c>
      <c r="E169" s="486">
        <v>0</v>
      </c>
      <c r="F169" s="483">
        <v>704216</v>
      </c>
      <c r="G169" s="487">
        <v>1566</v>
      </c>
      <c r="H169" s="503">
        <f t="shared" si="22"/>
        <v>0</v>
      </c>
      <c r="L169" s="490" t="s">
        <v>688</v>
      </c>
      <c r="M169" s="483">
        <v>12801</v>
      </c>
      <c r="N169" s="485">
        <v>45501</v>
      </c>
      <c r="O169" s="486">
        <v>0</v>
      </c>
      <c r="P169" s="487">
        <v>759490</v>
      </c>
      <c r="Q169" s="483">
        <v>1733</v>
      </c>
      <c r="R169" s="491">
        <f t="shared" si="21"/>
        <v>0</v>
      </c>
    </row>
    <row r="170" spans="2:18" x14ac:dyDescent="0.3">
      <c r="B170" s="502" t="s">
        <v>675</v>
      </c>
      <c r="C170" s="483">
        <v>423</v>
      </c>
      <c r="D170" s="485">
        <v>45502</v>
      </c>
      <c r="E170" s="486">
        <v>0</v>
      </c>
      <c r="F170" s="483">
        <v>704216</v>
      </c>
      <c r="G170" s="487">
        <v>1566</v>
      </c>
      <c r="H170" s="503">
        <f t="shared" si="22"/>
        <v>0</v>
      </c>
      <c r="L170" s="490" t="s">
        <v>688</v>
      </c>
      <c r="M170" s="483">
        <v>12810</v>
      </c>
      <c r="N170" s="485">
        <v>45502</v>
      </c>
      <c r="O170" s="486">
        <v>0</v>
      </c>
      <c r="P170" s="487">
        <v>759940</v>
      </c>
      <c r="Q170" s="483">
        <v>1733</v>
      </c>
      <c r="R170" s="491">
        <f t="shared" si="21"/>
        <v>9</v>
      </c>
    </row>
    <row r="171" spans="2:18" x14ac:dyDescent="0.3">
      <c r="B171" s="502" t="s">
        <v>675</v>
      </c>
      <c r="C171" s="483">
        <v>431</v>
      </c>
      <c r="D171" s="485">
        <v>45503</v>
      </c>
      <c r="E171" s="486">
        <v>0</v>
      </c>
      <c r="F171" s="483">
        <v>704740</v>
      </c>
      <c r="G171" s="487">
        <v>1569</v>
      </c>
      <c r="H171" s="503">
        <f t="shared" si="22"/>
        <v>8</v>
      </c>
      <c r="L171" s="490" t="s">
        <v>688</v>
      </c>
      <c r="M171" s="483">
        <v>12826</v>
      </c>
      <c r="N171" s="485">
        <v>45503</v>
      </c>
      <c r="O171" s="486">
        <v>0</v>
      </c>
      <c r="P171" s="487">
        <v>760750</v>
      </c>
      <c r="Q171" s="483">
        <v>1733</v>
      </c>
      <c r="R171" s="491">
        <f t="shared" si="21"/>
        <v>16</v>
      </c>
    </row>
    <row r="172" spans="2:18" x14ac:dyDescent="0.3">
      <c r="B172" s="502" t="s">
        <v>675</v>
      </c>
      <c r="C172" s="483">
        <v>439</v>
      </c>
      <c r="D172" s="485">
        <v>45504</v>
      </c>
      <c r="E172" s="486">
        <v>0</v>
      </c>
      <c r="F172" s="483">
        <v>705332</v>
      </c>
      <c r="G172" s="487">
        <v>1570</v>
      </c>
      <c r="H172" s="503">
        <f t="shared" si="22"/>
        <v>8</v>
      </c>
      <c r="L172" s="490" t="s">
        <v>688</v>
      </c>
      <c r="M172" s="483">
        <v>12840</v>
      </c>
      <c r="N172" s="485">
        <v>45504</v>
      </c>
      <c r="O172" s="486">
        <v>0</v>
      </c>
      <c r="P172" s="487">
        <v>761490</v>
      </c>
      <c r="Q172" s="483">
        <v>1733</v>
      </c>
      <c r="R172" s="491">
        <f t="shared" si="21"/>
        <v>14</v>
      </c>
    </row>
    <row r="173" spans="2:18" x14ac:dyDescent="0.3">
      <c r="B173" s="502" t="s">
        <v>675</v>
      </c>
      <c r="C173" s="483">
        <v>439</v>
      </c>
      <c r="D173" s="485">
        <v>45505</v>
      </c>
      <c r="E173" s="486">
        <v>0</v>
      </c>
      <c r="F173" s="483">
        <v>705332</v>
      </c>
      <c r="G173" s="487">
        <v>1570</v>
      </c>
      <c r="H173" s="503">
        <f t="shared" si="22"/>
        <v>0</v>
      </c>
      <c r="L173" s="490" t="s">
        <v>688</v>
      </c>
      <c r="M173" s="483">
        <v>12852</v>
      </c>
      <c r="N173" s="485">
        <v>45505</v>
      </c>
      <c r="O173" s="486">
        <v>0</v>
      </c>
      <c r="P173" s="487">
        <v>762090</v>
      </c>
      <c r="Q173" s="483">
        <v>1733</v>
      </c>
      <c r="R173" s="491">
        <f t="shared" si="21"/>
        <v>12</v>
      </c>
    </row>
    <row r="174" spans="2:18" x14ac:dyDescent="0.3">
      <c r="B174" s="502" t="s">
        <v>675</v>
      </c>
      <c r="C174" s="483">
        <v>442</v>
      </c>
      <c r="D174" s="485">
        <v>45506</v>
      </c>
      <c r="E174" s="486">
        <v>0</v>
      </c>
      <c r="F174" s="483">
        <v>705534</v>
      </c>
      <c r="G174" s="487">
        <v>1571</v>
      </c>
      <c r="H174" s="503">
        <f t="shared" si="22"/>
        <v>3</v>
      </c>
      <c r="L174" s="490" t="s">
        <v>688</v>
      </c>
      <c r="M174" s="483">
        <v>12873</v>
      </c>
      <c r="N174" s="485">
        <v>45506</v>
      </c>
      <c r="O174" s="486">
        <v>0</v>
      </c>
      <c r="P174" s="487">
        <v>763051</v>
      </c>
      <c r="Q174" s="483">
        <v>1747</v>
      </c>
      <c r="R174" s="491">
        <f t="shared" ref="R174:R179" si="23">M174-M173</f>
        <v>21</v>
      </c>
    </row>
    <row r="175" spans="2:18" x14ac:dyDescent="0.3">
      <c r="B175" s="502" t="s">
        <v>675</v>
      </c>
      <c r="C175" s="483">
        <v>461</v>
      </c>
      <c r="D175" s="485">
        <v>45507</v>
      </c>
      <c r="E175" s="486">
        <v>0</v>
      </c>
      <c r="F175" s="483">
        <v>706840</v>
      </c>
      <c r="G175" s="487">
        <v>1572</v>
      </c>
      <c r="H175" s="503">
        <f t="shared" si="22"/>
        <v>19</v>
      </c>
      <c r="L175" s="589" t="s">
        <v>688</v>
      </c>
      <c r="M175" s="497">
        <v>12877</v>
      </c>
      <c r="N175" s="498">
        <v>45507</v>
      </c>
      <c r="O175" s="499">
        <v>0</v>
      </c>
      <c r="P175" s="500">
        <v>763294</v>
      </c>
      <c r="Q175" s="497">
        <v>1747</v>
      </c>
      <c r="R175" s="590">
        <f t="shared" si="23"/>
        <v>4</v>
      </c>
    </row>
    <row r="176" spans="2:18" x14ac:dyDescent="0.3">
      <c r="B176" s="502" t="s">
        <v>675</v>
      </c>
      <c r="C176" s="483">
        <v>461</v>
      </c>
      <c r="D176" s="485">
        <v>45508</v>
      </c>
      <c r="E176" s="486">
        <v>0</v>
      </c>
      <c r="F176" s="483">
        <v>706840</v>
      </c>
      <c r="G176" s="487">
        <v>1572</v>
      </c>
      <c r="H176" s="503">
        <f t="shared" si="22"/>
        <v>0</v>
      </c>
      <c r="L176" s="589" t="s">
        <v>688</v>
      </c>
      <c r="M176" s="497">
        <v>12877</v>
      </c>
      <c r="N176" s="498">
        <v>45508</v>
      </c>
      <c r="O176" s="499">
        <v>0</v>
      </c>
      <c r="P176" s="500">
        <v>763294</v>
      </c>
      <c r="Q176" s="497">
        <v>1747</v>
      </c>
      <c r="R176" s="590">
        <f t="shared" si="23"/>
        <v>0</v>
      </c>
    </row>
    <row r="177" spans="2:18" x14ac:dyDescent="0.3">
      <c r="B177" s="502" t="s">
        <v>675</v>
      </c>
      <c r="C177" s="483">
        <v>461</v>
      </c>
      <c r="D177" s="485">
        <v>45509</v>
      </c>
      <c r="E177" s="486">
        <v>4.1666666666666699E-2</v>
      </c>
      <c r="F177" s="483">
        <v>706840</v>
      </c>
      <c r="G177" s="487">
        <v>1572</v>
      </c>
      <c r="H177" s="503">
        <f t="shared" si="22"/>
        <v>0</v>
      </c>
      <c r="L177" s="589" t="s">
        <v>688</v>
      </c>
      <c r="M177" s="497">
        <v>12877</v>
      </c>
      <c r="N177" s="498">
        <v>45509</v>
      </c>
      <c r="O177" s="499">
        <v>4.1666666666666699E-2</v>
      </c>
      <c r="P177" s="500">
        <v>763294</v>
      </c>
      <c r="Q177" s="497">
        <v>1747</v>
      </c>
      <c r="R177" s="590">
        <f t="shared" si="23"/>
        <v>0</v>
      </c>
    </row>
    <row r="178" spans="2:18" x14ac:dyDescent="0.3">
      <c r="B178" s="502" t="s">
        <v>675</v>
      </c>
      <c r="C178" s="483">
        <v>461</v>
      </c>
      <c r="D178" s="485">
        <v>45510</v>
      </c>
      <c r="E178" s="486">
        <v>0</v>
      </c>
      <c r="F178" s="483">
        <v>706840</v>
      </c>
      <c r="G178" s="487">
        <v>1572</v>
      </c>
      <c r="H178" s="503">
        <f t="shared" si="22"/>
        <v>0</v>
      </c>
      <c r="L178" s="589" t="s">
        <v>688</v>
      </c>
      <c r="M178" s="497">
        <v>12877</v>
      </c>
      <c r="N178" s="498">
        <v>45510</v>
      </c>
      <c r="O178" s="499">
        <v>0</v>
      </c>
      <c r="P178" s="500">
        <v>763294</v>
      </c>
      <c r="Q178" s="497">
        <v>1747</v>
      </c>
      <c r="R178" s="590">
        <f t="shared" si="23"/>
        <v>0</v>
      </c>
    </row>
    <row r="179" spans="2:18" x14ac:dyDescent="0.3">
      <c r="B179" s="502" t="s">
        <v>675</v>
      </c>
      <c r="C179" s="483">
        <v>477</v>
      </c>
      <c r="D179" s="485">
        <v>45511</v>
      </c>
      <c r="E179" s="486">
        <v>0</v>
      </c>
      <c r="F179" s="483">
        <v>707890</v>
      </c>
      <c r="G179" s="487">
        <v>1573</v>
      </c>
      <c r="H179" s="503">
        <f t="shared" si="22"/>
        <v>16</v>
      </c>
      <c r="L179" s="589" t="s">
        <v>688</v>
      </c>
      <c r="M179" s="497">
        <v>12877</v>
      </c>
      <c r="N179" s="498">
        <v>45511</v>
      </c>
      <c r="O179" s="499">
        <v>0</v>
      </c>
      <c r="P179" s="500">
        <v>763294</v>
      </c>
      <c r="Q179" s="497">
        <v>1747</v>
      </c>
      <c r="R179" s="590">
        <f t="shared" si="23"/>
        <v>0</v>
      </c>
    </row>
    <row r="180" spans="2:18" x14ac:dyDescent="0.3">
      <c r="B180" s="502" t="s">
        <v>675</v>
      </c>
      <c r="C180" s="483">
        <v>477</v>
      </c>
      <c r="D180" s="485">
        <v>45512</v>
      </c>
      <c r="E180" s="486">
        <v>0</v>
      </c>
      <c r="F180" s="483">
        <v>707890</v>
      </c>
      <c r="G180" s="487">
        <v>1573</v>
      </c>
      <c r="H180" s="503">
        <f t="shared" si="22"/>
        <v>0</v>
      </c>
      <c r="L180" s="589" t="s">
        <v>688</v>
      </c>
      <c r="M180" s="497">
        <v>12877</v>
      </c>
      <c r="N180" s="498">
        <v>45512</v>
      </c>
      <c r="O180" s="499">
        <v>0</v>
      </c>
      <c r="P180" s="500">
        <v>763294</v>
      </c>
      <c r="Q180" s="497">
        <v>1747</v>
      </c>
      <c r="R180" s="590">
        <f t="shared" ref="R180:R192" si="24">M180-M179</f>
        <v>0</v>
      </c>
    </row>
    <row r="181" spans="2:18" x14ac:dyDescent="0.3">
      <c r="B181" s="502" t="s">
        <v>675</v>
      </c>
      <c r="C181" s="483">
        <v>477</v>
      </c>
      <c r="D181" s="485">
        <v>45513</v>
      </c>
      <c r="E181" s="486">
        <v>0</v>
      </c>
      <c r="F181" s="483">
        <v>707890</v>
      </c>
      <c r="G181" s="487">
        <v>1574</v>
      </c>
      <c r="H181" s="503">
        <f t="shared" si="22"/>
        <v>0</v>
      </c>
      <c r="L181" s="589" t="s">
        <v>688</v>
      </c>
      <c r="M181" s="497">
        <v>12877</v>
      </c>
      <c r="N181" s="498">
        <v>45513</v>
      </c>
      <c r="O181" s="499">
        <v>0</v>
      </c>
      <c r="P181" s="500">
        <v>763294</v>
      </c>
      <c r="Q181" s="497">
        <v>1747</v>
      </c>
      <c r="R181" s="590">
        <f t="shared" si="24"/>
        <v>0</v>
      </c>
    </row>
    <row r="182" spans="2:18" x14ac:dyDescent="0.3">
      <c r="B182" s="502" t="s">
        <v>675</v>
      </c>
      <c r="C182" s="483">
        <v>497</v>
      </c>
      <c r="D182" s="485">
        <v>45514</v>
      </c>
      <c r="E182" s="486">
        <v>0</v>
      </c>
      <c r="F182" s="483">
        <v>708810</v>
      </c>
      <c r="G182" s="487">
        <v>1575</v>
      </c>
      <c r="H182" s="503">
        <f t="shared" si="22"/>
        <v>20</v>
      </c>
      <c r="L182" s="589" t="s">
        <v>688</v>
      </c>
      <c r="M182" s="497">
        <v>12877</v>
      </c>
      <c r="N182" s="498">
        <v>45514</v>
      </c>
      <c r="O182" s="499">
        <v>0</v>
      </c>
      <c r="P182" s="500">
        <v>763294</v>
      </c>
      <c r="Q182" s="497">
        <v>1747</v>
      </c>
      <c r="R182" s="590">
        <f t="shared" si="24"/>
        <v>0</v>
      </c>
    </row>
    <row r="183" spans="2:18" x14ac:dyDescent="0.3">
      <c r="B183" s="502" t="s">
        <v>675</v>
      </c>
      <c r="C183" s="483">
        <v>513</v>
      </c>
      <c r="D183" s="485">
        <v>45515</v>
      </c>
      <c r="E183" s="486">
        <v>0</v>
      </c>
      <c r="F183" s="483">
        <v>708935</v>
      </c>
      <c r="G183" s="487">
        <v>1576</v>
      </c>
      <c r="H183" s="503">
        <f t="shared" si="22"/>
        <v>16</v>
      </c>
      <c r="L183" s="589" t="s">
        <v>688</v>
      </c>
      <c r="M183" s="497">
        <v>12877</v>
      </c>
      <c r="N183" s="498">
        <v>45515</v>
      </c>
      <c r="O183" s="499">
        <v>0</v>
      </c>
      <c r="P183" s="500">
        <v>763294</v>
      </c>
      <c r="Q183" s="497">
        <v>1747</v>
      </c>
      <c r="R183" s="590">
        <f t="shared" si="24"/>
        <v>0</v>
      </c>
    </row>
    <row r="184" spans="2:18" x14ac:dyDescent="0.3">
      <c r="B184" s="502" t="s">
        <v>675</v>
      </c>
      <c r="C184" s="483">
        <v>516</v>
      </c>
      <c r="D184" s="485">
        <v>45516</v>
      </c>
      <c r="E184" s="486">
        <v>0</v>
      </c>
      <c r="F184" s="483">
        <v>709073</v>
      </c>
      <c r="G184" s="487">
        <v>1577</v>
      </c>
      <c r="H184" s="503">
        <f t="shared" si="22"/>
        <v>3</v>
      </c>
      <c r="L184" s="589" t="s">
        <v>688</v>
      </c>
      <c r="M184" s="497">
        <v>12877</v>
      </c>
      <c r="N184" s="498">
        <v>45516</v>
      </c>
      <c r="O184" s="499">
        <v>0</v>
      </c>
      <c r="P184" s="500">
        <v>763294</v>
      </c>
      <c r="Q184" s="497">
        <v>1747</v>
      </c>
      <c r="R184" s="590">
        <f t="shared" si="24"/>
        <v>0</v>
      </c>
    </row>
    <row r="185" spans="2:18" x14ac:dyDescent="0.3">
      <c r="B185" s="502" t="s">
        <v>675</v>
      </c>
      <c r="C185" s="483">
        <v>516</v>
      </c>
      <c r="D185" s="485">
        <v>45517</v>
      </c>
      <c r="E185" s="486">
        <v>0</v>
      </c>
      <c r="F185" s="483">
        <v>709073</v>
      </c>
      <c r="G185" s="487">
        <v>1577</v>
      </c>
      <c r="H185" s="503">
        <f t="shared" si="22"/>
        <v>0</v>
      </c>
      <c r="L185" s="589" t="s">
        <v>688</v>
      </c>
      <c r="M185" s="497">
        <v>12877</v>
      </c>
      <c r="N185" s="498">
        <v>45517</v>
      </c>
      <c r="O185" s="499">
        <v>0</v>
      </c>
      <c r="P185" s="500">
        <v>763294</v>
      </c>
      <c r="Q185" s="497">
        <v>1747</v>
      </c>
      <c r="R185" s="590">
        <f t="shared" si="24"/>
        <v>0</v>
      </c>
    </row>
    <row r="186" spans="2:18" x14ac:dyDescent="0.3">
      <c r="B186" s="502" t="s">
        <v>675</v>
      </c>
      <c r="C186" s="483">
        <v>516</v>
      </c>
      <c r="D186" s="485">
        <v>45518</v>
      </c>
      <c r="E186" s="486">
        <v>0</v>
      </c>
      <c r="F186" s="483">
        <v>709073</v>
      </c>
      <c r="G186" s="487">
        <v>1577</v>
      </c>
      <c r="H186" s="503">
        <f t="shared" si="22"/>
        <v>0</v>
      </c>
      <c r="L186" s="589" t="s">
        <v>688</v>
      </c>
      <c r="M186" s="497">
        <v>12877</v>
      </c>
      <c r="N186" s="498">
        <v>45518</v>
      </c>
      <c r="O186" s="499">
        <v>0</v>
      </c>
      <c r="P186" s="500">
        <v>763294</v>
      </c>
      <c r="Q186" s="497">
        <v>1747</v>
      </c>
      <c r="R186" s="590">
        <f t="shared" si="24"/>
        <v>0</v>
      </c>
    </row>
    <row r="187" spans="2:18" x14ac:dyDescent="0.3">
      <c r="B187" s="502" t="s">
        <v>675</v>
      </c>
      <c r="C187" s="483">
        <v>531</v>
      </c>
      <c r="D187" s="485">
        <v>45519</v>
      </c>
      <c r="E187" s="486">
        <v>0</v>
      </c>
      <c r="F187" s="483">
        <v>709918</v>
      </c>
      <c r="G187" s="487">
        <v>1578</v>
      </c>
      <c r="H187" s="503">
        <f t="shared" si="22"/>
        <v>15</v>
      </c>
      <c r="L187" s="490" t="s">
        <v>688</v>
      </c>
      <c r="M187" s="483">
        <v>12887</v>
      </c>
      <c r="N187" s="485">
        <v>45519</v>
      </c>
      <c r="O187" s="486">
        <v>0</v>
      </c>
      <c r="P187" s="487">
        <v>763841</v>
      </c>
      <c r="Q187" s="483">
        <v>1752</v>
      </c>
      <c r="R187" s="594">
        <f t="shared" si="24"/>
        <v>10</v>
      </c>
    </row>
    <row r="188" spans="2:18" x14ac:dyDescent="0.3">
      <c r="B188" s="502" t="s">
        <v>675</v>
      </c>
      <c r="C188" s="483">
        <v>537</v>
      </c>
      <c r="D188" s="485">
        <v>45520</v>
      </c>
      <c r="E188" s="486">
        <v>0</v>
      </c>
      <c r="F188" s="483">
        <v>710212</v>
      </c>
      <c r="G188" s="487">
        <v>1579</v>
      </c>
      <c r="H188" s="503">
        <f t="shared" si="22"/>
        <v>6</v>
      </c>
      <c r="L188" s="490" t="s">
        <v>688</v>
      </c>
      <c r="M188" s="483">
        <v>12891</v>
      </c>
      <c r="N188" s="485">
        <v>45520</v>
      </c>
      <c r="O188" s="486">
        <v>0</v>
      </c>
      <c r="P188" s="487">
        <v>764102</v>
      </c>
      <c r="Q188" s="483">
        <v>1753</v>
      </c>
      <c r="R188" s="594">
        <f t="shared" si="24"/>
        <v>4</v>
      </c>
    </row>
    <row r="189" spans="2:18" x14ac:dyDescent="0.3">
      <c r="B189" s="502" t="s">
        <v>675</v>
      </c>
      <c r="C189" s="483">
        <v>537</v>
      </c>
      <c r="D189" s="485">
        <v>45521</v>
      </c>
      <c r="E189" s="486">
        <v>4.1666666666666699E-2</v>
      </c>
      <c r="F189" s="483">
        <v>710212</v>
      </c>
      <c r="G189" s="487">
        <v>1579</v>
      </c>
      <c r="H189" s="503">
        <f t="shared" si="22"/>
        <v>0</v>
      </c>
      <c r="L189" s="490" t="s">
        <v>688</v>
      </c>
      <c r="M189" s="483">
        <v>12908</v>
      </c>
      <c r="N189" s="485">
        <v>45521</v>
      </c>
      <c r="O189" s="486">
        <v>0</v>
      </c>
      <c r="P189" s="487">
        <v>765189</v>
      </c>
      <c r="Q189" s="483">
        <v>1754</v>
      </c>
      <c r="R189" s="594">
        <f t="shared" si="24"/>
        <v>17</v>
      </c>
    </row>
    <row r="190" spans="2:18" x14ac:dyDescent="0.3">
      <c r="B190" s="502" t="s">
        <v>675</v>
      </c>
      <c r="C190" s="483">
        <v>537</v>
      </c>
      <c r="D190" s="485">
        <v>45522</v>
      </c>
      <c r="E190" s="486">
        <v>0</v>
      </c>
      <c r="F190" s="483">
        <v>710212</v>
      </c>
      <c r="G190" s="487">
        <v>1579</v>
      </c>
      <c r="H190" s="503">
        <f t="shared" si="22"/>
        <v>0</v>
      </c>
      <c r="L190" s="490" t="s">
        <v>688</v>
      </c>
      <c r="M190" s="483">
        <v>12913</v>
      </c>
      <c r="N190" s="485">
        <v>45522</v>
      </c>
      <c r="O190" s="486">
        <v>0</v>
      </c>
      <c r="P190" s="487">
        <v>765540</v>
      </c>
      <c r="Q190" s="483">
        <v>1756</v>
      </c>
      <c r="R190" s="594">
        <f t="shared" si="24"/>
        <v>5</v>
      </c>
    </row>
    <row r="191" spans="2:18" x14ac:dyDescent="0.3">
      <c r="B191" s="502" t="s">
        <v>675</v>
      </c>
      <c r="C191" s="483">
        <v>537</v>
      </c>
      <c r="D191" s="485">
        <v>45523</v>
      </c>
      <c r="E191" s="486">
        <v>0</v>
      </c>
      <c r="F191" s="483">
        <v>710212</v>
      </c>
      <c r="G191" s="487">
        <v>1579</v>
      </c>
      <c r="H191" s="503">
        <f t="shared" si="22"/>
        <v>0</v>
      </c>
      <c r="L191" s="589" t="s">
        <v>688</v>
      </c>
      <c r="M191" s="497">
        <v>12913</v>
      </c>
      <c r="N191" s="498">
        <v>45523</v>
      </c>
      <c r="O191" s="499">
        <v>0</v>
      </c>
      <c r="P191" s="500">
        <v>765540</v>
      </c>
      <c r="Q191" s="497">
        <v>1756</v>
      </c>
      <c r="R191" s="590">
        <f t="shared" si="24"/>
        <v>0</v>
      </c>
    </row>
    <row r="192" spans="2:18" x14ac:dyDescent="0.3">
      <c r="B192" s="502" t="s">
        <v>675</v>
      </c>
      <c r="C192" s="483">
        <v>537</v>
      </c>
      <c r="D192" s="485">
        <v>45524</v>
      </c>
      <c r="E192" s="486">
        <v>0</v>
      </c>
      <c r="F192" s="483">
        <v>710212</v>
      </c>
      <c r="G192" s="487">
        <v>1579</v>
      </c>
      <c r="H192" s="503">
        <f t="shared" si="22"/>
        <v>0</v>
      </c>
      <c r="L192" s="589" t="s">
        <v>688</v>
      </c>
      <c r="M192" s="497">
        <v>12913</v>
      </c>
      <c r="N192" s="498">
        <v>45524</v>
      </c>
      <c r="O192" s="499">
        <v>0</v>
      </c>
      <c r="P192" s="500">
        <v>765540</v>
      </c>
      <c r="Q192" s="497">
        <v>1756</v>
      </c>
      <c r="R192" s="590">
        <f t="shared" si="24"/>
        <v>0</v>
      </c>
    </row>
    <row r="193" spans="2:18" x14ac:dyDescent="0.3">
      <c r="B193" s="502" t="s">
        <v>675</v>
      </c>
      <c r="C193" s="483">
        <v>550</v>
      </c>
      <c r="D193" s="485">
        <v>45525</v>
      </c>
      <c r="E193" s="486">
        <v>0</v>
      </c>
      <c r="F193" s="483">
        <v>710855</v>
      </c>
      <c r="G193" s="487">
        <v>1580</v>
      </c>
      <c r="H193" s="503">
        <f t="shared" si="22"/>
        <v>13</v>
      </c>
      <c r="L193" s="589" t="s">
        <v>688</v>
      </c>
      <c r="M193" s="497">
        <v>12913</v>
      </c>
      <c r="N193" s="498">
        <v>45525</v>
      </c>
      <c r="O193" s="499">
        <v>0</v>
      </c>
      <c r="P193" s="500">
        <v>765540</v>
      </c>
      <c r="Q193" s="497">
        <v>1756</v>
      </c>
      <c r="R193" s="590">
        <f t="shared" ref="R193:R205" si="25">M193-M192</f>
        <v>0</v>
      </c>
    </row>
    <row r="194" spans="2:18" x14ac:dyDescent="0.3">
      <c r="B194" s="502" t="s">
        <v>675</v>
      </c>
      <c r="C194" s="483">
        <v>550</v>
      </c>
      <c r="D194" s="485">
        <v>45526</v>
      </c>
      <c r="E194" s="486">
        <v>0</v>
      </c>
      <c r="F194" s="483">
        <v>710855</v>
      </c>
      <c r="G194" s="487">
        <v>1580</v>
      </c>
      <c r="H194" s="503">
        <f t="shared" ref="H194:H225" si="26">C194-C193</f>
        <v>0</v>
      </c>
      <c r="L194" s="589" t="s">
        <v>688</v>
      </c>
      <c r="M194" s="497">
        <v>12913</v>
      </c>
      <c r="N194" s="498">
        <v>45526</v>
      </c>
      <c r="O194" s="499">
        <v>0</v>
      </c>
      <c r="P194" s="500">
        <v>765540</v>
      </c>
      <c r="Q194" s="497">
        <v>1756</v>
      </c>
      <c r="R194" s="590">
        <f t="shared" si="25"/>
        <v>0</v>
      </c>
    </row>
    <row r="195" spans="2:18" x14ac:dyDescent="0.3">
      <c r="B195" s="502" t="s">
        <v>675</v>
      </c>
      <c r="C195" s="483">
        <v>567</v>
      </c>
      <c r="D195" s="485">
        <v>45527</v>
      </c>
      <c r="E195" s="486">
        <v>0</v>
      </c>
      <c r="F195" s="483">
        <v>711681</v>
      </c>
      <c r="G195" s="487">
        <v>1581</v>
      </c>
      <c r="H195" s="503">
        <f t="shared" si="26"/>
        <v>17</v>
      </c>
      <c r="L195" s="589" t="s">
        <v>688</v>
      </c>
      <c r="M195" s="497">
        <v>12913</v>
      </c>
      <c r="N195" s="498">
        <v>45527</v>
      </c>
      <c r="O195" s="499">
        <v>0</v>
      </c>
      <c r="P195" s="500">
        <v>765540</v>
      </c>
      <c r="Q195" s="497">
        <v>1756</v>
      </c>
      <c r="R195" s="590">
        <f t="shared" si="25"/>
        <v>0</v>
      </c>
    </row>
    <row r="196" spans="2:18" x14ac:dyDescent="0.3">
      <c r="B196" s="502" t="s">
        <v>675</v>
      </c>
      <c r="C196" s="483">
        <v>569</v>
      </c>
      <c r="D196" s="485">
        <v>45528</v>
      </c>
      <c r="E196" s="486">
        <v>0</v>
      </c>
      <c r="F196" s="483">
        <v>711815</v>
      </c>
      <c r="G196" s="487">
        <v>1582</v>
      </c>
      <c r="H196" s="503">
        <f t="shared" si="26"/>
        <v>2</v>
      </c>
      <c r="L196" s="589" t="s">
        <v>688</v>
      </c>
      <c r="M196" s="497">
        <v>12913</v>
      </c>
      <c r="N196" s="498">
        <v>45528</v>
      </c>
      <c r="O196" s="499">
        <v>0</v>
      </c>
      <c r="P196" s="500">
        <v>765540</v>
      </c>
      <c r="Q196" s="497">
        <v>1756</v>
      </c>
      <c r="R196" s="590">
        <f t="shared" si="25"/>
        <v>0</v>
      </c>
    </row>
    <row r="197" spans="2:18" x14ac:dyDescent="0.3">
      <c r="B197" s="502" t="s">
        <v>675</v>
      </c>
      <c r="C197" s="483">
        <v>583</v>
      </c>
      <c r="D197" s="485">
        <v>45529</v>
      </c>
      <c r="E197" s="486">
        <v>0</v>
      </c>
      <c r="F197" s="483">
        <v>712530</v>
      </c>
      <c r="G197" s="487">
        <v>1583</v>
      </c>
      <c r="H197" s="503">
        <f t="shared" si="26"/>
        <v>14</v>
      </c>
      <c r="L197" s="589" t="s">
        <v>688</v>
      </c>
      <c r="M197" s="497">
        <v>12913</v>
      </c>
      <c r="N197" s="498">
        <v>45529</v>
      </c>
      <c r="O197" s="499">
        <v>0</v>
      </c>
      <c r="P197" s="500">
        <v>765540</v>
      </c>
      <c r="Q197" s="497">
        <v>1756</v>
      </c>
      <c r="R197" s="590">
        <f t="shared" si="25"/>
        <v>0</v>
      </c>
    </row>
    <row r="198" spans="2:18" x14ac:dyDescent="0.3">
      <c r="B198" s="502" t="s">
        <v>675</v>
      </c>
      <c r="C198" s="483">
        <v>588</v>
      </c>
      <c r="D198" s="485">
        <v>45530</v>
      </c>
      <c r="E198" s="486">
        <v>0</v>
      </c>
      <c r="F198" s="483">
        <v>712766</v>
      </c>
      <c r="G198" s="487">
        <v>1584</v>
      </c>
      <c r="H198" s="503">
        <f t="shared" si="26"/>
        <v>5</v>
      </c>
      <c r="L198" s="589" t="s">
        <v>688</v>
      </c>
      <c r="M198" s="497">
        <v>12913</v>
      </c>
      <c r="N198" s="498">
        <v>45530</v>
      </c>
      <c r="O198" s="499">
        <v>0</v>
      </c>
      <c r="P198" s="500">
        <v>765540</v>
      </c>
      <c r="Q198" s="497">
        <v>1756</v>
      </c>
      <c r="R198" s="590">
        <f t="shared" si="25"/>
        <v>0</v>
      </c>
    </row>
    <row r="199" spans="2:18" x14ac:dyDescent="0.3">
      <c r="B199" s="502" t="s">
        <v>675</v>
      </c>
      <c r="C199" s="483">
        <v>588</v>
      </c>
      <c r="D199" s="485">
        <v>45531</v>
      </c>
      <c r="E199" s="486">
        <v>0</v>
      </c>
      <c r="F199" s="483">
        <v>712766</v>
      </c>
      <c r="G199" s="487">
        <v>1584</v>
      </c>
      <c r="H199" s="503">
        <f t="shared" si="26"/>
        <v>0</v>
      </c>
      <c r="L199" s="589" t="s">
        <v>688</v>
      </c>
      <c r="M199" s="497">
        <v>12913</v>
      </c>
      <c r="N199" s="498">
        <v>45531</v>
      </c>
      <c r="O199" s="499">
        <v>0</v>
      </c>
      <c r="P199" s="500">
        <v>765540</v>
      </c>
      <c r="Q199" s="497">
        <v>1756</v>
      </c>
      <c r="R199" s="590">
        <f t="shared" si="25"/>
        <v>0</v>
      </c>
    </row>
    <row r="200" spans="2:18" x14ac:dyDescent="0.3">
      <c r="B200" s="502" t="s">
        <v>675</v>
      </c>
      <c r="C200" s="483">
        <v>604</v>
      </c>
      <c r="D200" s="485">
        <v>45532</v>
      </c>
      <c r="E200" s="486">
        <v>0</v>
      </c>
      <c r="F200" s="483">
        <v>713544</v>
      </c>
      <c r="G200" s="487">
        <v>1586</v>
      </c>
      <c r="H200" s="503">
        <f t="shared" si="26"/>
        <v>16</v>
      </c>
      <c r="L200" s="589" t="s">
        <v>688</v>
      </c>
      <c r="M200" s="497">
        <v>12913</v>
      </c>
      <c r="N200" s="498">
        <v>45532</v>
      </c>
      <c r="O200" s="499">
        <v>0</v>
      </c>
      <c r="P200" s="500">
        <v>765540</v>
      </c>
      <c r="Q200" s="497">
        <v>1756</v>
      </c>
      <c r="R200" s="590">
        <f t="shared" si="25"/>
        <v>0</v>
      </c>
    </row>
    <row r="201" spans="2:18" x14ac:dyDescent="0.3">
      <c r="B201" s="502" t="s">
        <v>675</v>
      </c>
      <c r="C201" s="483">
        <v>612</v>
      </c>
      <c r="D201" s="485">
        <v>45533</v>
      </c>
      <c r="E201" s="486">
        <v>0</v>
      </c>
      <c r="F201" s="483">
        <v>713924</v>
      </c>
      <c r="G201" s="487">
        <v>1587</v>
      </c>
      <c r="H201" s="503">
        <f t="shared" si="26"/>
        <v>8</v>
      </c>
      <c r="L201" s="589" t="s">
        <v>688</v>
      </c>
      <c r="M201" s="497">
        <v>12913</v>
      </c>
      <c r="N201" s="498">
        <v>45533</v>
      </c>
      <c r="O201" s="499">
        <v>4.1666666666666699E-2</v>
      </c>
      <c r="P201" s="500">
        <v>765540</v>
      </c>
      <c r="Q201" s="497">
        <v>1756</v>
      </c>
      <c r="R201" s="590">
        <f t="shared" si="25"/>
        <v>0</v>
      </c>
    </row>
    <row r="202" spans="2:18" x14ac:dyDescent="0.3">
      <c r="B202" s="502" t="s">
        <v>675</v>
      </c>
      <c r="C202" s="483">
        <v>620</v>
      </c>
      <c r="D202" s="485">
        <v>45534</v>
      </c>
      <c r="E202" s="486">
        <v>0</v>
      </c>
      <c r="F202" s="483">
        <v>714357</v>
      </c>
      <c r="G202" s="487">
        <v>1588</v>
      </c>
      <c r="H202" s="503">
        <f t="shared" si="26"/>
        <v>8</v>
      </c>
      <c r="L202" s="589" t="s">
        <v>688</v>
      </c>
      <c r="M202" s="497">
        <v>12913</v>
      </c>
      <c r="N202" s="498">
        <v>45534</v>
      </c>
      <c r="O202" s="499">
        <v>8.3333333333333398E-2</v>
      </c>
      <c r="P202" s="500">
        <v>765540</v>
      </c>
      <c r="Q202" s="497">
        <v>1756</v>
      </c>
      <c r="R202" s="590">
        <f t="shared" si="25"/>
        <v>0</v>
      </c>
    </row>
    <row r="203" spans="2:18" x14ac:dyDescent="0.3">
      <c r="B203" s="502" t="s">
        <v>675</v>
      </c>
      <c r="C203" s="483">
        <v>639</v>
      </c>
      <c r="D203" s="485">
        <v>45535</v>
      </c>
      <c r="E203" s="486">
        <v>0</v>
      </c>
      <c r="F203" s="483">
        <v>715304</v>
      </c>
      <c r="G203" s="487">
        <v>1589</v>
      </c>
      <c r="H203" s="503">
        <f t="shared" si="26"/>
        <v>19</v>
      </c>
      <c r="L203" s="589" t="s">
        <v>688</v>
      </c>
      <c r="M203" s="497">
        <v>12913</v>
      </c>
      <c r="N203" s="498">
        <v>45535</v>
      </c>
      <c r="O203" s="499">
        <v>0</v>
      </c>
      <c r="P203" s="500">
        <v>765540</v>
      </c>
      <c r="Q203" s="497">
        <v>1756</v>
      </c>
      <c r="R203" s="590">
        <f t="shared" si="25"/>
        <v>0</v>
      </c>
    </row>
    <row r="204" spans="2:18" x14ac:dyDescent="0.3">
      <c r="B204" s="502" t="s">
        <v>675</v>
      </c>
      <c r="C204" s="483">
        <v>645</v>
      </c>
      <c r="D204" s="485">
        <v>45536</v>
      </c>
      <c r="E204" s="486">
        <v>0</v>
      </c>
      <c r="F204" s="483">
        <v>715563</v>
      </c>
      <c r="G204" s="487">
        <v>1590</v>
      </c>
      <c r="H204" s="503">
        <f t="shared" si="26"/>
        <v>6</v>
      </c>
      <c r="L204" s="589" t="s">
        <v>688</v>
      </c>
      <c r="M204" s="497">
        <v>12913</v>
      </c>
      <c r="N204" s="498">
        <v>45536</v>
      </c>
      <c r="O204" s="499">
        <v>4.1666666666666699E-2</v>
      </c>
      <c r="P204" s="500">
        <v>765540</v>
      </c>
      <c r="Q204" s="497">
        <v>1756</v>
      </c>
      <c r="R204" s="590">
        <f t="shared" si="25"/>
        <v>0</v>
      </c>
    </row>
    <row r="205" spans="2:18" x14ac:dyDescent="0.3">
      <c r="B205" s="502" t="s">
        <v>675</v>
      </c>
      <c r="C205" s="483">
        <v>645</v>
      </c>
      <c r="D205" s="485">
        <v>45537</v>
      </c>
      <c r="E205" s="486">
        <v>0</v>
      </c>
      <c r="F205" s="483">
        <v>715563</v>
      </c>
      <c r="G205" s="487">
        <v>1590</v>
      </c>
      <c r="H205" s="503">
        <f t="shared" si="26"/>
        <v>0</v>
      </c>
      <c r="L205" s="589" t="s">
        <v>688</v>
      </c>
      <c r="M205" s="497">
        <v>12913</v>
      </c>
      <c r="N205" s="498">
        <v>45537</v>
      </c>
      <c r="O205" s="499">
        <v>0</v>
      </c>
      <c r="P205" s="500">
        <v>765540</v>
      </c>
      <c r="Q205" s="497">
        <v>1756</v>
      </c>
      <c r="R205" s="590">
        <f t="shared" si="25"/>
        <v>0</v>
      </c>
    </row>
    <row r="206" spans="2:18" x14ac:dyDescent="0.3">
      <c r="B206" s="502" t="s">
        <v>675</v>
      </c>
      <c r="C206" s="483">
        <v>645</v>
      </c>
      <c r="D206" s="485">
        <v>45538</v>
      </c>
      <c r="E206" s="486">
        <v>0</v>
      </c>
      <c r="F206" s="483">
        <v>715563</v>
      </c>
      <c r="G206" s="487">
        <v>1590</v>
      </c>
      <c r="H206" s="503">
        <f t="shared" si="26"/>
        <v>0</v>
      </c>
      <c r="L206" s="490" t="s">
        <v>688</v>
      </c>
      <c r="M206" s="483">
        <v>12917</v>
      </c>
      <c r="N206" s="485">
        <v>45538</v>
      </c>
      <c r="O206" s="486">
        <v>0</v>
      </c>
      <c r="P206" s="487">
        <v>765816</v>
      </c>
      <c r="Q206" s="483">
        <v>1757</v>
      </c>
      <c r="R206" s="594">
        <f t="shared" ref="R206:R239" si="27">M206-M205</f>
        <v>4</v>
      </c>
    </row>
    <row r="207" spans="2:18" x14ac:dyDescent="0.3">
      <c r="B207" s="502" t="s">
        <v>675</v>
      </c>
      <c r="C207" s="483">
        <v>661</v>
      </c>
      <c r="D207" s="485">
        <v>45539</v>
      </c>
      <c r="E207" s="486">
        <v>0</v>
      </c>
      <c r="F207" s="483">
        <v>716380</v>
      </c>
      <c r="G207" s="487">
        <v>1591</v>
      </c>
      <c r="H207" s="503">
        <f t="shared" si="26"/>
        <v>16</v>
      </c>
      <c r="L207" s="490" t="s">
        <v>688</v>
      </c>
      <c r="M207" s="483">
        <v>12922</v>
      </c>
      <c r="N207" s="485">
        <v>45539</v>
      </c>
      <c r="O207" s="486">
        <v>0</v>
      </c>
      <c r="P207" s="487">
        <v>766044</v>
      </c>
      <c r="Q207" s="483">
        <v>1758</v>
      </c>
      <c r="R207" s="594">
        <f t="shared" si="27"/>
        <v>5</v>
      </c>
    </row>
    <row r="208" spans="2:18" x14ac:dyDescent="0.3">
      <c r="B208" s="502" t="s">
        <v>675</v>
      </c>
      <c r="C208" s="483">
        <v>676</v>
      </c>
      <c r="D208" s="485">
        <v>45540</v>
      </c>
      <c r="E208" s="486">
        <v>0</v>
      </c>
      <c r="F208" s="483">
        <v>717142</v>
      </c>
      <c r="G208" s="487">
        <v>1592</v>
      </c>
      <c r="H208" s="503">
        <f t="shared" si="26"/>
        <v>15</v>
      </c>
      <c r="L208" s="490" t="s">
        <v>688</v>
      </c>
      <c r="M208" s="483">
        <v>12938</v>
      </c>
      <c r="N208" s="485">
        <v>45540</v>
      </c>
      <c r="O208" s="486">
        <v>0</v>
      </c>
      <c r="P208" s="487">
        <v>766725</v>
      </c>
      <c r="Q208" s="483">
        <v>1760</v>
      </c>
      <c r="R208" s="594">
        <f t="shared" si="27"/>
        <v>16</v>
      </c>
    </row>
    <row r="209" spans="2:18" x14ac:dyDescent="0.3">
      <c r="B209" s="502" t="s">
        <v>675</v>
      </c>
      <c r="C209" s="483">
        <v>676</v>
      </c>
      <c r="D209" s="485">
        <v>45541</v>
      </c>
      <c r="E209" s="486">
        <v>0</v>
      </c>
      <c r="F209" s="483">
        <v>717142</v>
      </c>
      <c r="G209" s="487">
        <v>1592</v>
      </c>
      <c r="H209" s="503">
        <f t="shared" si="26"/>
        <v>0</v>
      </c>
      <c r="L209" s="490" t="s">
        <v>688</v>
      </c>
      <c r="M209" s="483">
        <v>12953</v>
      </c>
      <c r="N209" s="485">
        <v>45541</v>
      </c>
      <c r="O209" s="486">
        <v>0</v>
      </c>
      <c r="P209" s="487">
        <v>767220</v>
      </c>
      <c r="Q209" s="483">
        <v>1761</v>
      </c>
      <c r="R209" s="594">
        <f t="shared" si="27"/>
        <v>15</v>
      </c>
    </row>
    <row r="210" spans="2:18" x14ac:dyDescent="0.3">
      <c r="B210" s="502" t="s">
        <v>675</v>
      </c>
      <c r="C210" s="483">
        <v>684</v>
      </c>
      <c r="D210" s="485">
        <v>45542</v>
      </c>
      <c r="E210" s="486">
        <v>0</v>
      </c>
      <c r="F210" s="483">
        <v>717690</v>
      </c>
      <c r="G210" s="487">
        <v>1595</v>
      </c>
      <c r="H210" s="503">
        <f t="shared" si="26"/>
        <v>8</v>
      </c>
      <c r="L210" s="490" t="s">
        <v>688</v>
      </c>
      <c r="M210" s="483">
        <v>12963</v>
      </c>
      <c r="N210" s="485">
        <v>45542</v>
      </c>
      <c r="O210" s="486">
        <v>0</v>
      </c>
      <c r="P210" s="487">
        <v>767802</v>
      </c>
      <c r="Q210" s="483">
        <v>1761</v>
      </c>
      <c r="R210" s="594">
        <f t="shared" si="27"/>
        <v>10</v>
      </c>
    </row>
    <row r="211" spans="2:18" x14ac:dyDescent="0.3">
      <c r="B211" s="502" t="s">
        <v>675</v>
      </c>
      <c r="C211" s="483">
        <v>705</v>
      </c>
      <c r="D211" s="485">
        <v>45543</v>
      </c>
      <c r="E211" s="486">
        <v>0</v>
      </c>
      <c r="F211" s="483">
        <f>F210+1050</f>
        <v>718740</v>
      </c>
      <c r="G211" s="487">
        <v>1596</v>
      </c>
      <c r="H211" s="503">
        <f t="shared" si="26"/>
        <v>21</v>
      </c>
      <c r="I211">
        <f>21*50</f>
        <v>1050</v>
      </c>
      <c r="L211" s="490" t="s">
        <v>688</v>
      </c>
      <c r="M211" s="483">
        <v>12963</v>
      </c>
      <c r="N211" s="485">
        <v>45543</v>
      </c>
      <c r="O211" s="486">
        <v>0</v>
      </c>
      <c r="P211" s="487">
        <v>767802</v>
      </c>
      <c r="Q211" s="483">
        <v>1761</v>
      </c>
      <c r="R211" s="594">
        <f t="shared" si="27"/>
        <v>0</v>
      </c>
    </row>
    <row r="212" spans="2:18" x14ac:dyDescent="0.3">
      <c r="B212" s="502" t="s">
        <v>675</v>
      </c>
      <c r="C212" s="483">
        <v>719</v>
      </c>
      <c r="D212" s="485">
        <v>45544</v>
      </c>
      <c r="E212" s="486">
        <v>0</v>
      </c>
      <c r="F212" s="483">
        <v>719276</v>
      </c>
      <c r="G212" s="487">
        <v>1596</v>
      </c>
      <c r="H212" s="503">
        <f t="shared" si="26"/>
        <v>14</v>
      </c>
      <c r="L212" s="490" t="s">
        <v>688</v>
      </c>
      <c r="M212" s="483">
        <v>12970</v>
      </c>
      <c r="N212" s="485">
        <v>45544</v>
      </c>
      <c r="O212" s="486">
        <v>0</v>
      </c>
      <c r="P212" s="487">
        <v>768154</v>
      </c>
      <c r="Q212" s="483">
        <v>1762</v>
      </c>
      <c r="R212" s="594">
        <f t="shared" si="27"/>
        <v>7</v>
      </c>
    </row>
    <row r="213" spans="2:18" x14ac:dyDescent="0.3">
      <c r="B213" s="502" t="s">
        <v>675</v>
      </c>
      <c r="C213" s="483">
        <v>734</v>
      </c>
      <c r="D213" s="485">
        <v>45545</v>
      </c>
      <c r="E213" s="486">
        <v>0</v>
      </c>
      <c r="F213" s="483">
        <v>719988</v>
      </c>
      <c r="G213" s="487">
        <v>1597</v>
      </c>
      <c r="H213" s="503">
        <f t="shared" si="26"/>
        <v>15</v>
      </c>
      <c r="L213" s="490" t="s">
        <v>688</v>
      </c>
      <c r="M213" s="483">
        <v>12976</v>
      </c>
      <c r="N213" s="485">
        <v>45545</v>
      </c>
      <c r="O213" s="486">
        <v>0</v>
      </c>
      <c r="P213" s="487">
        <v>768480</v>
      </c>
      <c r="Q213" s="483">
        <v>1762</v>
      </c>
      <c r="R213" s="594">
        <f t="shared" si="27"/>
        <v>6</v>
      </c>
    </row>
    <row r="214" spans="2:18" x14ac:dyDescent="0.3">
      <c r="B214" s="502" t="s">
        <v>675</v>
      </c>
      <c r="C214" s="483">
        <v>746</v>
      </c>
      <c r="D214" s="485">
        <v>45546</v>
      </c>
      <c r="E214" s="486">
        <v>4.1666666666666699E-2</v>
      </c>
      <c r="F214" s="483">
        <v>720583</v>
      </c>
      <c r="G214" s="487">
        <v>1598</v>
      </c>
      <c r="H214" s="503">
        <f t="shared" si="26"/>
        <v>12</v>
      </c>
      <c r="L214" s="490" t="s">
        <v>688</v>
      </c>
      <c r="M214" s="483">
        <v>12978</v>
      </c>
      <c r="N214" s="485">
        <v>45546</v>
      </c>
      <c r="O214" s="486">
        <v>4.1666666666666699E-2</v>
      </c>
      <c r="P214" s="487">
        <v>768573</v>
      </c>
      <c r="Q214" s="483">
        <v>1763</v>
      </c>
      <c r="R214" s="594">
        <f t="shared" si="27"/>
        <v>2</v>
      </c>
    </row>
    <row r="215" spans="2:18" x14ac:dyDescent="0.3">
      <c r="B215" s="502" t="s">
        <v>675</v>
      </c>
      <c r="C215" s="483">
        <v>753</v>
      </c>
      <c r="D215" s="485">
        <v>45547</v>
      </c>
      <c r="E215" s="486">
        <v>0</v>
      </c>
      <c r="F215" s="483">
        <v>720975</v>
      </c>
      <c r="G215" s="487">
        <v>1599</v>
      </c>
      <c r="H215" s="503">
        <f t="shared" si="26"/>
        <v>7</v>
      </c>
      <c r="L215" s="490" t="s">
        <v>688</v>
      </c>
      <c r="M215" s="483">
        <v>12987</v>
      </c>
      <c r="N215" s="485">
        <v>45547</v>
      </c>
      <c r="O215" s="486">
        <v>0</v>
      </c>
      <c r="P215" s="487">
        <v>769017</v>
      </c>
      <c r="Q215" s="483">
        <v>1763</v>
      </c>
      <c r="R215" s="594">
        <f t="shared" si="27"/>
        <v>9</v>
      </c>
    </row>
    <row r="216" spans="2:18" x14ac:dyDescent="0.3">
      <c r="B216" s="502" t="s">
        <v>675</v>
      </c>
      <c r="C216" s="483">
        <v>765</v>
      </c>
      <c r="D216" s="485">
        <v>45548</v>
      </c>
      <c r="E216" s="486">
        <v>0</v>
      </c>
      <c r="F216" s="483">
        <v>721537</v>
      </c>
      <c r="G216" s="487">
        <v>1600</v>
      </c>
      <c r="H216" s="503">
        <f t="shared" si="26"/>
        <v>12</v>
      </c>
      <c r="L216" s="490" t="s">
        <v>688</v>
      </c>
      <c r="M216" s="483">
        <v>13000</v>
      </c>
      <c r="N216" s="485">
        <v>45548</v>
      </c>
      <c r="O216" s="486">
        <v>0</v>
      </c>
      <c r="P216" s="487">
        <v>769017</v>
      </c>
      <c r="Q216" s="483">
        <v>1771</v>
      </c>
      <c r="R216" s="594">
        <f t="shared" si="27"/>
        <v>13</v>
      </c>
    </row>
    <row r="217" spans="2:18" x14ac:dyDescent="0.3">
      <c r="B217" s="502" t="s">
        <v>675</v>
      </c>
      <c r="C217" s="483">
        <v>782</v>
      </c>
      <c r="D217" s="485">
        <v>45549</v>
      </c>
      <c r="E217" s="486">
        <v>0</v>
      </c>
      <c r="F217" s="483">
        <v>722409</v>
      </c>
      <c r="G217" s="487">
        <v>1601</v>
      </c>
      <c r="H217" s="503">
        <f t="shared" si="26"/>
        <v>17</v>
      </c>
      <c r="L217" s="490" t="s">
        <v>688</v>
      </c>
      <c r="M217" s="483">
        <v>13001</v>
      </c>
      <c r="N217" s="485">
        <v>45549</v>
      </c>
      <c r="O217" s="486">
        <v>0</v>
      </c>
      <c r="P217" s="487">
        <v>769033</v>
      </c>
      <c r="Q217" s="483">
        <v>1777</v>
      </c>
      <c r="R217" s="594">
        <f t="shared" si="27"/>
        <v>1</v>
      </c>
    </row>
    <row r="218" spans="2:18" x14ac:dyDescent="0.3">
      <c r="B218" s="502" t="s">
        <v>675</v>
      </c>
      <c r="C218" s="483">
        <v>787</v>
      </c>
      <c r="D218" s="485">
        <v>45550</v>
      </c>
      <c r="E218" s="486">
        <v>0</v>
      </c>
      <c r="F218" s="483">
        <v>722624</v>
      </c>
      <c r="G218" s="487">
        <v>1602</v>
      </c>
      <c r="H218" s="503">
        <f t="shared" si="26"/>
        <v>5</v>
      </c>
      <c r="L218" s="490" t="s">
        <v>688</v>
      </c>
      <c r="M218" s="483">
        <v>13001</v>
      </c>
      <c r="N218" s="485">
        <v>45550</v>
      </c>
      <c r="O218" s="486">
        <v>0</v>
      </c>
      <c r="P218" s="487">
        <v>769033</v>
      </c>
      <c r="Q218" s="483">
        <v>1778</v>
      </c>
      <c r="R218" s="594">
        <f t="shared" si="27"/>
        <v>0</v>
      </c>
    </row>
    <row r="219" spans="2:18" x14ac:dyDescent="0.3">
      <c r="B219" s="496" t="s">
        <v>675</v>
      </c>
      <c r="C219" s="497">
        <v>787</v>
      </c>
      <c r="D219" s="498">
        <v>45551</v>
      </c>
      <c r="E219" s="499">
        <v>0</v>
      </c>
      <c r="F219" s="497">
        <v>722624</v>
      </c>
      <c r="G219" s="500">
        <v>1602</v>
      </c>
      <c r="H219" s="497">
        <f t="shared" si="26"/>
        <v>0</v>
      </c>
      <c r="L219" s="589" t="s">
        <v>688</v>
      </c>
      <c r="M219" s="497">
        <v>13001</v>
      </c>
      <c r="N219" s="498">
        <v>45551</v>
      </c>
      <c r="O219" s="499">
        <v>0</v>
      </c>
      <c r="P219" s="500">
        <v>769033</v>
      </c>
      <c r="Q219" s="497">
        <v>1778</v>
      </c>
      <c r="R219" s="590">
        <f t="shared" si="27"/>
        <v>0</v>
      </c>
    </row>
    <row r="220" spans="2:18" x14ac:dyDescent="0.3">
      <c r="B220" s="496" t="s">
        <v>675</v>
      </c>
      <c r="C220" s="497">
        <v>787</v>
      </c>
      <c r="D220" s="498">
        <v>45552</v>
      </c>
      <c r="E220" s="499">
        <v>0</v>
      </c>
      <c r="F220" s="497">
        <v>722624</v>
      </c>
      <c r="G220" s="500">
        <v>1602</v>
      </c>
      <c r="H220" s="497">
        <f t="shared" si="26"/>
        <v>0</v>
      </c>
      <c r="L220" s="589" t="s">
        <v>688</v>
      </c>
      <c r="M220" s="497">
        <v>13001</v>
      </c>
      <c r="N220" s="498">
        <v>45552</v>
      </c>
      <c r="O220" s="499">
        <v>0</v>
      </c>
      <c r="P220" s="500">
        <v>769033</v>
      </c>
      <c r="Q220" s="497">
        <v>1778</v>
      </c>
      <c r="R220" s="590">
        <f t="shared" si="27"/>
        <v>0</v>
      </c>
    </row>
    <row r="221" spans="2:18" x14ac:dyDescent="0.3">
      <c r="B221" s="479" t="s">
        <v>675</v>
      </c>
      <c r="C221" s="480">
        <v>797</v>
      </c>
      <c r="D221" s="434">
        <v>45553</v>
      </c>
      <c r="E221" s="435">
        <v>0</v>
      </c>
      <c r="F221" s="480">
        <v>723150</v>
      </c>
      <c r="G221" s="31">
        <v>1604</v>
      </c>
      <c r="H221" s="480">
        <f t="shared" si="26"/>
        <v>10</v>
      </c>
      <c r="L221" s="589" t="s">
        <v>688</v>
      </c>
      <c r="M221" s="497">
        <v>13001</v>
      </c>
      <c r="N221" s="498">
        <v>45553</v>
      </c>
      <c r="O221" s="499">
        <v>0</v>
      </c>
      <c r="P221" s="500">
        <v>769033</v>
      </c>
      <c r="Q221" s="497">
        <v>1778</v>
      </c>
      <c r="R221" s="590">
        <f t="shared" si="27"/>
        <v>0</v>
      </c>
    </row>
    <row r="222" spans="2:18" x14ac:dyDescent="0.3">
      <c r="B222" s="479" t="s">
        <v>675</v>
      </c>
      <c r="C222" s="480">
        <v>815</v>
      </c>
      <c r="D222" s="434">
        <v>45554</v>
      </c>
      <c r="E222" s="435">
        <v>0</v>
      </c>
      <c r="F222" s="480">
        <v>724120</v>
      </c>
      <c r="G222" s="31">
        <v>1606</v>
      </c>
      <c r="H222" s="480">
        <f t="shared" si="26"/>
        <v>18</v>
      </c>
      <c r="L222" s="589" t="s">
        <v>688</v>
      </c>
      <c r="M222" s="497">
        <v>13001</v>
      </c>
      <c r="N222" s="498">
        <v>45554</v>
      </c>
      <c r="O222" s="499">
        <v>0</v>
      </c>
      <c r="P222" s="500">
        <v>769033</v>
      </c>
      <c r="Q222" s="497">
        <v>1778</v>
      </c>
      <c r="R222" s="590">
        <f t="shared" si="27"/>
        <v>0</v>
      </c>
    </row>
    <row r="223" spans="2:18" x14ac:dyDescent="0.3">
      <c r="B223" s="479" t="s">
        <v>675</v>
      </c>
      <c r="C223" s="480">
        <v>828</v>
      </c>
      <c r="D223" s="434">
        <v>45555</v>
      </c>
      <c r="E223" s="435">
        <v>0</v>
      </c>
      <c r="F223" s="480">
        <v>724680</v>
      </c>
      <c r="G223" s="31">
        <v>1606</v>
      </c>
      <c r="H223" s="480">
        <f t="shared" si="26"/>
        <v>13</v>
      </c>
      <c r="L223" s="589" t="s">
        <v>688</v>
      </c>
      <c r="M223" s="497">
        <v>13001</v>
      </c>
      <c r="N223" s="498">
        <v>45555</v>
      </c>
      <c r="O223" s="499">
        <v>0</v>
      </c>
      <c r="P223" s="500">
        <v>769033</v>
      </c>
      <c r="Q223" s="497">
        <v>1778</v>
      </c>
      <c r="R223" s="590">
        <f t="shared" si="27"/>
        <v>0</v>
      </c>
    </row>
    <row r="224" spans="2:18" x14ac:dyDescent="0.3">
      <c r="B224" s="479" t="s">
        <v>675</v>
      </c>
      <c r="C224" s="480">
        <v>831</v>
      </c>
      <c r="D224" s="434">
        <v>45556</v>
      </c>
      <c r="E224" s="435">
        <v>4.1666666666666699E-2</v>
      </c>
      <c r="F224" s="480">
        <v>724852</v>
      </c>
      <c r="G224" s="31">
        <v>1607</v>
      </c>
      <c r="H224" s="480">
        <f t="shared" si="26"/>
        <v>3</v>
      </c>
      <c r="L224" s="589" t="s">
        <v>688</v>
      </c>
      <c r="M224" s="497">
        <v>13001</v>
      </c>
      <c r="N224" s="498">
        <v>45556</v>
      </c>
      <c r="O224" s="499">
        <v>0</v>
      </c>
      <c r="P224" s="500">
        <v>769033</v>
      </c>
      <c r="Q224" s="497">
        <v>1778</v>
      </c>
      <c r="R224" s="590">
        <f t="shared" si="27"/>
        <v>0</v>
      </c>
    </row>
    <row r="225" spans="2:18" x14ac:dyDescent="0.3">
      <c r="B225" s="496" t="s">
        <v>675</v>
      </c>
      <c r="C225" s="497">
        <v>831</v>
      </c>
      <c r="D225" s="498">
        <v>45557</v>
      </c>
      <c r="E225" s="499">
        <v>0</v>
      </c>
      <c r="F225" s="497">
        <v>724852</v>
      </c>
      <c r="G225" s="500">
        <v>1608</v>
      </c>
      <c r="H225" s="497">
        <f t="shared" si="26"/>
        <v>0</v>
      </c>
      <c r="L225" s="589" t="s">
        <v>688</v>
      </c>
      <c r="M225" s="497">
        <v>13001</v>
      </c>
      <c r="N225" s="498">
        <v>45557</v>
      </c>
      <c r="O225" s="499">
        <v>0</v>
      </c>
      <c r="P225" s="500">
        <v>769033</v>
      </c>
      <c r="Q225" s="497">
        <v>1778</v>
      </c>
      <c r="R225" s="590">
        <f t="shared" si="27"/>
        <v>0</v>
      </c>
    </row>
    <row r="226" spans="2:18" x14ac:dyDescent="0.3">
      <c r="B226" s="496" t="s">
        <v>675</v>
      </c>
      <c r="C226" s="497">
        <v>831</v>
      </c>
      <c r="D226" s="498">
        <v>45558</v>
      </c>
      <c r="E226" s="499">
        <v>0</v>
      </c>
      <c r="F226" s="497">
        <v>724852</v>
      </c>
      <c r="G226" s="500">
        <v>1608</v>
      </c>
      <c r="H226" s="497">
        <f t="shared" ref="H226:H240" si="28">C226-C225</f>
        <v>0</v>
      </c>
      <c r="L226" s="589" t="s">
        <v>688</v>
      </c>
      <c r="M226" s="497">
        <v>13001</v>
      </c>
      <c r="N226" s="498">
        <v>45558</v>
      </c>
      <c r="O226" s="499">
        <v>0</v>
      </c>
      <c r="P226" s="500">
        <v>769033</v>
      </c>
      <c r="Q226" s="497">
        <v>1778</v>
      </c>
      <c r="R226" s="590">
        <f t="shared" si="27"/>
        <v>0</v>
      </c>
    </row>
    <row r="227" spans="2:18" x14ac:dyDescent="0.3">
      <c r="B227" s="479" t="s">
        <v>675</v>
      </c>
      <c r="C227" s="480">
        <v>832</v>
      </c>
      <c r="D227" s="434">
        <v>45559</v>
      </c>
      <c r="E227" s="435">
        <v>0</v>
      </c>
      <c r="F227" s="480">
        <v>724887</v>
      </c>
      <c r="G227" s="31">
        <v>1609</v>
      </c>
      <c r="H227" s="480">
        <f t="shared" si="28"/>
        <v>1</v>
      </c>
      <c r="I227">
        <f>F228-F234</f>
        <v>-3295</v>
      </c>
      <c r="K227">
        <v>788</v>
      </c>
      <c r="L227" s="589" t="s">
        <v>688</v>
      </c>
      <c r="M227" s="497">
        <v>13001</v>
      </c>
      <c r="N227" s="498">
        <v>45559</v>
      </c>
      <c r="O227" s="499">
        <v>0</v>
      </c>
      <c r="P227" s="500">
        <v>769033</v>
      </c>
      <c r="Q227" s="497">
        <v>1778</v>
      </c>
      <c r="R227" s="590">
        <f t="shared" si="27"/>
        <v>0</v>
      </c>
    </row>
    <row r="228" spans="2:18" x14ac:dyDescent="0.3">
      <c r="B228" s="479" t="s">
        <v>675</v>
      </c>
      <c r="C228" s="480">
        <v>835</v>
      </c>
      <c r="D228" s="434">
        <v>45560</v>
      </c>
      <c r="E228" s="435">
        <v>0</v>
      </c>
      <c r="F228" s="480">
        <v>725117</v>
      </c>
      <c r="G228" s="31">
        <v>1609</v>
      </c>
      <c r="H228" s="480">
        <f t="shared" si="28"/>
        <v>3</v>
      </c>
      <c r="L228" s="589" t="s">
        <v>688</v>
      </c>
      <c r="M228" s="497">
        <v>13001</v>
      </c>
      <c r="N228" s="498">
        <v>45560</v>
      </c>
      <c r="O228" s="499">
        <v>0</v>
      </c>
      <c r="P228" s="500">
        <v>769033</v>
      </c>
      <c r="Q228" s="497">
        <v>1778</v>
      </c>
      <c r="R228" s="590">
        <f t="shared" si="27"/>
        <v>0</v>
      </c>
    </row>
    <row r="229" spans="2:18" x14ac:dyDescent="0.3">
      <c r="B229" s="479" t="s">
        <v>675</v>
      </c>
      <c r="C229" s="480">
        <v>847</v>
      </c>
      <c r="D229" s="434">
        <v>45561</v>
      </c>
      <c r="E229" s="435">
        <v>0</v>
      </c>
      <c r="F229" s="480">
        <v>725776</v>
      </c>
      <c r="G229" s="31">
        <v>1609</v>
      </c>
      <c r="H229" s="480">
        <f t="shared" si="28"/>
        <v>12</v>
      </c>
      <c r="L229" s="589" t="s">
        <v>688</v>
      </c>
      <c r="M229" s="497">
        <v>13001</v>
      </c>
      <c r="N229" s="498">
        <v>45561</v>
      </c>
      <c r="O229" s="499">
        <v>0</v>
      </c>
      <c r="P229" s="500">
        <v>769033</v>
      </c>
      <c r="Q229" s="497">
        <v>1778</v>
      </c>
      <c r="R229" s="590">
        <f t="shared" si="27"/>
        <v>0</v>
      </c>
    </row>
    <row r="230" spans="2:18" x14ac:dyDescent="0.3">
      <c r="B230" s="479" t="s">
        <v>675</v>
      </c>
      <c r="C230" s="480">
        <v>865</v>
      </c>
      <c r="D230" s="434">
        <v>45562</v>
      </c>
      <c r="E230" s="435">
        <v>4.1666666666666699E-2</v>
      </c>
      <c r="F230" s="480">
        <v>726791</v>
      </c>
      <c r="G230" s="31">
        <v>1613</v>
      </c>
      <c r="H230" s="480">
        <f t="shared" si="28"/>
        <v>18</v>
      </c>
      <c r="L230" s="589" t="s">
        <v>688</v>
      </c>
      <c r="M230" s="497">
        <v>13001</v>
      </c>
      <c r="N230" s="498">
        <v>45562</v>
      </c>
      <c r="O230" s="499">
        <v>4.1666666666666699E-2</v>
      </c>
      <c r="P230" s="500">
        <v>769033</v>
      </c>
      <c r="Q230" s="497">
        <v>1778</v>
      </c>
      <c r="R230" s="590">
        <f t="shared" si="27"/>
        <v>0</v>
      </c>
    </row>
    <row r="231" spans="2:18" x14ac:dyDescent="0.3">
      <c r="B231" s="479" t="s">
        <v>675</v>
      </c>
      <c r="C231" s="480">
        <v>866</v>
      </c>
      <c r="D231" s="434">
        <v>45563</v>
      </c>
      <c r="E231" s="435">
        <v>0</v>
      </c>
      <c r="F231" s="480">
        <v>726849</v>
      </c>
      <c r="G231" s="31">
        <v>1614</v>
      </c>
      <c r="H231" s="480">
        <f t="shared" si="28"/>
        <v>1</v>
      </c>
      <c r="L231" s="589" t="s">
        <v>688</v>
      </c>
      <c r="M231" s="497">
        <v>13001</v>
      </c>
      <c r="N231" s="498">
        <v>45563</v>
      </c>
      <c r="O231" s="499">
        <v>0</v>
      </c>
      <c r="P231" s="500">
        <v>769033</v>
      </c>
      <c r="Q231" s="497">
        <v>1778</v>
      </c>
      <c r="R231" s="590">
        <f t="shared" si="27"/>
        <v>0</v>
      </c>
    </row>
    <row r="232" spans="2:18" x14ac:dyDescent="0.3">
      <c r="B232" s="496" t="s">
        <v>675</v>
      </c>
      <c r="C232" s="497">
        <v>866</v>
      </c>
      <c r="D232" s="498">
        <v>45564</v>
      </c>
      <c r="E232" s="499">
        <v>0</v>
      </c>
      <c r="F232" s="497">
        <v>726849</v>
      </c>
      <c r="G232" s="500">
        <v>1614</v>
      </c>
      <c r="H232" s="497">
        <f t="shared" si="28"/>
        <v>0</v>
      </c>
      <c r="L232" s="589" t="s">
        <v>688</v>
      </c>
      <c r="M232" s="497">
        <v>13001</v>
      </c>
      <c r="N232" s="498">
        <v>45564</v>
      </c>
      <c r="O232" s="499">
        <v>4.1666666666666699E-2</v>
      </c>
      <c r="P232" s="500">
        <v>769033</v>
      </c>
      <c r="Q232" s="497">
        <v>1778</v>
      </c>
      <c r="R232" s="590">
        <f t="shared" si="27"/>
        <v>0</v>
      </c>
    </row>
    <row r="233" spans="2:18" x14ac:dyDescent="0.3">
      <c r="B233" s="479" t="s">
        <v>675</v>
      </c>
      <c r="C233" s="480">
        <v>877</v>
      </c>
      <c r="D233" s="434">
        <v>45565</v>
      </c>
      <c r="E233" s="435">
        <v>0</v>
      </c>
      <c r="F233" s="480">
        <v>727369</v>
      </c>
      <c r="G233" s="31">
        <v>1616</v>
      </c>
      <c r="H233" s="480">
        <f t="shared" si="28"/>
        <v>11</v>
      </c>
      <c r="L233" s="589" t="s">
        <v>688</v>
      </c>
      <c r="M233" s="497">
        <v>13001</v>
      </c>
      <c r="N233" s="498">
        <v>45565</v>
      </c>
      <c r="O233" s="499">
        <v>0</v>
      </c>
      <c r="P233" s="500">
        <v>769033</v>
      </c>
      <c r="Q233" s="497">
        <v>1778</v>
      </c>
      <c r="R233" s="590">
        <f t="shared" si="27"/>
        <v>0</v>
      </c>
    </row>
    <row r="234" spans="2:18" x14ac:dyDescent="0.3">
      <c r="B234" s="479" t="s">
        <v>675</v>
      </c>
      <c r="C234" s="480">
        <v>895</v>
      </c>
      <c r="D234" s="434">
        <v>45566</v>
      </c>
      <c r="E234" s="435">
        <v>0</v>
      </c>
      <c r="F234" s="480">
        <v>728412</v>
      </c>
      <c r="G234" s="31">
        <v>1617</v>
      </c>
      <c r="H234" s="480">
        <f t="shared" si="28"/>
        <v>18</v>
      </c>
      <c r="L234" s="589" t="s">
        <v>688</v>
      </c>
      <c r="M234" s="497">
        <v>13001</v>
      </c>
      <c r="N234" s="498">
        <v>45566</v>
      </c>
      <c r="O234" s="499">
        <v>0</v>
      </c>
      <c r="P234" s="500">
        <v>769033</v>
      </c>
      <c r="Q234" s="497">
        <v>1778</v>
      </c>
      <c r="R234" s="590">
        <f t="shared" si="27"/>
        <v>0</v>
      </c>
    </row>
    <row r="235" spans="2:18" x14ac:dyDescent="0.3">
      <c r="B235" s="479" t="s">
        <v>675</v>
      </c>
      <c r="C235" s="480">
        <v>900</v>
      </c>
      <c r="D235" s="434">
        <v>45567</v>
      </c>
      <c r="E235" s="435">
        <v>0</v>
      </c>
      <c r="F235" s="480">
        <v>728659</v>
      </c>
      <c r="G235" s="31">
        <v>1619</v>
      </c>
      <c r="H235" s="480">
        <f t="shared" si="28"/>
        <v>5</v>
      </c>
      <c r="L235" s="589" t="s">
        <v>688</v>
      </c>
      <c r="M235" s="497">
        <v>13001</v>
      </c>
      <c r="N235" s="498">
        <v>45567</v>
      </c>
      <c r="O235" s="499">
        <v>0</v>
      </c>
      <c r="P235" s="500">
        <v>769033</v>
      </c>
      <c r="Q235" s="497">
        <v>1778</v>
      </c>
      <c r="R235" s="590">
        <f t="shared" si="27"/>
        <v>0</v>
      </c>
    </row>
    <row r="236" spans="2:18" x14ac:dyDescent="0.3">
      <c r="B236" s="496" t="s">
        <v>675</v>
      </c>
      <c r="C236" s="497">
        <v>900</v>
      </c>
      <c r="D236" s="498">
        <v>45568</v>
      </c>
      <c r="E236" s="499">
        <v>0</v>
      </c>
      <c r="F236" s="497">
        <v>728659</v>
      </c>
      <c r="G236" s="500">
        <v>1619</v>
      </c>
      <c r="H236" s="497">
        <f t="shared" si="28"/>
        <v>0</v>
      </c>
      <c r="I236" t="s">
        <v>841</v>
      </c>
      <c r="L236" s="589" t="s">
        <v>688</v>
      </c>
      <c r="M236" s="497">
        <v>13001</v>
      </c>
      <c r="N236" s="498">
        <v>45568</v>
      </c>
      <c r="O236" s="499">
        <v>0</v>
      </c>
      <c r="P236" s="500">
        <v>769033</v>
      </c>
      <c r="Q236" s="497">
        <v>1778</v>
      </c>
      <c r="R236" s="590">
        <f t="shared" si="27"/>
        <v>0</v>
      </c>
    </row>
    <row r="237" spans="2:18" x14ac:dyDescent="0.3">
      <c r="B237" s="496" t="s">
        <v>675</v>
      </c>
      <c r="C237" s="497">
        <v>900</v>
      </c>
      <c r="D237" s="498">
        <v>45569</v>
      </c>
      <c r="E237" s="499">
        <v>0</v>
      </c>
      <c r="F237" s="497">
        <v>728659</v>
      </c>
      <c r="G237" s="500">
        <v>1619</v>
      </c>
      <c r="H237" s="497">
        <f t="shared" si="28"/>
        <v>0</v>
      </c>
      <c r="I237" t="s">
        <v>841</v>
      </c>
      <c r="L237" s="589" t="s">
        <v>688</v>
      </c>
      <c r="M237" s="497">
        <v>13001</v>
      </c>
      <c r="N237" s="498">
        <v>45569</v>
      </c>
      <c r="O237" s="499">
        <v>0</v>
      </c>
      <c r="P237" s="500">
        <v>769033</v>
      </c>
      <c r="Q237" s="497">
        <v>1778</v>
      </c>
      <c r="R237" s="590">
        <f t="shared" si="27"/>
        <v>0</v>
      </c>
    </row>
    <row r="238" spans="2:18" x14ac:dyDescent="0.3">
      <c r="B238" s="496" t="s">
        <v>675</v>
      </c>
      <c r="C238" s="497">
        <v>900</v>
      </c>
      <c r="D238" s="498">
        <v>45570</v>
      </c>
      <c r="E238" s="499">
        <v>0</v>
      </c>
      <c r="F238" s="497">
        <v>728659</v>
      </c>
      <c r="G238" s="500">
        <v>1619</v>
      </c>
      <c r="H238" s="497">
        <f t="shared" si="28"/>
        <v>0</v>
      </c>
      <c r="I238" t="s">
        <v>841</v>
      </c>
      <c r="L238" s="589" t="s">
        <v>688</v>
      </c>
      <c r="M238" s="497">
        <v>13001</v>
      </c>
      <c r="N238" s="498">
        <v>45570</v>
      </c>
      <c r="O238" s="499">
        <v>0</v>
      </c>
      <c r="P238" s="500">
        <v>769033</v>
      </c>
      <c r="Q238" s="497">
        <v>1778</v>
      </c>
      <c r="R238" s="590">
        <f t="shared" si="27"/>
        <v>0</v>
      </c>
    </row>
    <row r="239" spans="2:18" x14ac:dyDescent="0.3">
      <c r="B239" s="496" t="s">
        <v>675</v>
      </c>
      <c r="C239" s="497">
        <v>900</v>
      </c>
      <c r="D239" s="498">
        <v>45571</v>
      </c>
      <c r="E239" s="499">
        <v>0</v>
      </c>
      <c r="F239" s="497">
        <v>728659</v>
      </c>
      <c r="G239" s="500">
        <v>1619</v>
      </c>
      <c r="H239" s="497">
        <f t="shared" si="28"/>
        <v>0</v>
      </c>
      <c r="I239" t="s">
        <v>841</v>
      </c>
      <c r="L239" s="589" t="s">
        <v>688</v>
      </c>
      <c r="M239" s="497">
        <v>13001</v>
      </c>
      <c r="N239" s="498">
        <v>45571</v>
      </c>
      <c r="O239" s="499">
        <v>0</v>
      </c>
      <c r="P239" s="500">
        <v>769033</v>
      </c>
      <c r="Q239" s="497">
        <v>1778</v>
      </c>
      <c r="R239" s="590">
        <f t="shared" si="27"/>
        <v>0</v>
      </c>
    </row>
    <row r="240" spans="2:18" x14ac:dyDescent="0.3">
      <c r="B240" s="496" t="s">
        <v>675</v>
      </c>
      <c r="C240" s="497">
        <v>901</v>
      </c>
      <c r="D240" s="498">
        <v>45572</v>
      </c>
      <c r="E240" s="499">
        <v>4.1666666666666699E-2</v>
      </c>
      <c r="F240" s="497">
        <v>728659</v>
      </c>
      <c r="G240" s="500">
        <v>1619</v>
      </c>
      <c r="H240" s="497">
        <f t="shared" si="28"/>
        <v>1</v>
      </c>
      <c r="I240" t="s">
        <v>841</v>
      </c>
      <c r="L240" s="496" t="s">
        <v>675</v>
      </c>
      <c r="M240" s="497">
        <v>901</v>
      </c>
      <c r="N240" s="498">
        <v>45572</v>
      </c>
      <c r="O240" s="499">
        <v>4.1666666666666699E-2</v>
      </c>
      <c r="P240" s="497">
        <v>728659</v>
      </c>
      <c r="Q240" s="500">
        <v>1619</v>
      </c>
      <c r="R240" s="497">
        <v>0</v>
      </c>
    </row>
    <row r="241" spans="2:19" x14ac:dyDescent="0.3">
      <c r="B241" s="496" t="s">
        <v>675</v>
      </c>
      <c r="C241" s="500">
        <v>903</v>
      </c>
      <c r="D241" s="498">
        <v>45573</v>
      </c>
      <c r="E241" s="499">
        <v>0</v>
      </c>
      <c r="F241" s="500">
        <v>728659</v>
      </c>
      <c r="G241" s="500">
        <v>1621</v>
      </c>
      <c r="H241" s="497">
        <v>0</v>
      </c>
      <c r="I241" t="s">
        <v>841</v>
      </c>
      <c r="L241" s="502" t="s">
        <v>678</v>
      </c>
      <c r="M241" s="487">
        <v>903</v>
      </c>
      <c r="N241" s="485">
        <v>45573</v>
      </c>
      <c r="O241" s="486">
        <v>0</v>
      </c>
      <c r="P241" s="487">
        <v>728866</v>
      </c>
      <c r="Q241" s="487">
        <v>1621</v>
      </c>
      <c r="R241" s="483">
        <f t="shared" ref="R241:R265" si="29">M241-M240</f>
        <v>2</v>
      </c>
    </row>
    <row r="242" spans="2:19" x14ac:dyDescent="0.3">
      <c r="B242" s="496" t="s">
        <v>675</v>
      </c>
      <c r="C242" s="500">
        <v>904</v>
      </c>
      <c r="D242" s="498">
        <v>45574</v>
      </c>
      <c r="E242" s="499">
        <v>0</v>
      </c>
      <c r="F242" s="500">
        <v>728659</v>
      </c>
      <c r="G242" s="500">
        <v>1621</v>
      </c>
      <c r="H242" s="497">
        <v>0</v>
      </c>
      <c r="I242" t="s">
        <v>841</v>
      </c>
      <c r="L242" s="502" t="s">
        <v>678</v>
      </c>
      <c r="M242" s="487">
        <v>909</v>
      </c>
      <c r="N242" s="485">
        <v>45574</v>
      </c>
      <c r="O242" s="486">
        <v>0</v>
      </c>
      <c r="P242" s="487">
        <v>729236</v>
      </c>
      <c r="Q242" s="487">
        <v>1623</v>
      </c>
      <c r="R242" s="483">
        <f t="shared" si="29"/>
        <v>6</v>
      </c>
    </row>
    <row r="243" spans="2:19" x14ac:dyDescent="0.3">
      <c r="B243" s="496" t="s">
        <v>675</v>
      </c>
      <c r="C243" s="500">
        <v>904</v>
      </c>
      <c r="D243" s="498">
        <v>45575</v>
      </c>
      <c r="E243" s="499">
        <v>0</v>
      </c>
      <c r="F243" s="500">
        <v>728659</v>
      </c>
      <c r="G243" s="500">
        <v>1621</v>
      </c>
      <c r="H243" s="497">
        <v>0</v>
      </c>
      <c r="I243" t="s">
        <v>841</v>
      </c>
      <c r="L243" s="502" t="s">
        <v>678</v>
      </c>
      <c r="M243" s="487">
        <v>928</v>
      </c>
      <c r="N243" s="485">
        <v>45575</v>
      </c>
      <c r="O243" s="486">
        <v>0</v>
      </c>
      <c r="P243" s="487">
        <v>730467</v>
      </c>
      <c r="Q243" s="487">
        <v>1624</v>
      </c>
      <c r="R243" s="483">
        <f t="shared" si="29"/>
        <v>19</v>
      </c>
    </row>
    <row r="244" spans="2:19" x14ac:dyDescent="0.3">
      <c r="B244" s="496" t="s">
        <v>675</v>
      </c>
      <c r="C244" s="500">
        <v>904</v>
      </c>
      <c r="D244" s="498">
        <v>45576</v>
      </c>
      <c r="E244" s="499">
        <v>0</v>
      </c>
      <c r="F244" s="500">
        <v>728659</v>
      </c>
      <c r="G244" s="500">
        <v>1621</v>
      </c>
      <c r="H244" s="497">
        <v>0</v>
      </c>
      <c r="I244" t="s">
        <v>841</v>
      </c>
      <c r="L244" s="502" t="s">
        <v>678</v>
      </c>
      <c r="M244" s="487">
        <v>945</v>
      </c>
      <c r="N244" s="485">
        <v>45576</v>
      </c>
      <c r="O244" s="486">
        <v>0</v>
      </c>
      <c r="P244" s="487">
        <v>731485</v>
      </c>
      <c r="Q244" s="487">
        <v>1626</v>
      </c>
      <c r="R244" s="483">
        <f t="shared" si="29"/>
        <v>17</v>
      </c>
    </row>
    <row r="245" spans="2:19" x14ac:dyDescent="0.3">
      <c r="B245" s="496" t="s">
        <v>675</v>
      </c>
      <c r="C245" s="500">
        <v>904</v>
      </c>
      <c r="D245" s="498">
        <v>45577</v>
      </c>
      <c r="E245" s="499">
        <v>0</v>
      </c>
      <c r="F245" s="500">
        <v>728659</v>
      </c>
      <c r="G245" s="500">
        <v>1621</v>
      </c>
      <c r="H245" s="497">
        <v>0</v>
      </c>
      <c r="I245" t="s">
        <v>841</v>
      </c>
      <c r="L245" s="496" t="s">
        <v>678</v>
      </c>
      <c r="M245" s="500">
        <v>945</v>
      </c>
      <c r="N245" s="498">
        <v>45577</v>
      </c>
      <c r="O245" s="499">
        <v>0</v>
      </c>
      <c r="P245" s="500">
        <v>731485</v>
      </c>
      <c r="Q245" s="500">
        <v>1626</v>
      </c>
      <c r="R245" s="497">
        <f t="shared" si="29"/>
        <v>0</v>
      </c>
      <c r="S245" t="s">
        <v>840</v>
      </c>
    </row>
    <row r="246" spans="2:19" x14ac:dyDescent="0.3">
      <c r="B246" s="496" t="s">
        <v>675</v>
      </c>
      <c r="C246" s="500">
        <v>904</v>
      </c>
      <c r="D246" s="498">
        <v>45578</v>
      </c>
      <c r="E246" s="499">
        <v>0</v>
      </c>
      <c r="F246" s="500">
        <v>728659</v>
      </c>
      <c r="G246" s="500">
        <v>1621</v>
      </c>
      <c r="H246" s="497">
        <v>0</v>
      </c>
      <c r="I246" t="s">
        <v>841</v>
      </c>
      <c r="L246" s="496" t="s">
        <v>678</v>
      </c>
      <c r="M246" s="500">
        <v>945</v>
      </c>
      <c r="N246" s="498">
        <v>45578</v>
      </c>
      <c r="O246" s="499">
        <v>0</v>
      </c>
      <c r="P246" s="500">
        <v>731485</v>
      </c>
      <c r="Q246" s="500">
        <v>1626</v>
      </c>
      <c r="R246" s="497">
        <f t="shared" si="29"/>
        <v>0</v>
      </c>
      <c r="S246" t="s">
        <v>840</v>
      </c>
    </row>
    <row r="247" spans="2:19" x14ac:dyDescent="0.3">
      <c r="B247" s="496" t="s">
        <v>675</v>
      </c>
      <c r="C247" s="500">
        <v>904</v>
      </c>
      <c r="D247" s="498">
        <v>45579</v>
      </c>
      <c r="E247" s="499">
        <v>0</v>
      </c>
      <c r="F247" s="500">
        <v>728659</v>
      </c>
      <c r="G247" s="500">
        <v>1621</v>
      </c>
      <c r="H247" s="497">
        <v>0</v>
      </c>
      <c r="I247" t="s">
        <v>841</v>
      </c>
      <c r="L247" s="496" t="s">
        <v>678</v>
      </c>
      <c r="M247" s="500">
        <v>945</v>
      </c>
      <c r="N247" s="498">
        <v>45579</v>
      </c>
      <c r="O247" s="499">
        <v>0</v>
      </c>
      <c r="P247" s="500">
        <v>731485</v>
      </c>
      <c r="Q247" s="500">
        <v>1626</v>
      </c>
      <c r="R247" s="497">
        <f t="shared" si="29"/>
        <v>0</v>
      </c>
      <c r="S247" t="s">
        <v>840</v>
      </c>
    </row>
    <row r="248" spans="2:19" x14ac:dyDescent="0.3">
      <c r="B248" s="496" t="s">
        <v>675</v>
      </c>
      <c r="C248" s="500">
        <v>904</v>
      </c>
      <c r="D248" s="498">
        <v>45580</v>
      </c>
      <c r="E248" s="499">
        <v>0</v>
      </c>
      <c r="F248" s="500">
        <v>728659</v>
      </c>
      <c r="G248" s="500">
        <v>1621</v>
      </c>
      <c r="H248" s="497">
        <v>0</v>
      </c>
      <c r="I248" t="s">
        <v>841</v>
      </c>
      <c r="L248" s="496" t="s">
        <v>678</v>
      </c>
      <c r="M248" s="500">
        <v>945</v>
      </c>
      <c r="N248" s="498">
        <v>45580</v>
      </c>
      <c r="O248" s="499">
        <v>0</v>
      </c>
      <c r="P248" s="500">
        <v>731485</v>
      </c>
      <c r="Q248" s="500">
        <v>1626</v>
      </c>
      <c r="R248" s="497">
        <f t="shared" si="29"/>
        <v>0</v>
      </c>
      <c r="S248" t="s">
        <v>840</v>
      </c>
    </row>
    <row r="249" spans="2:19" x14ac:dyDescent="0.3">
      <c r="B249" s="496" t="s">
        <v>675</v>
      </c>
      <c r="C249" s="500">
        <v>904</v>
      </c>
      <c r="D249" s="498">
        <v>45581</v>
      </c>
      <c r="E249" s="499">
        <v>0</v>
      </c>
      <c r="F249" s="500">
        <v>728659</v>
      </c>
      <c r="G249" s="500">
        <v>1621</v>
      </c>
      <c r="H249" s="497">
        <v>0</v>
      </c>
      <c r="I249" t="s">
        <v>841</v>
      </c>
      <c r="L249" s="496" t="s">
        <v>678</v>
      </c>
      <c r="M249" s="500">
        <v>945</v>
      </c>
      <c r="N249" s="498">
        <v>45581</v>
      </c>
      <c r="O249" s="499">
        <v>0</v>
      </c>
      <c r="P249" s="500">
        <v>731485</v>
      </c>
      <c r="Q249" s="500">
        <v>1626</v>
      </c>
      <c r="R249" s="497">
        <f t="shared" si="29"/>
        <v>0</v>
      </c>
      <c r="S249" t="s">
        <v>840</v>
      </c>
    </row>
    <row r="250" spans="2:19" x14ac:dyDescent="0.3">
      <c r="B250" s="496" t="s">
        <v>675</v>
      </c>
      <c r="C250" s="500">
        <v>904</v>
      </c>
      <c r="D250" s="498">
        <v>45582</v>
      </c>
      <c r="E250" s="499">
        <v>0</v>
      </c>
      <c r="F250" s="500">
        <v>728659</v>
      </c>
      <c r="G250" s="500">
        <v>1621</v>
      </c>
      <c r="H250" s="497">
        <v>0</v>
      </c>
      <c r="I250" t="s">
        <v>841</v>
      </c>
      <c r="L250" s="496" t="s">
        <v>678</v>
      </c>
      <c r="M250" s="500">
        <v>945</v>
      </c>
      <c r="N250" s="498">
        <v>45582</v>
      </c>
      <c r="O250" s="499">
        <v>0</v>
      </c>
      <c r="P250" s="500">
        <v>731485</v>
      </c>
      <c r="Q250" s="500">
        <v>1626</v>
      </c>
      <c r="R250" s="497">
        <f>M250-M249</f>
        <v>0</v>
      </c>
      <c r="S250" t="s">
        <v>840</v>
      </c>
    </row>
    <row r="251" spans="2:19" x14ac:dyDescent="0.3">
      <c r="B251" s="496" t="s">
        <v>675</v>
      </c>
      <c r="C251" s="500">
        <v>904</v>
      </c>
      <c r="D251" s="498">
        <v>45583</v>
      </c>
      <c r="E251" s="499">
        <v>0</v>
      </c>
      <c r="F251" s="500">
        <v>728659</v>
      </c>
      <c r="G251" s="500">
        <v>1621</v>
      </c>
      <c r="H251" s="497">
        <v>0</v>
      </c>
      <c r="I251" t="s">
        <v>841</v>
      </c>
      <c r="L251" s="496" t="s">
        <v>678</v>
      </c>
      <c r="M251" s="500">
        <v>945</v>
      </c>
      <c r="N251" s="498">
        <v>45583</v>
      </c>
      <c r="O251" s="499">
        <v>0</v>
      </c>
      <c r="P251" s="500">
        <v>731485</v>
      </c>
      <c r="Q251" s="500">
        <v>1626</v>
      </c>
      <c r="R251" s="497">
        <f t="shared" si="29"/>
        <v>0</v>
      </c>
      <c r="S251" t="s">
        <v>840</v>
      </c>
    </row>
    <row r="252" spans="2:19" x14ac:dyDescent="0.3">
      <c r="B252" s="496" t="s">
        <v>675</v>
      </c>
      <c r="C252" s="500">
        <v>904</v>
      </c>
      <c r="D252" s="498">
        <v>45584</v>
      </c>
      <c r="E252" s="499">
        <v>0</v>
      </c>
      <c r="F252" s="500">
        <v>728659</v>
      </c>
      <c r="G252" s="500">
        <v>1621</v>
      </c>
      <c r="H252" s="497">
        <v>0</v>
      </c>
      <c r="I252" t="s">
        <v>841</v>
      </c>
      <c r="L252" s="496" t="s">
        <v>678</v>
      </c>
      <c r="M252" s="500">
        <v>945</v>
      </c>
      <c r="N252" s="498">
        <v>45584</v>
      </c>
      <c r="O252" s="499">
        <v>0</v>
      </c>
      <c r="P252" s="500">
        <v>731485</v>
      </c>
      <c r="Q252" s="500">
        <v>1626</v>
      </c>
      <c r="R252" s="497">
        <f t="shared" si="29"/>
        <v>0</v>
      </c>
      <c r="S252" t="s">
        <v>840</v>
      </c>
    </row>
    <row r="253" spans="2:19" x14ac:dyDescent="0.3">
      <c r="B253" s="496" t="s">
        <v>675</v>
      </c>
      <c r="C253" s="500">
        <v>904</v>
      </c>
      <c r="D253" s="498">
        <v>45585</v>
      </c>
      <c r="E253" s="499">
        <v>0</v>
      </c>
      <c r="F253" s="500">
        <v>728659</v>
      </c>
      <c r="G253" s="500">
        <v>1621</v>
      </c>
      <c r="H253" s="497">
        <v>0</v>
      </c>
      <c r="I253" t="s">
        <v>841</v>
      </c>
      <c r="L253" s="496" t="s">
        <v>678</v>
      </c>
      <c r="M253" s="500">
        <v>945</v>
      </c>
      <c r="N253" s="498">
        <v>45585</v>
      </c>
      <c r="O253" s="499">
        <v>0</v>
      </c>
      <c r="P253" s="500">
        <v>731485</v>
      </c>
      <c r="Q253" s="500">
        <v>1626</v>
      </c>
      <c r="R253" s="497">
        <f t="shared" si="29"/>
        <v>0</v>
      </c>
      <c r="S253" t="s">
        <v>840</v>
      </c>
    </row>
    <row r="254" spans="2:19" x14ac:dyDescent="0.3">
      <c r="B254" s="496" t="s">
        <v>675</v>
      </c>
      <c r="C254" s="500">
        <v>904</v>
      </c>
      <c r="D254" s="498">
        <v>45586</v>
      </c>
      <c r="E254" s="499">
        <v>0</v>
      </c>
      <c r="F254" s="500">
        <v>728659</v>
      </c>
      <c r="G254" s="500">
        <v>1621</v>
      </c>
      <c r="H254" s="497">
        <v>0</v>
      </c>
      <c r="I254" t="s">
        <v>841</v>
      </c>
      <c r="L254" s="496" t="s">
        <v>678</v>
      </c>
      <c r="M254" s="500">
        <v>945</v>
      </c>
      <c r="N254" s="498">
        <v>45586</v>
      </c>
      <c r="O254" s="499">
        <v>0</v>
      </c>
      <c r="P254" s="500">
        <v>731485</v>
      </c>
      <c r="Q254" s="500">
        <v>1626</v>
      </c>
      <c r="R254" s="497">
        <f t="shared" si="29"/>
        <v>0</v>
      </c>
      <c r="S254" t="s">
        <v>840</v>
      </c>
    </row>
    <row r="255" spans="2:19" x14ac:dyDescent="0.3">
      <c r="B255" s="496" t="s">
        <v>675</v>
      </c>
      <c r="C255" s="500">
        <v>904</v>
      </c>
      <c r="D255" s="498">
        <v>45587</v>
      </c>
      <c r="E255" s="499">
        <v>0</v>
      </c>
      <c r="F255" s="500">
        <v>728659</v>
      </c>
      <c r="G255" s="500">
        <v>1621</v>
      </c>
      <c r="H255" s="497">
        <v>0</v>
      </c>
      <c r="I255" t="s">
        <v>841</v>
      </c>
      <c r="L255" s="496" t="s">
        <v>678</v>
      </c>
      <c r="M255" s="500">
        <v>945</v>
      </c>
      <c r="N255" s="498">
        <v>45587</v>
      </c>
      <c r="O255" s="499">
        <v>0</v>
      </c>
      <c r="P255" s="500">
        <v>731485</v>
      </c>
      <c r="Q255" s="500">
        <v>1626</v>
      </c>
      <c r="R255" s="497">
        <f t="shared" si="29"/>
        <v>0</v>
      </c>
      <c r="S255" t="s">
        <v>840</v>
      </c>
    </row>
    <row r="256" spans="2:19" x14ac:dyDescent="0.3">
      <c r="B256" s="496" t="s">
        <v>675</v>
      </c>
      <c r="C256" s="500">
        <v>904</v>
      </c>
      <c r="D256" s="498">
        <v>45588</v>
      </c>
      <c r="E256" s="499">
        <v>0</v>
      </c>
      <c r="F256" s="500">
        <v>728659</v>
      </c>
      <c r="G256" s="500">
        <v>1621</v>
      </c>
      <c r="H256" s="497">
        <v>0</v>
      </c>
      <c r="I256" t="s">
        <v>841</v>
      </c>
      <c r="L256" s="496" t="s">
        <v>678</v>
      </c>
      <c r="M256" s="500">
        <v>945</v>
      </c>
      <c r="N256" s="498">
        <v>45588</v>
      </c>
      <c r="O256" s="499">
        <v>4.1666666666666699E-2</v>
      </c>
      <c r="P256" s="500">
        <v>731485</v>
      </c>
      <c r="Q256" s="500">
        <v>1626</v>
      </c>
      <c r="R256" s="497">
        <f t="shared" si="29"/>
        <v>0</v>
      </c>
      <c r="S256" t="s">
        <v>840</v>
      </c>
    </row>
    <row r="257" spans="2:19" x14ac:dyDescent="0.3">
      <c r="B257" s="496" t="s">
        <v>675</v>
      </c>
      <c r="C257" s="500">
        <v>904</v>
      </c>
      <c r="D257" s="498">
        <v>45589</v>
      </c>
      <c r="E257" s="499">
        <v>0</v>
      </c>
      <c r="F257" s="500">
        <v>728659</v>
      </c>
      <c r="G257" s="500">
        <v>1621</v>
      </c>
      <c r="H257" s="497">
        <v>0</v>
      </c>
      <c r="I257" t="s">
        <v>841</v>
      </c>
      <c r="L257" s="496" t="s">
        <v>678</v>
      </c>
      <c r="M257" s="500">
        <v>945</v>
      </c>
      <c r="N257" s="498">
        <v>45589</v>
      </c>
      <c r="O257" s="499">
        <v>0</v>
      </c>
      <c r="P257" s="500">
        <v>731485</v>
      </c>
      <c r="Q257" s="500">
        <v>1626</v>
      </c>
      <c r="R257" s="497">
        <f t="shared" si="29"/>
        <v>0</v>
      </c>
      <c r="S257" t="s">
        <v>840</v>
      </c>
    </row>
    <row r="258" spans="2:19" x14ac:dyDescent="0.3">
      <c r="B258" s="496" t="s">
        <v>675</v>
      </c>
      <c r="C258" s="500">
        <v>904</v>
      </c>
      <c r="D258" s="498">
        <v>45590</v>
      </c>
      <c r="E258" s="499">
        <v>0</v>
      </c>
      <c r="F258" s="500">
        <v>728659</v>
      </c>
      <c r="G258" s="500">
        <v>1621</v>
      </c>
      <c r="H258" s="497">
        <v>0</v>
      </c>
      <c r="I258" t="s">
        <v>841</v>
      </c>
      <c r="L258" s="496" t="s">
        <v>678</v>
      </c>
      <c r="M258" s="500">
        <v>945</v>
      </c>
      <c r="N258" s="498">
        <v>45590</v>
      </c>
      <c r="O258" s="499">
        <v>0</v>
      </c>
      <c r="P258" s="500">
        <v>731485</v>
      </c>
      <c r="Q258" s="500">
        <v>1626</v>
      </c>
      <c r="R258" s="497">
        <f t="shared" si="29"/>
        <v>0</v>
      </c>
      <c r="S258" t="s">
        <v>840</v>
      </c>
    </row>
    <row r="259" spans="2:19" x14ac:dyDescent="0.3">
      <c r="B259" s="496" t="s">
        <v>675</v>
      </c>
      <c r="C259" s="500">
        <v>904</v>
      </c>
      <c r="D259" s="498">
        <v>45591</v>
      </c>
      <c r="E259" s="499">
        <v>0</v>
      </c>
      <c r="F259" s="500">
        <v>728659</v>
      </c>
      <c r="G259" s="500">
        <v>1621</v>
      </c>
      <c r="H259" s="497">
        <v>0</v>
      </c>
      <c r="I259" t="s">
        <v>841</v>
      </c>
      <c r="L259" s="496" t="s">
        <v>678</v>
      </c>
      <c r="M259" s="500">
        <v>945</v>
      </c>
      <c r="N259" s="498">
        <v>45591</v>
      </c>
      <c r="O259" s="499">
        <v>0</v>
      </c>
      <c r="P259" s="500">
        <v>731485</v>
      </c>
      <c r="Q259" s="500">
        <v>1626</v>
      </c>
      <c r="R259" s="497">
        <f t="shared" si="29"/>
        <v>0</v>
      </c>
      <c r="S259" t="s">
        <v>840</v>
      </c>
    </row>
    <row r="260" spans="2:19" x14ac:dyDescent="0.3">
      <c r="B260" s="496" t="s">
        <v>675</v>
      </c>
      <c r="C260" s="500">
        <v>904</v>
      </c>
      <c r="D260" s="498">
        <v>45592</v>
      </c>
      <c r="E260" s="499">
        <v>0</v>
      </c>
      <c r="F260" s="500">
        <v>728659</v>
      </c>
      <c r="G260" s="500">
        <v>1621</v>
      </c>
      <c r="H260" s="497">
        <v>0</v>
      </c>
      <c r="I260" t="s">
        <v>841</v>
      </c>
      <c r="L260" s="496" t="s">
        <v>678</v>
      </c>
      <c r="M260" s="500">
        <v>945</v>
      </c>
      <c r="N260" s="498">
        <v>45592</v>
      </c>
      <c r="O260" s="499">
        <v>0</v>
      </c>
      <c r="P260" s="500">
        <v>731485</v>
      </c>
      <c r="Q260" s="500">
        <v>1626</v>
      </c>
      <c r="R260" s="497">
        <f t="shared" si="29"/>
        <v>0</v>
      </c>
      <c r="S260" t="s">
        <v>840</v>
      </c>
    </row>
    <row r="261" spans="2:19" x14ac:dyDescent="0.3">
      <c r="B261" s="496" t="s">
        <v>675</v>
      </c>
      <c r="C261" s="500">
        <v>904</v>
      </c>
      <c r="D261" s="498">
        <v>45593</v>
      </c>
      <c r="E261" s="499">
        <v>0</v>
      </c>
      <c r="F261" s="500">
        <v>728659</v>
      </c>
      <c r="G261" s="500">
        <v>1621</v>
      </c>
      <c r="H261" s="497">
        <v>0</v>
      </c>
      <c r="I261" t="s">
        <v>841</v>
      </c>
      <c r="K261">
        <v>831</v>
      </c>
      <c r="L261" s="496" t="s">
        <v>678</v>
      </c>
      <c r="M261" s="500">
        <v>945</v>
      </c>
      <c r="N261" s="498">
        <v>45593</v>
      </c>
      <c r="O261" s="499">
        <v>0</v>
      </c>
      <c r="P261" s="500">
        <v>731485</v>
      </c>
      <c r="Q261" s="500">
        <v>1626</v>
      </c>
      <c r="R261" s="497">
        <f t="shared" si="29"/>
        <v>0</v>
      </c>
      <c r="S261" t="s">
        <v>840</v>
      </c>
    </row>
    <row r="262" spans="2:19" x14ac:dyDescent="0.3">
      <c r="B262" s="496" t="s">
        <v>675</v>
      </c>
      <c r="C262" s="500">
        <v>904</v>
      </c>
      <c r="D262" s="498">
        <v>45594</v>
      </c>
      <c r="E262" s="499">
        <v>0</v>
      </c>
      <c r="F262" s="500">
        <v>728659</v>
      </c>
      <c r="G262" s="500">
        <v>1621</v>
      </c>
      <c r="H262" s="497">
        <v>0</v>
      </c>
      <c r="I262" t="s">
        <v>841</v>
      </c>
      <c r="K262">
        <f>K261-K227</f>
        <v>43</v>
      </c>
      <c r="L262" s="496" t="s">
        <v>678</v>
      </c>
      <c r="M262" s="500">
        <v>945</v>
      </c>
      <c r="N262" s="498">
        <v>45594</v>
      </c>
      <c r="O262" s="499">
        <v>4.1666666666666699E-2</v>
      </c>
      <c r="P262" s="500">
        <v>731485</v>
      </c>
      <c r="Q262" s="500">
        <v>1626</v>
      </c>
      <c r="R262" s="497">
        <f t="shared" si="29"/>
        <v>0</v>
      </c>
      <c r="S262" t="s">
        <v>840</v>
      </c>
    </row>
    <row r="263" spans="2:19" x14ac:dyDescent="0.3">
      <c r="B263" s="496" t="s">
        <v>675</v>
      </c>
      <c r="C263" s="500">
        <v>904</v>
      </c>
      <c r="D263" s="498">
        <v>45595</v>
      </c>
      <c r="E263" s="499">
        <v>0</v>
      </c>
      <c r="F263" s="500">
        <v>728659</v>
      </c>
      <c r="G263" s="500">
        <v>1621</v>
      </c>
      <c r="H263" s="497">
        <v>0</v>
      </c>
      <c r="I263" t="s">
        <v>841</v>
      </c>
      <c r="K263">
        <f>K262*40</f>
        <v>1720</v>
      </c>
      <c r="L263" s="496" t="s">
        <v>678</v>
      </c>
      <c r="M263" s="500">
        <v>945</v>
      </c>
      <c r="N263" s="498">
        <v>45595</v>
      </c>
      <c r="O263" s="499">
        <v>8.3333333333333301E-2</v>
      </c>
      <c r="P263" s="500">
        <v>731485</v>
      </c>
      <c r="Q263" s="500">
        <v>1626</v>
      </c>
      <c r="R263" s="497">
        <f t="shared" si="29"/>
        <v>0</v>
      </c>
      <c r="S263" t="s">
        <v>840</v>
      </c>
    </row>
    <row r="264" spans="2:19" x14ac:dyDescent="0.3">
      <c r="B264" s="496" t="s">
        <v>675</v>
      </c>
      <c r="C264" s="500">
        <v>904</v>
      </c>
      <c r="D264" s="498">
        <v>45596</v>
      </c>
      <c r="E264" s="499">
        <v>4.1666666666666699E-2</v>
      </c>
      <c r="F264" s="500">
        <v>728659</v>
      </c>
      <c r="G264" s="500">
        <v>1621</v>
      </c>
      <c r="H264" s="497">
        <v>0</v>
      </c>
      <c r="I264" t="s">
        <v>841</v>
      </c>
      <c r="L264" s="496" t="s">
        <v>678</v>
      </c>
      <c r="M264" s="500">
        <v>945</v>
      </c>
      <c r="N264" s="498">
        <v>45596</v>
      </c>
      <c r="O264" s="499">
        <v>0.125</v>
      </c>
      <c r="P264" s="500">
        <v>731485</v>
      </c>
      <c r="Q264" s="500">
        <v>1626</v>
      </c>
      <c r="R264" s="497">
        <f t="shared" si="29"/>
        <v>0</v>
      </c>
      <c r="S264" t="s">
        <v>840</v>
      </c>
    </row>
    <row r="265" spans="2:19" x14ac:dyDescent="0.3">
      <c r="B265" s="496" t="s">
        <v>675</v>
      </c>
      <c r="C265" s="500">
        <v>904</v>
      </c>
      <c r="D265" s="498">
        <v>45597</v>
      </c>
      <c r="E265" s="499">
        <v>0</v>
      </c>
      <c r="F265" s="500">
        <v>728659</v>
      </c>
      <c r="G265" s="500">
        <v>1621</v>
      </c>
      <c r="H265" s="497">
        <v>0</v>
      </c>
      <c r="I265" t="s">
        <v>841</v>
      </c>
      <c r="L265" s="496" t="s">
        <v>678</v>
      </c>
      <c r="M265" s="500">
        <v>945</v>
      </c>
      <c r="N265" s="498">
        <v>45597</v>
      </c>
      <c r="O265" s="499">
        <v>0.16666666666666699</v>
      </c>
      <c r="P265" s="500">
        <v>731485</v>
      </c>
      <c r="Q265" s="500">
        <v>1626</v>
      </c>
      <c r="R265" s="497">
        <f t="shared" si="29"/>
        <v>0</v>
      </c>
      <c r="S265" t="s">
        <v>840</v>
      </c>
    </row>
    <row r="266" spans="2:19" x14ac:dyDescent="0.3">
      <c r="B266" s="496" t="s">
        <v>675</v>
      </c>
      <c r="C266" s="500">
        <v>904</v>
      </c>
      <c r="D266" s="498">
        <v>45598</v>
      </c>
      <c r="E266" s="499">
        <v>4.1666666666666699E-2</v>
      </c>
      <c r="F266" s="500">
        <v>728659</v>
      </c>
      <c r="G266" s="500">
        <v>1621</v>
      </c>
      <c r="H266" s="497">
        <v>0</v>
      </c>
    </row>
    <row r="267" spans="2:19" x14ac:dyDescent="0.3">
      <c r="B267" s="496" t="s">
        <v>675</v>
      </c>
      <c r="C267" s="500">
        <v>904</v>
      </c>
      <c r="D267" s="498">
        <v>45599</v>
      </c>
      <c r="E267" s="499">
        <v>8.3333333333333301E-2</v>
      </c>
      <c r="F267" s="500">
        <v>728659</v>
      </c>
      <c r="G267" s="500">
        <v>1621</v>
      </c>
      <c r="H267" s="497">
        <v>0</v>
      </c>
    </row>
    <row r="268" spans="2:19" x14ac:dyDescent="0.3">
      <c r="B268" s="496" t="s">
        <v>675</v>
      </c>
      <c r="C268" s="500">
        <v>904</v>
      </c>
      <c r="D268" s="498">
        <v>45600</v>
      </c>
      <c r="E268" s="499">
        <v>0.125</v>
      </c>
      <c r="F268" s="500">
        <v>728659</v>
      </c>
      <c r="G268" s="500">
        <v>1621</v>
      </c>
      <c r="H268" s="497">
        <v>0</v>
      </c>
    </row>
    <row r="269" spans="2:19" x14ac:dyDescent="0.3">
      <c r="B269" s="496" t="s">
        <v>675</v>
      </c>
      <c r="C269" s="500">
        <v>904</v>
      </c>
      <c r="D269" s="498">
        <v>45601</v>
      </c>
      <c r="E269" s="499">
        <v>0.16666666666666699</v>
      </c>
      <c r="F269" s="500">
        <v>728659</v>
      </c>
      <c r="G269" s="500">
        <v>1621</v>
      </c>
      <c r="H269" s="497">
        <v>0</v>
      </c>
      <c r="K269">
        <v>858</v>
      </c>
    </row>
    <row r="270" spans="2:19" x14ac:dyDescent="0.3">
      <c r="B270" s="496" t="s">
        <v>675</v>
      </c>
      <c r="C270" s="500">
        <v>0</v>
      </c>
      <c r="D270" s="498">
        <v>45602</v>
      </c>
      <c r="E270" s="499">
        <v>0.20833333333333301</v>
      </c>
      <c r="F270" s="500">
        <v>858</v>
      </c>
      <c r="G270" s="500">
        <v>0</v>
      </c>
      <c r="H270" s="497">
        <v>0</v>
      </c>
      <c r="K270">
        <f>K269-K261</f>
        <v>27</v>
      </c>
    </row>
    <row r="271" spans="2:19" x14ac:dyDescent="0.3">
      <c r="B271" s="496" t="s">
        <v>675</v>
      </c>
      <c r="C271" s="500">
        <v>0</v>
      </c>
      <c r="D271" s="498">
        <v>45603</v>
      </c>
      <c r="E271" s="499">
        <v>0.25</v>
      </c>
      <c r="F271" s="500">
        <v>858</v>
      </c>
      <c r="G271" s="500"/>
      <c r="H271" s="497">
        <v>0</v>
      </c>
      <c r="K271">
        <f>K270*40</f>
        <v>1080</v>
      </c>
    </row>
    <row r="272" spans="2:19" x14ac:dyDescent="0.3">
      <c r="B272" s="496" t="s">
        <v>675</v>
      </c>
      <c r="C272" s="500">
        <v>0</v>
      </c>
      <c r="D272" s="498">
        <v>45604</v>
      </c>
      <c r="E272" s="499">
        <v>0.29166666666666702</v>
      </c>
      <c r="F272" s="500">
        <v>858</v>
      </c>
      <c r="G272" s="500"/>
      <c r="H272" s="497">
        <v>0</v>
      </c>
    </row>
    <row r="273" spans="2:8" x14ac:dyDescent="0.3">
      <c r="B273" s="496" t="s">
        <v>675</v>
      </c>
      <c r="C273" s="500">
        <v>0</v>
      </c>
      <c r="D273" s="498">
        <v>45605</v>
      </c>
      <c r="E273" s="499">
        <v>0.33333333333333298</v>
      </c>
      <c r="F273" s="500">
        <v>858</v>
      </c>
      <c r="G273" s="500"/>
      <c r="H273" s="497">
        <v>0</v>
      </c>
    </row>
    <row r="274" spans="2:8" x14ac:dyDescent="0.3">
      <c r="B274" s="496" t="s">
        <v>675</v>
      </c>
      <c r="C274" s="500">
        <v>0</v>
      </c>
      <c r="D274" s="498">
        <v>45606</v>
      </c>
      <c r="E274" s="499">
        <v>0.375</v>
      </c>
      <c r="F274" s="500">
        <v>858</v>
      </c>
      <c r="G274" s="500"/>
      <c r="H274" s="497">
        <v>0</v>
      </c>
    </row>
    <row r="275" spans="2:8" x14ac:dyDescent="0.3">
      <c r="B275" s="496" t="s">
        <v>675</v>
      </c>
      <c r="C275" s="500">
        <v>0</v>
      </c>
      <c r="D275" s="498">
        <v>45607</v>
      </c>
      <c r="E275" s="499">
        <v>0.41666666666666702</v>
      </c>
      <c r="F275" s="500">
        <v>858</v>
      </c>
      <c r="G275" s="500"/>
      <c r="H275" s="497">
        <v>0</v>
      </c>
    </row>
    <row r="276" spans="2:8" x14ac:dyDescent="0.3">
      <c r="B276" s="496" t="s">
        <v>675</v>
      </c>
      <c r="C276" s="500">
        <v>0</v>
      </c>
      <c r="D276" s="498">
        <v>45608</v>
      </c>
      <c r="E276" s="499">
        <v>0.45833333333333298</v>
      </c>
      <c r="F276" s="500">
        <v>858</v>
      </c>
      <c r="G276" s="500"/>
      <c r="H276" s="497">
        <v>0</v>
      </c>
    </row>
    <row r="277" spans="2:8" x14ac:dyDescent="0.3">
      <c r="B277" s="496" t="s">
        <v>675</v>
      </c>
      <c r="C277" s="500">
        <v>0</v>
      </c>
      <c r="D277" s="498">
        <v>45609</v>
      </c>
      <c r="E277" s="499">
        <v>0.5</v>
      </c>
      <c r="F277" s="500">
        <v>1080</v>
      </c>
      <c r="G277" s="500"/>
      <c r="H277" s="497">
        <v>0</v>
      </c>
    </row>
    <row r="278" spans="2:8" x14ac:dyDescent="0.3">
      <c r="B278" s="479" t="s">
        <v>675</v>
      </c>
      <c r="C278" s="31">
        <v>73</v>
      </c>
      <c r="D278" s="434">
        <v>45610</v>
      </c>
      <c r="E278" s="435">
        <v>0.54166666666666696</v>
      </c>
      <c r="F278" s="31">
        <v>3200</v>
      </c>
      <c r="G278" s="31"/>
      <c r="H278" s="480">
        <v>73</v>
      </c>
    </row>
    <row r="279" spans="2:8" x14ac:dyDescent="0.3">
      <c r="B279" s="479" t="s">
        <v>675</v>
      </c>
      <c r="C279" s="31">
        <v>92</v>
      </c>
      <c r="D279" s="434">
        <v>45611</v>
      </c>
      <c r="E279" s="435">
        <v>0.58333333333333404</v>
      </c>
      <c r="F279" s="31">
        <v>5053</v>
      </c>
      <c r="G279" s="31"/>
      <c r="H279" s="480">
        <v>19</v>
      </c>
    </row>
    <row r="280" spans="2:8" x14ac:dyDescent="0.3">
      <c r="B280" s="479" t="s">
        <v>675</v>
      </c>
      <c r="C280" s="31">
        <v>92</v>
      </c>
      <c r="D280" s="434">
        <v>45612</v>
      </c>
      <c r="E280" s="435">
        <v>0</v>
      </c>
      <c r="F280" s="31">
        <v>5053</v>
      </c>
      <c r="G280" s="31"/>
      <c r="H280" s="480">
        <f t="shared" ref="H280:H302" si="30">C280-C279</f>
        <v>0</v>
      </c>
    </row>
    <row r="281" spans="2:8" x14ac:dyDescent="0.3">
      <c r="B281" s="479" t="s">
        <v>675</v>
      </c>
      <c r="C281" s="31">
        <v>92</v>
      </c>
      <c r="D281" s="434">
        <v>45613</v>
      </c>
      <c r="E281" s="435">
        <v>0</v>
      </c>
      <c r="F281" s="31">
        <v>5053</v>
      </c>
      <c r="G281" s="31"/>
      <c r="H281" s="480">
        <f t="shared" si="30"/>
        <v>0</v>
      </c>
    </row>
    <row r="282" spans="2:8" x14ac:dyDescent="0.3">
      <c r="B282" s="479" t="s">
        <v>675</v>
      </c>
      <c r="C282" s="31">
        <v>101</v>
      </c>
      <c r="D282" s="434">
        <v>45614</v>
      </c>
      <c r="E282" s="435">
        <v>0</v>
      </c>
      <c r="F282" s="31">
        <v>5500</v>
      </c>
      <c r="G282" s="31">
        <v>17</v>
      </c>
      <c r="H282" s="480">
        <f t="shared" si="30"/>
        <v>9</v>
      </c>
    </row>
    <row r="283" spans="2:8" x14ac:dyDescent="0.3">
      <c r="B283" s="479" t="s">
        <v>675</v>
      </c>
      <c r="C283" s="31">
        <v>118</v>
      </c>
      <c r="D283" s="434">
        <v>45615</v>
      </c>
      <c r="E283" s="435">
        <v>0</v>
      </c>
      <c r="F283" s="31">
        <v>6466</v>
      </c>
      <c r="G283" s="31">
        <v>18</v>
      </c>
      <c r="H283" s="480">
        <f t="shared" si="30"/>
        <v>17</v>
      </c>
    </row>
    <row r="284" spans="2:8" x14ac:dyDescent="0.3">
      <c r="B284" s="479" t="s">
        <v>675</v>
      </c>
      <c r="C284" s="31">
        <v>118</v>
      </c>
      <c r="D284" s="434">
        <v>45616</v>
      </c>
      <c r="E284" s="435">
        <v>4.1666666666666699E-2</v>
      </c>
      <c r="F284" s="31">
        <v>6466</v>
      </c>
      <c r="G284" s="31">
        <v>18</v>
      </c>
      <c r="H284" s="480">
        <f t="shared" si="30"/>
        <v>0</v>
      </c>
    </row>
    <row r="285" spans="2:8" x14ac:dyDescent="0.3">
      <c r="B285" s="479" t="s">
        <v>675</v>
      </c>
      <c r="C285" s="31">
        <v>118</v>
      </c>
      <c r="D285" s="434">
        <v>45617</v>
      </c>
      <c r="E285" s="435">
        <v>8.3333333333333301E-2</v>
      </c>
      <c r="F285" s="31">
        <v>6466</v>
      </c>
      <c r="G285" s="31">
        <v>18</v>
      </c>
      <c r="H285" s="480">
        <f t="shared" si="30"/>
        <v>0</v>
      </c>
    </row>
    <row r="286" spans="2:8" x14ac:dyDescent="0.3">
      <c r="B286" s="479" t="s">
        <v>675</v>
      </c>
      <c r="C286" s="31">
        <v>128</v>
      </c>
      <c r="D286" s="434">
        <v>45618</v>
      </c>
      <c r="E286" s="435">
        <v>0.125</v>
      </c>
      <c r="F286" s="31">
        <v>6973</v>
      </c>
      <c r="G286" s="31">
        <v>20</v>
      </c>
      <c r="H286" s="480">
        <f t="shared" si="30"/>
        <v>10</v>
      </c>
    </row>
    <row r="287" spans="2:8" x14ac:dyDescent="0.3">
      <c r="B287" s="479" t="s">
        <v>675</v>
      </c>
      <c r="C287" s="31">
        <v>138</v>
      </c>
      <c r="D287" s="434">
        <v>45619</v>
      </c>
      <c r="E287" s="435">
        <v>0</v>
      </c>
      <c r="F287" s="31">
        <v>7563</v>
      </c>
      <c r="G287" s="31">
        <v>21</v>
      </c>
      <c r="H287" s="480">
        <f t="shared" si="30"/>
        <v>10</v>
      </c>
    </row>
    <row r="288" spans="2:8" x14ac:dyDescent="0.3">
      <c r="B288" s="479" t="s">
        <v>675</v>
      </c>
      <c r="C288" s="31">
        <v>138</v>
      </c>
      <c r="D288" s="434">
        <v>45620</v>
      </c>
      <c r="E288" s="435">
        <v>4.1666666666666699E-2</v>
      </c>
      <c r="F288" s="31">
        <v>7563</v>
      </c>
      <c r="G288" s="31">
        <v>21</v>
      </c>
      <c r="H288" s="480">
        <f t="shared" si="30"/>
        <v>0</v>
      </c>
    </row>
    <row r="289" spans="2:8" x14ac:dyDescent="0.3">
      <c r="B289" s="479" t="s">
        <v>675</v>
      </c>
      <c r="C289" s="31">
        <v>138</v>
      </c>
      <c r="D289" s="434">
        <v>45621</v>
      </c>
      <c r="E289" s="435">
        <v>0</v>
      </c>
      <c r="F289" s="31">
        <v>7563</v>
      </c>
      <c r="G289" s="31">
        <v>21</v>
      </c>
      <c r="H289" s="480">
        <f t="shared" si="30"/>
        <v>0</v>
      </c>
    </row>
    <row r="290" spans="2:8" x14ac:dyDescent="0.3">
      <c r="B290" s="479" t="s">
        <v>675</v>
      </c>
      <c r="C290" s="31">
        <v>138</v>
      </c>
      <c r="D290" s="434">
        <v>45622</v>
      </c>
      <c r="E290" s="435">
        <v>4.1666666666666699E-2</v>
      </c>
      <c r="F290" s="31">
        <v>7563</v>
      </c>
      <c r="G290" s="31">
        <v>21</v>
      </c>
      <c r="H290" s="480">
        <f t="shared" si="30"/>
        <v>0</v>
      </c>
    </row>
    <row r="291" spans="2:8" x14ac:dyDescent="0.3">
      <c r="B291" s="479" t="s">
        <v>675</v>
      </c>
      <c r="C291" s="31">
        <v>140</v>
      </c>
      <c r="D291" s="434">
        <v>45623</v>
      </c>
      <c r="E291" s="435">
        <v>0</v>
      </c>
      <c r="F291" s="31">
        <v>7648</v>
      </c>
      <c r="G291" s="31">
        <v>21</v>
      </c>
      <c r="H291" s="480">
        <f t="shared" si="30"/>
        <v>2</v>
      </c>
    </row>
    <row r="292" spans="2:8" x14ac:dyDescent="0.3">
      <c r="B292" s="479" t="s">
        <v>675</v>
      </c>
      <c r="C292" s="31">
        <v>148</v>
      </c>
      <c r="D292" s="434">
        <v>45624</v>
      </c>
      <c r="E292" s="435">
        <v>0</v>
      </c>
      <c r="F292" s="31">
        <v>8068</v>
      </c>
      <c r="G292" s="31">
        <v>22</v>
      </c>
      <c r="H292" s="480">
        <f t="shared" si="30"/>
        <v>8</v>
      </c>
    </row>
    <row r="293" spans="2:8" x14ac:dyDescent="0.3">
      <c r="B293" s="479" t="s">
        <v>675</v>
      </c>
      <c r="C293" s="31">
        <v>158</v>
      </c>
      <c r="D293" s="434">
        <v>45625</v>
      </c>
      <c r="E293" s="435">
        <v>0</v>
      </c>
      <c r="F293" s="31">
        <v>8638</v>
      </c>
      <c r="G293" s="31">
        <v>24</v>
      </c>
      <c r="H293" s="480">
        <f t="shared" si="30"/>
        <v>10</v>
      </c>
    </row>
    <row r="294" spans="2:8" x14ac:dyDescent="0.3">
      <c r="B294" s="479" t="s">
        <v>675</v>
      </c>
      <c r="C294" s="31">
        <v>158</v>
      </c>
      <c r="D294" s="434">
        <v>45626</v>
      </c>
      <c r="E294" s="435">
        <v>4.1666666666666699E-2</v>
      </c>
      <c r="F294" s="31">
        <v>8638</v>
      </c>
      <c r="G294" s="31">
        <v>24</v>
      </c>
      <c r="H294" s="480">
        <f t="shared" si="30"/>
        <v>0</v>
      </c>
    </row>
    <row r="295" spans="2:8" x14ac:dyDescent="0.3">
      <c r="B295" s="479" t="s">
        <v>675</v>
      </c>
      <c r="C295" s="31">
        <v>158</v>
      </c>
      <c r="D295" s="434">
        <v>45627</v>
      </c>
      <c r="E295" s="435">
        <v>0</v>
      </c>
      <c r="F295" s="31">
        <v>8638</v>
      </c>
      <c r="G295" s="31">
        <v>24</v>
      </c>
      <c r="H295" s="480">
        <f t="shared" si="30"/>
        <v>0</v>
      </c>
    </row>
    <row r="296" spans="2:8" x14ac:dyDescent="0.3">
      <c r="B296" s="479" t="s">
        <v>675</v>
      </c>
      <c r="C296" s="31">
        <v>158</v>
      </c>
      <c r="D296" s="434">
        <v>45628</v>
      </c>
      <c r="E296" s="435">
        <v>0</v>
      </c>
      <c r="F296" s="31">
        <v>8638</v>
      </c>
      <c r="G296" s="31">
        <v>24</v>
      </c>
      <c r="H296" s="480">
        <f t="shared" si="30"/>
        <v>0</v>
      </c>
    </row>
    <row r="297" spans="2:8" x14ac:dyDescent="0.3">
      <c r="B297" s="479" t="s">
        <v>675</v>
      </c>
      <c r="C297" s="31">
        <v>165</v>
      </c>
      <c r="D297" s="434">
        <v>45629</v>
      </c>
      <c r="E297" s="435">
        <v>0</v>
      </c>
      <c r="F297" s="31">
        <v>8994</v>
      </c>
      <c r="G297" s="31">
        <v>25</v>
      </c>
      <c r="H297" s="480">
        <f t="shared" si="30"/>
        <v>7</v>
      </c>
    </row>
    <row r="298" spans="2:8" x14ac:dyDescent="0.3">
      <c r="B298" s="479" t="s">
        <v>675</v>
      </c>
      <c r="C298" s="31">
        <v>165</v>
      </c>
      <c r="D298" s="434">
        <v>45630</v>
      </c>
      <c r="E298" s="435">
        <v>0</v>
      </c>
      <c r="F298" s="31">
        <v>8994</v>
      </c>
      <c r="G298" s="31">
        <v>25</v>
      </c>
      <c r="H298" s="480">
        <f t="shared" si="30"/>
        <v>0</v>
      </c>
    </row>
    <row r="299" spans="2:8" x14ac:dyDescent="0.3">
      <c r="B299" s="479" t="s">
        <v>675</v>
      </c>
      <c r="C299" s="31">
        <v>182</v>
      </c>
      <c r="D299" s="434">
        <v>45631</v>
      </c>
      <c r="E299" s="435">
        <v>0</v>
      </c>
      <c r="F299" s="31">
        <v>9935</v>
      </c>
      <c r="G299" s="31">
        <v>26</v>
      </c>
      <c r="H299" s="480">
        <f t="shared" si="30"/>
        <v>17</v>
      </c>
    </row>
    <row r="300" spans="2:8" x14ac:dyDescent="0.3">
      <c r="B300" s="479" t="s">
        <v>675</v>
      </c>
      <c r="C300" s="31">
        <v>201</v>
      </c>
      <c r="D300" s="434">
        <v>45632</v>
      </c>
      <c r="E300" s="435">
        <v>0</v>
      </c>
      <c r="F300" s="31">
        <v>10979</v>
      </c>
      <c r="G300" s="31">
        <v>27</v>
      </c>
      <c r="H300" s="480">
        <f t="shared" si="30"/>
        <v>19</v>
      </c>
    </row>
    <row r="301" spans="2:8" x14ac:dyDescent="0.3">
      <c r="B301" s="479" t="s">
        <v>675</v>
      </c>
      <c r="C301" s="31">
        <v>201</v>
      </c>
      <c r="D301" s="434">
        <v>45633</v>
      </c>
      <c r="E301" s="435">
        <v>0</v>
      </c>
      <c r="F301" s="31">
        <v>10979</v>
      </c>
      <c r="G301" s="31">
        <v>27</v>
      </c>
      <c r="H301" s="480">
        <f t="shared" si="30"/>
        <v>0</v>
      </c>
    </row>
    <row r="302" spans="2:8" x14ac:dyDescent="0.3">
      <c r="B302" s="479" t="s">
        <v>675</v>
      </c>
      <c r="C302" s="31">
        <v>201</v>
      </c>
      <c r="D302" s="434">
        <v>45634</v>
      </c>
      <c r="E302" s="435">
        <v>0</v>
      </c>
      <c r="F302" s="31">
        <v>10979</v>
      </c>
      <c r="G302" s="31">
        <v>27</v>
      </c>
      <c r="H302" s="480">
        <f t="shared" si="30"/>
        <v>0</v>
      </c>
    </row>
    <row r="303" spans="2:8" x14ac:dyDescent="0.3">
      <c r="B303" s="479" t="s">
        <v>675</v>
      </c>
      <c r="C303" s="31">
        <v>201</v>
      </c>
      <c r="D303" s="434">
        <v>45635</v>
      </c>
      <c r="E303" s="435">
        <v>0</v>
      </c>
      <c r="F303" s="31">
        <v>10979</v>
      </c>
      <c r="G303" s="31">
        <v>27</v>
      </c>
      <c r="H303" s="480">
        <f t="shared" ref="H303:H330" si="31">C303-C302</f>
        <v>0</v>
      </c>
    </row>
    <row r="304" spans="2:8" x14ac:dyDescent="0.3">
      <c r="B304" s="479" t="s">
        <v>675</v>
      </c>
      <c r="C304" s="31">
        <v>201</v>
      </c>
      <c r="D304" s="434">
        <v>45636</v>
      </c>
      <c r="E304" s="435">
        <v>0</v>
      </c>
      <c r="F304" s="31">
        <v>10979</v>
      </c>
      <c r="G304" s="31">
        <v>27</v>
      </c>
      <c r="H304" s="480">
        <f t="shared" si="31"/>
        <v>0</v>
      </c>
    </row>
    <row r="305" spans="2:8" x14ac:dyDescent="0.3">
      <c r="B305" s="479" t="s">
        <v>675</v>
      </c>
      <c r="C305" s="31">
        <v>201</v>
      </c>
      <c r="D305" s="434">
        <v>45637</v>
      </c>
      <c r="E305" s="435">
        <v>0</v>
      </c>
      <c r="F305" s="31">
        <v>10979</v>
      </c>
      <c r="G305" s="31">
        <v>27</v>
      </c>
      <c r="H305" s="480">
        <f t="shared" si="31"/>
        <v>0</v>
      </c>
    </row>
    <row r="306" spans="2:8" x14ac:dyDescent="0.3">
      <c r="B306" s="479" t="s">
        <v>675</v>
      </c>
      <c r="C306" s="31">
        <v>201</v>
      </c>
      <c r="D306" s="434">
        <v>45638</v>
      </c>
      <c r="E306" s="435">
        <v>0</v>
      </c>
      <c r="F306" s="31">
        <v>10979</v>
      </c>
      <c r="G306" s="31">
        <v>27</v>
      </c>
      <c r="H306" s="480">
        <f t="shared" si="31"/>
        <v>0</v>
      </c>
    </row>
    <row r="307" spans="2:8" x14ac:dyDescent="0.3">
      <c r="B307" s="479" t="s">
        <v>675</v>
      </c>
      <c r="C307" s="31">
        <v>219</v>
      </c>
      <c r="D307" s="434">
        <v>45639</v>
      </c>
      <c r="E307" s="435">
        <v>0</v>
      </c>
      <c r="F307" s="31">
        <v>11976</v>
      </c>
      <c r="G307" s="31">
        <v>29</v>
      </c>
      <c r="H307" s="480">
        <f t="shared" si="31"/>
        <v>18</v>
      </c>
    </row>
    <row r="308" spans="2:8" x14ac:dyDescent="0.3">
      <c r="B308" s="479" t="s">
        <v>675</v>
      </c>
      <c r="C308" s="31">
        <v>224</v>
      </c>
      <c r="D308" s="434">
        <v>45640</v>
      </c>
      <c r="E308" s="435">
        <v>0</v>
      </c>
      <c r="F308" s="31">
        <v>12199</v>
      </c>
      <c r="G308" s="31">
        <v>30</v>
      </c>
      <c r="H308" s="480">
        <f t="shared" si="31"/>
        <v>5</v>
      </c>
    </row>
    <row r="309" spans="2:8" x14ac:dyDescent="0.3">
      <c r="B309" s="479" t="s">
        <v>675</v>
      </c>
      <c r="C309" s="31">
        <v>230</v>
      </c>
      <c r="D309" s="434">
        <v>45641</v>
      </c>
      <c r="E309" s="435">
        <v>0</v>
      </c>
      <c r="F309" s="31">
        <v>12553</v>
      </c>
      <c r="G309" s="31">
        <v>31</v>
      </c>
      <c r="H309" s="480">
        <f t="shared" si="31"/>
        <v>6</v>
      </c>
    </row>
    <row r="310" spans="2:8" x14ac:dyDescent="0.3">
      <c r="B310" s="479" t="s">
        <v>675</v>
      </c>
      <c r="C310" s="31">
        <v>243</v>
      </c>
      <c r="D310" s="434">
        <v>45642</v>
      </c>
      <c r="E310" s="435">
        <v>0</v>
      </c>
      <c r="F310" s="31">
        <v>13229</v>
      </c>
      <c r="G310" s="31">
        <v>33</v>
      </c>
      <c r="H310" s="480">
        <f t="shared" si="31"/>
        <v>13</v>
      </c>
    </row>
    <row r="311" spans="2:8" x14ac:dyDescent="0.3">
      <c r="B311" s="479" t="s">
        <v>675</v>
      </c>
      <c r="C311" s="31">
        <v>253</v>
      </c>
      <c r="D311" s="434">
        <v>45643</v>
      </c>
      <c r="E311" s="435">
        <v>0</v>
      </c>
      <c r="F311" s="31">
        <v>13778</v>
      </c>
      <c r="G311" s="31">
        <v>34</v>
      </c>
      <c r="H311" s="480">
        <f t="shared" si="31"/>
        <v>10</v>
      </c>
    </row>
    <row r="312" spans="2:8" x14ac:dyDescent="0.3">
      <c r="B312" s="479" t="s">
        <v>675</v>
      </c>
      <c r="C312" s="31">
        <v>253</v>
      </c>
      <c r="D312" s="434">
        <v>45644</v>
      </c>
      <c r="E312" s="435">
        <v>0</v>
      </c>
      <c r="F312" s="31">
        <v>13778</v>
      </c>
      <c r="G312" s="31">
        <v>34</v>
      </c>
      <c r="H312" s="480">
        <f t="shared" si="31"/>
        <v>0</v>
      </c>
    </row>
    <row r="313" spans="2:8" x14ac:dyDescent="0.3">
      <c r="B313" s="479" t="s">
        <v>675</v>
      </c>
      <c r="C313" s="31">
        <v>253</v>
      </c>
      <c r="D313" s="434">
        <v>45645</v>
      </c>
      <c r="E313" s="435">
        <v>0</v>
      </c>
      <c r="F313" s="31">
        <v>13778</v>
      </c>
      <c r="G313" s="31">
        <v>34</v>
      </c>
      <c r="H313" s="480">
        <f t="shared" si="31"/>
        <v>0</v>
      </c>
    </row>
    <row r="314" spans="2:8" x14ac:dyDescent="0.3">
      <c r="B314" s="479" t="s">
        <v>675</v>
      </c>
      <c r="C314" s="31">
        <v>253</v>
      </c>
      <c r="D314" s="434">
        <v>45646</v>
      </c>
      <c r="E314" s="435">
        <v>0</v>
      </c>
      <c r="F314" s="31">
        <v>13778</v>
      </c>
      <c r="G314" s="31">
        <v>34</v>
      </c>
      <c r="H314" s="480">
        <f t="shared" si="31"/>
        <v>0</v>
      </c>
    </row>
    <row r="315" spans="2:8" x14ac:dyDescent="0.3">
      <c r="B315" s="479" t="s">
        <v>675</v>
      </c>
      <c r="C315" s="31">
        <v>253</v>
      </c>
      <c r="D315" s="434">
        <v>45647</v>
      </c>
      <c r="E315" s="435">
        <v>0</v>
      </c>
      <c r="F315" s="31">
        <v>13778</v>
      </c>
      <c r="G315" s="31">
        <v>34</v>
      </c>
      <c r="H315" s="480">
        <f t="shared" si="31"/>
        <v>0</v>
      </c>
    </row>
    <row r="316" spans="2:8" x14ac:dyDescent="0.3">
      <c r="B316" s="479" t="s">
        <v>675</v>
      </c>
      <c r="C316" s="31">
        <v>253</v>
      </c>
      <c r="D316" s="434">
        <v>45648</v>
      </c>
      <c r="E316" s="435">
        <v>0</v>
      </c>
      <c r="F316" s="31">
        <v>13778</v>
      </c>
      <c r="G316" s="31">
        <v>34</v>
      </c>
      <c r="H316" s="480">
        <f t="shared" si="31"/>
        <v>0</v>
      </c>
    </row>
    <row r="317" spans="2:8" x14ac:dyDescent="0.3">
      <c r="B317" s="479" t="s">
        <v>675</v>
      </c>
      <c r="C317" s="31">
        <v>259</v>
      </c>
      <c r="D317" s="434">
        <v>45649</v>
      </c>
      <c r="E317" s="435">
        <v>0</v>
      </c>
      <c r="F317" s="31">
        <v>14169</v>
      </c>
      <c r="G317" s="31">
        <v>36</v>
      </c>
      <c r="H317" s="480">
        <f t="shared" si="31"/>
        <v>6</v>
      </c>
    </row>
    <row r="318" spans="2:8" x14ac:dyDescent="0.3">
      <c r="B318" s="479" t="s">
        <v>675</v>
      </c>
      <c r="C318" s="31">
        <v>259</v>
      </c>
      <c r="D318" s="434">
        <v>45650</v>
      </c>
      <c r="E318" s="435">
        <v>0</v>
      </c>
      <c r="F318" s="31">
        <v>14169</v>
      </c>
      <c r="G318" s="31">
        <v>36</v>
      </c>
      <c r="H318" s="480">
        <f t="shared" si="31"/>
        <v>0</v>
      </c>
    </row>
    <row r="319" spans="2:8" x14ac:dyDescent="0.3">
      <c r="B319" s="479" t="s">
        <v>675</v>
      </c>
      <c r="C319" s="31">
        <v>259</v>
      </c>
      <c r="D319" s="434">
        <v>45651</v>
      </c>
      <c r="E319" s="435">
        <v>0</v>
      </c>
      <c r="F319" s="31">
        <v>14169</v>
      </c>
      <c r="G319" s="31">
        <v>36</v>
      </c>
      <c r="H319" s="480">
        <f t="shared" si="31"/>
        <v>0</v>
      </c>
    </row>
    <row r="320" spans="2:8" x14ac:dyDescent="0.3">
      <c r="B320" s="479" t="s">
        <v>675</v>
      </c>
      <c r="C320" s="31">
        <v>266</v>
      </c>
      <c r="D320" s="434">
        <v>45652</v>
      </c>
      <c r="E320" s="435">
        <v>0</v>
      </c>
      <c r="F320" s="31">
        <v>14553</v>
      </c>
      <c r="G320" s="31">
        <v>38</v>
      </c>
      <c r="H320" s="480">
        <f t="shared" si="31"/>
        <v>7</v>
      </c>
    </row>
    <row r="321" spans="2:9" x14ac:dyDescent="0.3">
      <c r="B321" s="479" t="s">
        <v>675</v>
      </c>
      <c r="C321" s="31">
        <v>301</v>
      </c>
      <c r="D321" s="434">
        <v>45657</v>
      </c>
      <c r="E321" s="435">
        <v>4.1666666666666699E-2</v>
      </c>
      <c r="F321" s="31">
        <v>16338</v>
      </c>
      <c r="G321" s="31">
        <v>38</v>
      </c>
      <c r="H321" s="480">
        <f t="shared" si="31"/>
        <v>35</v>
      </c>
      <c r="I321">
        <f>F321-F294</f>
        <v>7700</v>
      </c>
    </row>
    <row r="322" spans="2:9" x14ac:dyDescent="0.3">
      <c r="B322" s="496" t="s">
        <v>675</v>
      </c>
      <c r="C322" s="500">
        <v>355</v>
      </c>
      <c r="D322" s="498">
        <v>45664</v>
      </c>
      <c r="E322" s="499">
        <v>0</v>
      </c>
      <c r="F322" s="500">
        <v>19552</v>
      </c>
      <c r="G322" s="500">
        <v>46</v>
      </c>
      <c r="H322" s="497">
        <f t="shared" si="31"/>
        <v>54</v>
      </c>
    </row>
    <row r="323" spans="2:9" x14ac:dyDescent="0.3">
      <c r="B323" s="479" t="s">
        <v>675</v>
      </c>
      <c r="C323" s="31">
        <v>365</v>
      </c>
      <c r="D323" s="434">
        <v>45665</v>
      </c>
      <c r="E323" s="435">
        <v>0</v>
      </c>
      <c r="F323" s="31">
        <v>20309</v>
      </c>
      <c r="G323" s="31">
        <v>47</v>
      </c>
      <c r="H323" s="480">
        <f t="shared" si="31"/>
        <v>10</v>
      </c>
    </row>
    <row r="324" spans="2:9" x14ac:dyDescent="0.3">
      <c r="B324" s="479" t="s">
        <v>675</v>
      </c>
      <c r="C324" s="31">
        <v>377</v>
      </c>
      <c r="D324" s="434">
        <v>45666</v>
      </c>
      <c r="E324" s="435">
        <v>0</v>
      </c>
      <c r="F324" s="31">
        <v>20748</v>
      </c>
      <c r="G324" s="31">
        <v>48</v>
      </c>
      <c r="H324" s="480">
        <f t="shared" si="31"/>
        <v>12</v>
      </c>
    </row>
    <row r="325" spans="2:9" x14ac:dyDescent="0.3">
      <c r="B325" s="479" t="s">
        <v>675</v>
      </c>
      <c r="C325" s="31">
        <v>393</v>
      </c>
      <c r="D325" s="434">
        <v>45667</v>
      </c>
      <c r="E325" s="435">
        <v>0</v>
      </c>
      <c r="F325" s="31">
        <v>21694</v>
      </c>
      <c r="G325" s="31">
        <v>49</v>
      </c>
      <c r="H325" s="480">
        <f t="shared" si="31"/>
        <v>16</v>
      </c>
    </row>
    <row r="326" spans="2:9" x14ac:dyDescent="0.3">
      <c r="B326" s="479" t="s">
        <v>675</v>
      </c>
      <c r="C326" s="31">
        <v>397</v>
      </c>
      <c r="D326" s="434">
        <v>45668</v>
      </c>
      <c r="E326" s="435">
        <v>0</v>
      </c>
      <c r="F326" s="31">
        <v>21946</v>
      </c>
      <c r="G326" s="31">
        <v>50</v>
      </c>
      <c r="H326" s="480">
        <f t="shared" si="31"/>
        <v>4</v>
      </c>
    </row>
    <row r="327" spans="2:9" x14ac:dyDescent="0.3">
      <c r="B327" s="479" t="s">
        <v>675</v>
      </c>
      <c r="C327" s="31">
        <v>397</v>
      </c>
      <c r="D327" s="434">
        <v>45669</v>
      </c>
      <c r="E327" s="435">
        <v>0</v>
      </c>
      <c r="F327" s="31">
        <v>21946</v>
      </c>
      <c r="G327" s="31">
        <v>50</v>
      </c>
      <c r="H327" s="480">
        <f t="shared" si="31"/>
        <v>0</v>
      </c>
    </row>
    <row r="328" spans="2:9" x14ac:dyDescent="0.3">
      <c r="B328" s="479" t="s">
        <v>675</v>
      </c>
      <c r="C328" s="31">
        <v>409</v>
      </c>
      <c r="D328" s="434">
        <v>45670</v>
      </c>
      <c r="E328" s="435">
        <v>0</v>
      </c>
      <c r="F328" s="31">
        <v>22601</v>
      </c>
      <c r="G328" s="31">
        <v>50</v>
      </c>
      <c r="H328" s="480">
        <f t="shared" si="31"/>
        <v>12</v>
      </c>
    </row>
    <row r="329" spans="2:9" x14ac:dyDescent="0.3">
      <c r="B329" s="479" t="s">
        <v>675</v>
      </c>
      <c r="C329" s="31">
        <v>409</v>
      </c>
      <c r="D329" s="434">
        <v>45671</v>
      </c>
      <c r="E329" s="435">
        <v>0</v>
      </c>
      <c r="F329" s="31">
        <v>22601</v>
      </c>
      <c r="G329" s="31">
        <v>50</v>
      </c>
      <c r="H329" s="480">
        <f t="shared" si="31"/>
        <v>0</v>
      </c>
    </row>
    <row r="330" spans="2:9" x14ac:dyDescent="0.3">
      <c r="B330" s="479" t="s">
        <v>675</v>
      </c>
      <c r="C330" s="31">
        <v>409</v>
      </c>
      <c r="D330" s="434">
        <v>45672</v>
      </c>
      <c r="E330" s="435">
        <v>0</v>
      </c>
      <c r="F330" s="31">
        <v>22601</v>
      </c>
      <c r="G330" s="31">
        <v>50</v>
      </c>
      <c r="H330" s="480">
        <f t="shared" si="31"/>
        <v>0</v>
      </c>
    </row>
    <row r="331" spans="2:9" x14ac:dyDescent="0.3">
      <c r="B331" s="479" t="s">
        <v>675</v>
      </c>
      <c r="C331" s="31">
        <v>417</v>
      </c>
      <c r="D331" s="434">
        <v>45673</v>
      </c>
      <c r="E331" s="435">
        <v>0</v>
      </c>
      <c r="F331" s="31">
        <f>F330+455</f>
        <v>23056</v>
      </c>
      <c r="G331" s="31">
        <v>50</v>
      </c>
      <c r="H331" s="480">
        <f t="shared" ref="H331:H337" si="32">C331-C330</f>
        <v>8</v>
      </c>
    </row>
    <row r="332" spans="2:9" x14ac:dyDescent="0.3">
      <c r="B332" s="479" t="s">
        <v>675</v>
      </c>
      <c r="C332" s="31">
        <v>421</v>
      </c>
      <c r="D332" s="434">
        <v>45674</v>
      </c>
      <c r="E332" s="435">
        <v>0</v>
      </c>
      <c r="F332" s="31">
        <f>F331+174</f>
        <v>23230</v>
      </c>
      <c r="G332" s="31">
        <v>50</v>
      </c>
      <c r="H332" s="480">
        <f t="shared" si="32"/>
        <v>4</v>
      </c>
    </row>
    <row r="333" spans="2:9" x14ac:dyDescent="0.3">
      <c r="B333" s="479" t="s">
        <v>675</v>
      </c>
      <c r="C333" s="31">
        <v>421</v>
      </c>
      <c r="D333" s="434">
        <v>45675</v>
      </c>
      <c r="E333" s="435">
        <v>0</v>
      </c>
      <c r="F333" s="31">
        <v>23320</v>
      </c>
      <c r="G333" s="31">
        <v>50</v>
      </c>
      <c r="H333" s="480">
        <f t="shared" si="32"/>
        <v>0</v>
      </c>
    </row>
    <row r="334" spans="2:9" x14ac:dyDescent="0.3">
      <c r="B334" s="479" t="s">
        <v>675</v>
      </c>
      <c r="C334" s="31">
        <v>434</v>
      </c>
      <c r="D334" s="434">
        <v>45676</v>
      </c>
      <c r="E334" s="435">
        <v>0</v>
      </c>
      <c r="F334" s="31">
        <f>F333+718</f>
        <v>24038</v>
      </c>
      <c r="G334" s="31">
        <v>50</v>
      </c>
      <c r="H334" s="480">
        <f t="shared" si="32"/>
        <v>13</v>
      </c>
    </row>
    <row r="335" spans="2:9" x14ac:dyDescent="0.3">
      <c r="B335" s="479" t="s">
        <v>675</v>
      </c>
      <c r="C335" s="31">
        <v>434</v>
      </c>
      <c r="D335" s="434">
        <v>45677</v>
      </c>
      <c r="E335" s="435">
        <v>0</v>
      </c>
      <c r="F335" s="31">
        <v>24038</v>
      </c>
      <c r="G335" s="31">
        <v>50</v>
      </c>
      <c r="H335" s="480">
        <f t="shared" si="32"/>
        <v>0</v>
      </c>
    </row>
    <row r="336" spans="2:9" x14ac:dyDescent="0.3">
      <c r="B336" s="479" t="s">
        <v>675</v>
      </c>
      <c r="C336" s="31">
        <f>C335+27</f>
        <v>461</v>
      </c>
      <c r="D336" s="434">
        <v>45678</v>
      </c>
      <c r="E336" s="435">
        <v>0</v>
      </c>
      <c r="F336" s="31">
        <f>F335+1472</f>
        <v>25510</v>
      </c>
      <c r="G336" s="31">
        <v>50</v>
      </c>
      <c r="H336" s="480">
        <f t="shared" si="32"/>
        <v>27</v>
      </c>
    </row>
    <row r="337" spans="2:11" x14ac:dyDescent="0.3">
      <c r="B337" s="479" t="s">
        <v>675</v>
      </c>
      <c r="C337" s="31">
        <v>469</v>
      </c>
      <c r="D337" s="434">
        <v>45679</v>
      </c>
      <c r="E337" s="435">
        <v>0</v>
      </c>
      <c r="F337" s="31">
        <v>25934</v>
      </c>
      <c r="G337" s="31">
        <v>57</v>
      </c>
      <c r="H337" s="480">
        <f t="shared" si="32"/>
        <v>8</v>
      </c>
    </row>
    <row r="338" spans="2:11" x14ac:dyDescent="0.3">
      <c r="B338" s="479" t="s">
        <v>675</v>
      </c>
      <c r="C338" s="31">
        <v>476</v>
      </c>
      <c r="D338" s="434">
        <v>45680</v>
      </c>
      <c r="E338" s="435">
        <v>0</v>
      </c>
      <c r="F338" s="31">
        <v>26227</v>
      </c>
      <c r="G338" s="31">
        <v>58</v>
      </c>
      <c r="H338" s="480">
        <f>C338-C337</f>
        <v>7</v>
      </c>
    </row>
    <row r="339" spans="2:11" x14ac:dyDescent="0.3">
      <c r="B339" s="479" t="s">
        <v>675</v>
      </c>
      <c r="C339" s="31">
        <v>489</v>
      </c>
      <c r="D339" s="434">
        <v>45681</v>
      </c>
      <c r="E339" s="435">
        <v>0</v>
      </c>
      <c r="F339" s="31">
        <v>26960</v>
      </c>
      <c r="G339" s="31">
        <v>59</v>
      </c>
      <c r="H339" s="480">
        <f>C339-C338</f>
        <v>13</v>
      </c>
    </row>
    <row r="340" spans="2:11" x14ac:dyDescent="0.3">
      <c r="B340" s="479" t="s">
        <v>675</v>
      </c>
      <c r="C340" s="31">
        <v>502</v>
      </c>
      <c r="D340" s="434">
        <v>45682</v>
      </c>
      <c r="E340" s="435">
        <v>4.1666666666666699E-2</v>
      </c>
      <c r="F340" s="31">
        <v>27642</v>
      </c>
      <c r="G340" s="31">
        <v>61</v>
      </c>
      <c r="H340" s="480">
        <f>C340-C339</f>
        <v>13</v>
      </c>
    </row>
    <row r="341" spans="2:11" x14ac:dyDescent="0.3">
      <c r="B341" s="479" t="s">
        <v>675</v>
      </c>
      <c r="C341" s="31">
        <v>515</v>
      </c>
      <c r="D341" s="434">
        <v>45683</v>
      </c>
      <c r="E341" s="435">
        <v>0</v>
      </c>
      <c r="F341" s="31">
        <v>28369</v>
      </c>
      <c r="G341" s="31">
        <v>62</v>
      </c>
      <c r="H341" s="480">
        <f>C341-C340</f>
        <v>13</v>
      </c>
    </row>
    <row r="342" spans="2:11" x14ac:dyDescent="0.3">
      <c r="B342" s="479" t="s">
        <v>675</v>
      </c>
      <c r="C342" s="31">
        <v>529</v>
      </c>
      <c r="D342" s="434">
        <v>45684</v>
      </c>
      <c r="E342" s="435">
        <v>0</v>
      </c>
      <c r="F342" s="31">
        <v>29127</v>
      </c>
      <c r="G342" s="31">
        <v>63</v>
      </c>
      <c r="H342" s="480">
        <f>C342-C341</f>
        <v>14</v>
      </c>
    </row>
    <row r="343" spans="2:11" x14ac:dyDescent="0.3">
      <c r="B343" s="479" t="s">
        <v>675</v>
      </c>
      <c r="C343" s="31">
        <v>536</v>
      </c>
      <c r="D343" s="434">
        <v>45685</v>
      </c>
      <c r="E343" s="435">
        <v>4.1666666666666699E-2</v>
      </c>
      <c r="F343" s="31">
        <v>29519</v>
      </c>
      <c r="G343" s="31">
        <v>65</v>
      </c>
      <c r="H343" s="480">
        <f t="shared" ref="H343:H351" si="33">C343-C342</f>
        <v>7</v>
      </c>
    </row>
    <row r="344" spans="2:11" x14ac:dyDescent="0.3">
      <c r="B344" s="479" t="s">
        <v>675</v>
      </c>
      <c r="C344" s="31">
        <v>554</v>
      </c>
      <c r="D344" s="434">
        <v>45686</v>
      </c>
      <c r="E344" s="435">
        <v>0</v>
      </c>
      <c r="F344" s="31">
        <v>30505</v>
      </c>
      <c r="G344" s="31">
        <v>66</v>
      </c>
      <c r="H344" s="480">
        <f t="shared" si="33"/>
        <v>18</v>
      </c>
    </row>
    <row r="345" spans="2:11" x14ac:dyDescent="0.3">
      <c r="B345" s="479" t="s">
        <v>675</v>
      </c>
      <c r="C345" s="31">
        <v>559</v>
      </c>
      <c r="D345" s="434">
        <v>45687</v>
      </c>
      <c r="E345" s="435">
        <v>0</v>
      </c>
      <c r="F345" s="31">
        <v>30802</v>
      </c>
      <c r="G345" s="31">
        <v>66</v>
      </c>
      <c r="H345" s="480">
        <f t="shared" si="33"/>
        <v>5</v>
      </c>
    </row>
    <row r="346" spans="2:11" x14ac:dyDescent="0.3">
      <c r="B346" s="479" t="s">
        <v>675</v>
      </c>
      <c r="C346" s="31">
        <v>576</v>
      </c>
      <c r="D346" s="434">
        <v>45688</v>
      </c>
      <c r="E346" s="435">
        <v>0</v>
      </c>
      <c r="F346" s="31">
        <v>31704</v>
      </c>
      <c r="G346" s="31">
        <v>67</v>
      </c>
      <c r="H346" s="480">
        <f t="shared" si="33"/>
        <v>17</v>
      </c>
    </row>
    <row r="347" spans="2:11" x14ac:dyDescent="0.3">
      <c r="B347" s="479" t="s">
        <v>675</v>
      </c>
      <c r="C347" s="31">
        <v>588</v>
      </c>
      <c r="D347" s="434">
        <v>45689</v>
      </c>
      <c r="E347" s="435">
        <v>0</v>
      </c>
      <c r="F347" s="31">
        <v>32343</v>
      </c>
      <c r="G347" s="31">
        <v>68</v>
      </c>
      <c r="H347" s="480">
        <f t="shared" si="33"/>
        <v>12</v>
      </c>
    </row>
    <row r="348" spans="2:11" x14ac:dyDescent="0.3">
      <c r="B348" s="479" t="s">
        <v>675</v>
      </c>
      <c r="C348" s="31">
        <v>591</v>
      </c>
      <c r="D348" s="434">
        <v>45690</v>
      </c>
      <c r="E348" s="435">
        <v>0</v>
      </c>
      <c r="F348" s="31">
        <v>32523</v>
      </c>
      <c r="G348" s="31">
        <v>69</v>
      </c>
      <c r="H348" s="480">
        <f t="shared" si="33"/>
        <v>3</v>
      </c>
    </row>
    <row r="349" spans="2:11" x14ac:dyDescent="0.3">
      <c r="B349" s="479" t="s">
        <v>675</v>
      </c>
      <c r="C349" s="31">
        <v>600</v>
      </c>
      <c r="D349" s="434">
        <v>45691</v>
      </c>
      <c r="E349" s="435">
        <v>0</v>
      </c>
      <c r="F349" s="31">
        <v>33012</v>
      </c>
      <c r="G349" s="31">
        <v>70</v>
      </c>
      <c r="H349" s="480">
        <f t="shared" si="33"/>
        <v>9</v>
      </c>
    </row>
    <row r="350" spans="2:11" x14ac:dyDescent="0.3">
      <c r="B350" s="479" t="s">
        <v>675</v>
      </c>
      <c r="C350" s="31">
        <v>613</v>
      </c>
      <c r="D350" s="434">
        <v>45692</v>
      </c>
      <c r="E350" s="435">
        <v>4.1666666666666699E-2</v>
      </c>
      <c r="F350" s="31">
        <v>33746</v>
      </c>
      <c r="G350" s="31">
        <v>72</v>
      </c>
      <c r="H350" s="480">
        <f t="shared" si="33"/>
        <v>13</v>
      </c>
    </row>
    <row r="351" spans="2:11" x14ac:dyDescent="0.3">
      <c r="B351" s="479" t="s">
        <v>675</v>
      </c>
      <c r="C351" s="31">
        <v>626</v>
      </c>
      <c r="D351" s="434">
        <v>45693</v>
      </c>
      <c r="E351" s="435">
        <v>0</v>
      </c>
      <c r="F351" s="31">
        <v>34422</v>
      </c>
      <c r="G351" s="31">
        <v>73</v>
      </c>
      <c r="H351" s="480">
        <f t="shared" si="33"/>
        <v>13</v>
      </c>
    </row>
    <row r="352" spans="2:11" x14ac:dyDescent="0.3">
      <c r="B352" s="479" t="s">
        <v>675</v>
      </c>
      <c r="C352" s="31">
        <v>641</v>
      </c>
      <c r="D352" s="434">
        <v>45694</v>
      </c>
      <c r="E352" s="435">
        <v>4.1666666666666699E-2</v>
      </c>
      <c r="F352" s="31">
        <v>35232</v>
      </c>
      <c r="G352" s="31">
        <v>74</v>
      </c>
      <c r="H352" s="480">
        <f t="shared" ref="H352:H386" si="34">C352-C351</f>
        <v>15</v>
      </c>
      <c r="I352">
        <f>H352*54</f>
        <v>810</v>
      </c>
      <c r="K352">
        <f>F351+I352</f>
        <v>35232</v>
      </c>
    </row>
    <row r="353" spans="2:8" x14ac:dyDescent="0.3">
      <c r="B353" s="479" t="s">
        <v>675</v>
      </c>
      <c r="C353" s="31">
        <v>652</v>
      </c>
      <c r="D353" s="434">
        <v>45695</v>
      </c>
      <c r="E353" s="435">
        <v>0</v>
      </c>
      <c r="F353" s="31">
        <v>35867</v>
      </c>
      <c r="G353" s="31">
        <v>75</v>
      </c>
      <c r="H353" s="480">
        <f t="shared" si="34"/>
        <v>11</v>
      </c>
    </row>
    <row r="354" spans="2:8" x14ac:dyDescent="0.3">
      <c r="B354" s="479" t="s">
        <v>675</v>
      </c>
      <c r="C354" s="31">
        <v>656</v>
      </c>
      <c r="D354" s="434">
        <v>45696</v>
      </c>
      <c r="E354" s="435">
        <v>4.1666666666666699E-2</v>
      </c>
      <c r="F354" s="31">
        <v>36038</v>
      </c>
      <c r="G354" s="31">
        <v>76</v>
      </c>
      <c r="H354" s="480">
        <f t="shared" si="34"/>
        <v>4</v>
      </c>
    </row>
    <row r="355" spans="2:8" x14ac:dyDescent="0.3">
      <c r="B355" s="479" t="s">
        <v>675</v>
      </c>
      <c r="C355" s="31">
        <v>664</v>
      </c>
      <c r="D355" s="434">
        <v>45697</v>
      </c>
      <c r="E355" s="435">
        <v>0</v>
      </c>
      <c r="F355" s="31">
        <v>36517</v>
      </c>
      <c r="G355" s="31">
        <v>76</v>
      </c>
      <c r="H355" s="480">
        <f t="shared" si="34"/>
        <v>8</v>
      </c>
    </row>
    <row r="356" spans="2:8" x14ac:dyDescent="0.3">
      <c r="B356" s="479" t="s">
        <v>675</v>
      </c>
      <c r="C356" s="31">
        <v>670</v>
      </c>
      <c r="D356" s="434">
        <v>45698</v>
      </c>
      <c r="E356" s="435">
        <v>0</v>
      </c>
      <c r="F356" s="31">
        <v>36816</v>
      </c>
      <c r="G356" s="31">
        <v>78</v>
      </c>
      <c r="H356" s="480">
        <f t="shared" si="34"/>
        <v>6</v>
      </c>
    </row>
    <row r="357" spans="2:8" x14ac:dyDescent="0.3">
      <c r="B357" s="479" t="s">
        <v>675</v>
      </c>
      <c r="C357" s="31">
        <v>678</v>
      </c>
      <c r="D357" s="434">
        <v>45699</v>
      </c>
      <c r="E357" s="435">
        <v>0</v>
      </c>
      <c r="F357" s="31">
        <v>37274</v>
      </c>
      <c r="G357" s="31">
        <v>79</v>
      </c>
      <c r="H357" s="480">
        <f t="shared" si="34"/>
        <v>8</v>
      </c>
    </row>
    <row r="358" spans="2:8" x14ac:dyDescent="0.3">
      <c r="B358" s="479" t="s">
        <v>675</v>
      </c>
      <c r="C358" s="31">
        <v>678</v>
      </c>
      <c r="D358" s="434">
        <v>45700</v>
      </c>
      <c r="E358" s="435">
        <v>4.1666666666666699E-2</v>
      </c>
      <c r="F358" s="31">
        <v>37274</v>
      </c>
      <c r="G358" s="31">
        <v>80</v>
      </c>
      <c r="H358" s="480">
        <f t="shared" si="34"/>
        <v>0</v>
      </c>
    </row>
    <row r="359" spans="2:8" x14ac:dyDescent="0.3">
      <c r="B359" s="479" t="s">
        <v>675</v>
      </c>
      <c r="C359" s="31">
        <v>690</v>
      </c>
      <c r="D359" s="434">
        <v>45701</v>
      </c>
      <c r="E359" s="435">
        <v>0</v>
      </c>
      <c r="F359" s="31">
        <v>37965</v>
      </c>
      <c r="G359" s="31">
        <v>81</v>
      </c>
      <c r="H359" s="480">
        <f t="shared" si="34"/>
        <v>12</v>
      </c>
    </row>
    <row r="360" spans="2:8" x14ac:dyDescent="0.3">
      <c r="B360" s="479" t="s">
        <v>675</v>
      </c>
      <c r="C360" s="31">
        <v>703</v>
      </c>
      <c r="D360" s="434">
        <v>45702</v>
      </c>
      <c r="E360" s="435">
        <v>4.1666666666666699E-2</v>
      </c>
      <c r="F360" s="31">
        <v>38725</v>
      </c>
      <c r="G360" s="31">
        <v>83</v>
      </c>
      <c r="H360" s="480">
        <f t="shared" si="34"/>
        <v>13</v>
      </c>
    </row>
    <row r="361" spans="2:8" x14ac:dyDescent="0.3">
      <c r="B361" s="479" t="s">
        <v>675</v>
      </c>
      <c r="C361" s="31">
        <v>718</v>
      </c>
      <c r="D361" s="434">
        <v>45703</v>
      </c>
      <c r="E361" s="435">
        <v>0</v>
      </c>
      <c r="F361" s="31">
        <v>39652</v>
      </c>
      <c r="G361" s="31">
        <v>84</v>
      </c>
      <c r="H361" s="480">
        <f t="shared" si="34"/>
        <v>15</v>
      </c>
    </row>
    <row r="362" spans="2:8" x14ac:dyDescent="0.3">
      <c r="B362" s="479" t="s">
        <v>675</v>
      </c>
      <c r="C362" s="31">
        <v>732</v>
      </c>
      <c r="D362" s="434">
        <v>45704</v>
      </c>
      <c r="E362" s="435">
        <v>0</v>
      </c>
      <c r="F362" s="31">
        <v>40504</v>
      </c>
      <c r="G362" s="31">
        <v>85</v>
      </c>
      <c r="H362" s="480">
        <f t="shared" si="34"/>
        <v>14</v>
      </c>
    </row>
    <row r="363" spans="2:8" x14ac:dyDescent="0.3">
      <c r="B363" s="479" t="s">
        <v>675</v>
      </c>
      <c r="C363" s="31">
        <v>732</v>
      </c>
      <c r="D363" s="434">
        <v>45705</v>
      </c>
      <c r="E363" s="435">
        <v>0</v>
      </c>
      <c r="F363" s="31">
        <v>40504</v>
      </c>
      <c r="G363" s="31">
        <v>85</v>
      </c>
      <c r="H363" s="480">
        <f t="shared" si="34"/>
        <v>0</v>
      </c>
    </row>
    <row r="364" spans="2:8" x14ac:dyDescent="0.3">
      <c r="B364" s="479" t="s">
        <v>675</v>
      </c>
      <c r="C364" s="31">
        <v>732</v>
      </c>
      <c r="D364" s="434">
        <v>45706</v>
      </c>
      <c r="E364" s="435">
        <v>0</v>
      </c>
      <c r="F364" s="31">
        <v>40504</v>
      </c>
      <c r="G364" s="31">
        <v>85</v>
      </c>
      <c r="H364" s="480">
        <f t="shared" si="34"/>
        <v>0</v>
      </c>
    </row>
    <row r="365" spans="2:8" x14ac:dyDescent="0.3">
      <c r="B365" s="479" t="s">
        <v>675</v>
      </c>
      <c r="C365" s="31">
        <v>732</v>
      </c>
      <c r="D365" s="434">
        <v>45707</v>
      </c>
      <c r="E365" s="435">
        <v>0</v>
      </c>
      <c r="F365" s="31">
        <v>40504</v>
      </c>
      <c r="G365" s="31">
        <v>85</v>
      </c>
      <c r="H365" s="480">
        <f t="shared" si="34"/>
        <v>0</v>
      </c>
    </row>
    <row r="366" spans="2:8" x14ac:dyDescent="0.3">
      <c r="B366" s="479" t="s">
        <v>675</v>
      </c>
      <c r="C366" s="31">
        <v>732</v>
      </c>
      <c r="D366" s="434">
        <v>45708</v>
      </c>
      <c r="E366" s="435">
        <v>4.1666666666666699E-2</v>
      </c>
      <c r="F366" s="31">
        <v>40504</v>
      </c>
      <c r="G366" s="31">
        <v>85</v>
      </c>
      <c r="H366" s="480">
        <f t="shared" si="34"/>
        <v>0</v>
      </c>
    </row>
    <row r="367" spans="2:8" x14ac:dyDescent="0.3">
      <c r="B367" s="479" t="s">
        <v>675</v>
      </c>
      <c r="C367" s="31">
        <v>745</v>
      </c>
      <c r="D367" s="434">
        <v>45709</v>
      </c>
      <c r="E367" s="435">
        <v>0</v>
      </c>
      <c r="F367" s="31">
        <v>41232</v>
      </c>
      <c r="G367" s="31">
        <v>90</v>
      </c>
      <c r="H367" s="480">
        <f t="shared" si="34"/>
        <v>13</v>
      </c>
    </row>
    <row r="368" spans="2:8" x14ac:dyDescent="0.3">
      <c r="B368" s="479" t="s">
        <v>675</v>
      </c>
      <c r="C368" s="31">
        <v>753</v>
      </c>
      <c r="D368" s="434">
        <v>45710</v>
      </c>
      <c r="E368" s="435">
        <v>0</v>
      </c>
      <c r="F368" s="31">
        <v>41734</v>
      </c>
      <c r="G368" s="31">
        <v>91</v>
      </c>
      <c r="H368" s="480">
        <f t="shared" si="34"/>
        <v>8</v>
      </c>
    </row>
    <row r="369" spans="2:8" x14ac:dyDescent="0.3">
      <c r="B369" s="479" t="s">
        <v>675</v>
      </c>
      <c r="C369" s="31">
        <v>761</v>
      </c>
      <c r="D369" s="434">
        <v>45711</v>
      </c>
      <c r="E369" s="435">
        <v>0</v>
      </c>
      <c r="F369" s="31">
        <v>42198</v>
      </c>
      <c r="G369" s="31">
        <v>93</v>
      </c>
      <c r="H369" s="480">
        <f t="shared" si="34"/>
        <v>8</v>
      </c>
    </row>
    <row r="370" spans="2:8" x14ac:dyDescent="0.3">
      <c r="B370" s="479" t="s">
        <v>675</v>
      </c>
      <c r="C370" s="31">
        <v>776</v>
      </c>
      <c r="D370" s="434">
        <v>45712</v>
      </c>
      <c r="E370" s="435">
        <v>0</v>
      </c>
      <c r="F370" s="31">
        <v>43069</v>
      </c>
      <c r="G370" s="31">
        <v>93</v>
      </c>
      <c r="H370" s="480">
        <f t="shared" si="34"/>
        <v>15</v>
      </c>
    </row>
    <row r="371" spans="2:8" x14ac:dyDescent="0.3">
      <c r="B371" s="479" t="s">
        <v>675</v>
      </c>
      <c r="C371" s="31">
        <v>794</v>
      </c>
      <c r="D371" s="434">
        <v>45713</v>
      </c>
      <c r="E371" s="435">
        <v>0</v>
      </c>
      <c r="F371" s="31">
        <v>44150</v>
      </c>
      <c r="G371" s="31">
        <v>94</v>
      </c>
      <c r="H371" s="480">
        <f t="shared" si="34"/>
        <v>18</v>
      </c>
    </row>
    <row r="372" spans="2:8" x14ac:dyDescent="0.3">
      <c r="B372" s="479" t="s">
        <v>675</v>
      </c>
      <c r="C372" s="31">
        <v>811</v>
      </c>
      <c r="D372" s="434">
        <v>45714</v>
      </c>
      <c r="E372" s="435">
        <v>0</v>
      </c>
      <c r="F372" s="31">
        <v>45164</v>
      </c>
      <c r="G372" s="31">
        <v>96</v>
      </c>
      <c r="H372" s="480">
        <f t="shared" si="34"/>
        <v>17</v>
      </c>
    </row>
    <row r="373" spans="2:8" x14ac:dyDescent="0.3">
      <c r="B373" s="479" t="s">
        <v>675</v>
      </c>
      <c r="C373" s="31">
        <v>821</v>
      </c>
      <c r="D373" s="434">
        <v>45715</v>
      </c>
      <c r="E373" s="435">
        <v>0</v>
      </c>
      <c r="F373" s="31">
        <v>45738</v>
      </c>
      <c r="G373" s="31">
        <v>98</v>
      </c>
      <c r="H373" s="480">
        <f t="shared" si="34"/>
        <v>10</v>
      </c>
    </row>
    <row r="374" spans="2:8" x14ac:dyDescent="0.3">
      <c r="B374" s="479" t="s">
        <v>675</v>
      </c>
      <c r="C374" s="31">
        <v>837</v>
      </c>
      <c r="D374" s="434">
        <v>45716</v>
      </c>
      <c r="E374" s="435">
        <v>0</v>
      </c>
      <c r="F374" s="31">
        <v>46750</v>
      </c>
      <c r="G374" s="31">
        <v>99</v>
      </c>
      <c r="H374" s="480">
        <f t="shared" si="34"/>
        <v>16</v>
      </c>
    </row>
    <row r="375" spans="2:8" x14ac:dyDescent="0.3">
      <c r="B375" s="479" t="s">
        <v>675</v>
      </c>
      <c r="C375" s="31">
        <v>852</v>
      </c>
      <c r="D375" s="434">
        <v>45717</v>
      </c>
      <c r="E375" s="435">
        <v>0</v>
      </c>
      <c r="F375" s="31">
        <v>47631</v>
      </c>
      <c r="G375" s="31">
        <v>100</v>
      </c>
      <c r="H375" s="480">
        <f t="shared" si="34"/>
        <v>15</v>
      </c>
    </row>
    <row r="376" spans="2:8" x14ac:dyDescent="0.3">
      <c r="B376" s="479" t="s">
        <v>675</v>
      </c>
      <c r="C376" s="31">
        <v>852</v>
      </c>
      <c r="D376" s="434">
        <v>45718</v>
      </c>
      <c r="E376" s="435">
        <v>0</v>
      </c>
      <c r="F376" s="31">
        <v>47631</v>
      </c>
      <c r="G376" s="31">
        <v>100</v>
      </c>
      <c r="H376" s="480">
        <f t="shared" si="34"/>
        <v>0</v>
      </c>
    </row>
    <row r="377" spans="2:8" x14ac:dyDescent="0.3">
      <c r="B377" s="479" t="s">
        <v>675</v>
      </c>
      <c r="C377" s="31">
        <v>861</v>
      </c>
      <c r="D377" s="434">
        <v>45719</v>
      </c>
      <c r="E377" s="435">
        <v>4.1666666666666699E-2</v>
      </c>
      <c r="F377" s="31">
        <v>48172</v>
      </c>
      <c r="G377" s="31">
        <v>101</v>
      </c>
      <c r="H377" s="480">
        <f t="shared" si="34"/>
        <v>9</v>
      </c>
    </row>
    <row r="378" spans="2:8" x14ac:dyDescent="0.3">
      <c r="B378" s="479" t="s">
        <v>675</v>
      </c>
      <c r="C378" s="31">
        <v>880</v>
      </c>
      <c r="D378" s="434">
        <v>45720</v>
      </c>
      <c r="E378" s="435">
        <v>0</v>
      </c>
      <c r="F378" s="31">
        <v>49254</v>
      </c>
      <c r="G378" s="31">
        <v>102</v>
      </c>
      <c r="H378" s="480">
        <f t="shared" si="34"/>
        <v>19</v>
      </c>
    </row>
    <row r="379" spans="2:8" x14ac:dyDescent="0.3">
      <c r="B379" s="479" t="s">
        <v>675</v>
      </c>
      <c r="C379" s="31">
        <v>886</v>
      </c>
      <c r="D379" s="434">
        <v>45721</v>
      </c>
      <c r="E379" s="435">
        <v>0</v>
      </c>
      <c r="F379" s="31">
        <v>49640</v>
      </c>
      <c r="G379" s="31">
        <v>103</v>
      </c>
      <c r="H379" s="480">
        <f t="shared" si="34"/>
        <v>6</v>
      </c>
    </row>
    <row r="380" spans="2:8" x14ac:dyDescent="0.3">
      <c r="B380" s="479" t="s">
        <v>675</v>
      </c>
      <c r="C380" s="31">
        <v>886</v>
      </c>
      <c r="D380" s="434">
        <v>45722</v>
      </c>
      <c r="E380" s="435">
        <v>0</v>
      </c>
      <c r="F380" s="31">
        <v>49640</v>
      </c>
      <c r="G380" s="31">
        <v>103</v>
      </c>
      <c r="H380" s="480">
        <f t="shared" si="34"/>
        <v>0</v>
      </c>
    </row>
    <row r="381" spans="2:8" x14ac:dyDescent="0.3">
      <c r="B381" s="479" t="s">
        <v>675</v>
      </c>
      <c r="C381" s="31">
        <v>886</v>
      </c>
      <c r="D381" s="434">
        <v>45723</v>
      </c>
      <c r="E381" s="435">
        <v>0</v>
      </c>
      <c r="F381" s="31">
        <v>49640</v>
      </c>
      <c r="G381" s="31">
        <v>103</v>
      </c>
      <c r="H381" s="480">
        <f t="shared" si="34"/>
        <v>0</v>
      </c>
    </row>
    <row r="382" spans="2:8" x14ac:dyDescent="0.3">
      <c r="B382" s="479" t="s">
        <v>675</v>
      </c>
      <c r="C382" s="31">
        <v>886</v>
      </c>
      <c r="D382" s="434">
        <v>45724</v>
      </c>
      <c r="E382" s="435">
        <v>0</v>
      </c>
      <c r="F382" s="31">
        <v>49640</v>
      </c>
      <c r="G382" s="31">
        <v>103</v>
      </c>
      <c r="H382" s="480">
        <f t="shared" si="34"/>
        <v>0</v>
      </c>
    </row>
    <row r="383" spans="2:8" x14ac:dyDescent="0.3">
      <c r="B383" s="479" t="s">
        <v>675</v>
      </c>
      <c r="C383" s="31">
        <v>886</v>
      </c>
      <c r="D383" s="434">
        <v>45725</v>
      </c>
      <c r="E383" s="435">
        <v>0</v>
      </c>
      <c r="F383" s="31">
        <v>49640</v>
      </c>
      <c r="G383" s="31">
        <v>103</v>
      </c>
      <c r="H383" s="480">
        <f t="shared" si="34"/>
        <v>0</v>
      </c>
    </row>
    <row r="384" spans="2:8" x14ac:dyDescent="0.3">
      <c r="B384" s="479" t="s">
        <v>675</v>
      </c>
      <c r="C384" s="31">
        <v>886</v>
      </c>
      <c r="D384" s="434">
        <v>45726</v>
      </c>
      <c r="E384" s="435">
        <v>0</v>
      </c>
      <c r="F384" s="31">
        <v>49640</v>
      </c>
      <c r="G384" s="31">
        <v>103</v>
      </c>
      <c r="H384" s="480">
        <f t="shared" si="34"/>
        <v>0</v>
      </c>
    </row>
    <row r="385" spans="2:8" x14ac:dyDescent="0.3">
      <c r="B385" s="479" t="s">
        <v>675</v>
      </c>
      <c r="C385" s="31">
        <v>886</v>
      </c>
      <c r="D385" s="434">
        <v>45727</v>
      </c>
      <c r="E385" s="435">
        <v>0</v>
      </c>
      <c r="F385" s="31">
        <v>49640</v>
      </c>
      <c r="G385" s="31">
        <v>103</v>
      </c>
      <c r="H385" s="480">
        <f t="shared" si="34"/>
        <v>0</v>
      </c>
    </row>
    <row r="386" spans="2:8" x14ac:dyDescent="0.3">
      <c r="B386" s="479" t="s">
        <v>675</v>
      </c>
      <c r="C386" s="31">
        <v>899</v>
      </c>
      <c r="D386" s="434">
        <v>45728</v>
      </c>
      <c r="E386" s="435">
        <v>0</v>
      </c>
      <c r="F386" s="31">
        <v>50436</v>
      </c>
      <c r="G386" s="31">
        <v>104</v>
      </c>
      <c r="H386" s="480">
        <f t="shared" si="34"/>
        <v>13</v>
      </c>
    </row>
    <row r="387" spans="2:8" x14ac:dyDescent="0.3">
      <c r="B387" s="479" t="s">
        <v>675</v>
      </c>
      <c r="C387" s="31">
        <v>918</v>
      </c>
      <c r="D387" s="434">
        <v>45729</v>
      </c>
      <c r="E387" s="435">
        <v>0</v>
      </c>
      <c r="F387" s="31">
        <v>51580</v>
      </c>
      <c r="G387" s="31">
        <v>105</v>
      </c>
      <c r="H387" s="480">
        <f t="shared" ref="H387:H392" si="35">C387-C386</f>
        <v>19</v>
      </c>
    </row>
    <row r="388" spans="2:8" x14ac:dyDescent="0.3">
      <c r="B388" s="479" t="s">
        <v>675</v>
      </c>
      <c r="C388" s="31">
        <v>925</v>
      </c>
      <c r="D388" s="434">
        <v>45730</v>
      </c>
      <c r="E388" s="435">
        <v>0</v>
      </c>
      <c r="F388" s="31">
        <v>51963</v>
      </c>
      <c r="G388" s="31">
        <v>106</v>
      </c>
      <c r="H388" s="480">
        <f t="shared" si="35"/>
        <v>7</v>
      </c>
    </row>
    <row r="389" spans="2:8" x14ac:dyDescent="0.3">
      <c r="B389" s="479" t="s">
        <v>675</v>
      </c>
      <c r="C389" s="31">
        <v>925</v>
      </c>
      <c r="D389" s="434">
        <v>45731</v>
      </c>
      <c r="E389" s="435">
        <v>4.1666666666666699E-2</v>
      </c>
      <c r="F389" s="31">
        <v>51963</v>
      </c>
      <c r="G389" s="31">
        <v>106</v>
      </c>
      <c r="H389" s="480">
        <f t="shared" si="35"/>
        <v>0</v>
      </c>
    </row>
    <row r="390" spans="2:8" x14ac:dyDescent="0.3">
      <c r="B390" s="479" t="s">
        <v>675</v>
      </c>
      <c r="C390" s="31">
        <v>925</v>
      </c>
      <c r="D390" s="434">
        <v>45732</v>
      </c>
      <c r="E390" s="435">
        <v>0</v>
      </c>
      <c r="F390" s="31">
        <v>51963</v>
      </c>
      <c r="G390" s="31">
        <v>106</v>
      </c>
      <c r="H390" s="480">
        <f t="shared" si="35"/>
        <v>0</v>
      </c>
    </row>
    <row r="391" spans="2:8" x14ac:dyDescent="0.3">
      <c r="B391" s="479" t="s">
        <v>675</v>
      </c>
      <c r="C391" s="31">
        <v>925</v>
      </c>
      <c r="D391" s="434">
        <v>45733</v>
      </c>
      <c r="E391" s="435">
        <v>0</v>
      </c>
      <c r="F391" s="31">
        <v>51963</v>
      </c>
      <c r="G391" s="31">
        <v>106</v>
      </c>
      <c r="H391" s="480">
        <f t="shared" si="35"/>
        <v>0</v>
      </c>
    </row>
    <row r="392" spans="2:8" x14ac:dyDescent="0.3">
      <c r="B392" s="479" t="s">
        <v>675</v>
      </c>
      <c r="C392" s="31">
        <v>925</v>
      </c>
      <c r="D392" s="434">
        <v>45734</v>
      </c>
      <c r="E392" s="435">
        <v>0</v>
      </c>
      <c r="F392" s="31">
        <v>51963</v>
      </c>
      <c r="G392" s="31">
        <v>106</v>
      </c>
      <c r="H392" s="480">
        <f t="shared" si="35"/>
        <v>0</v>
      </c>
    </row>
    <row r="393" spans="2:8" x14ac:dyDescent="0.3">
      <c r="B393" s="479" t="s">
        <v>675</v>
      </c>
      <c r="C393" s="31">
        <v>925</v>
      </c>
      <c r="D393" s="434">
        <v>45735</v>
      </c>
      <c r="E393" s="435">
        <v>0</v>
      </c>
      <c r="F393" s="31">
        <v>51963</v>
      </c>
      <c r="G393" s="31">
        <v>106</v>
      </c>
      <c r="H393" s="480">
        <f t="shared" ref="H393:H424" si="36">C393-C392</f>
        <v>0</v>
      </c>
    </row>
    <row r="394" spans="2:8" x14ac:dyDescent="0.3">
      <c r="B394" s="479" t="s">
        <v>675</v>
      </c>
      <c r="C394" s="31">
        <v>925</v>
      </c>
      <c r="D394" s="434">
        <v>45736</v>
      </c>
      <c r="E394" s="435">
        <v>0</v>
      </c>
      <c r="F394" s="31">
        <v>51963</v>
      </c>
      <c r="G394" s="31">
        <v>106</v>
      </c>
      <c r="H394" s="480">
        <f t="shared" si="36"/>
        <v>0</v>
      </c>
    </row>
    <row r="395" spans="2:8" x14ac:dyDescent="0.3">
      <c r="B395" s="479" t="s">
        <v>675</v>
      </c>
      <c r="C395" s="31">
        <v>925</v>
      </c>
      <c r="D395" s="434">
        <v>45737</v>
      </c>
      <c r="E395" s="435">
        <v>0</v>
      </c>
      <c r="F395" s="31">
        <v>51963</v>
      </c>
      <c r="G395" s="31">
        <v>106</v>
      </c>
      <c r="H395" s="480">
        <f t="shared" si="36"/>
        <v>0</v>
      </c>
    </row>
    <row r="396" spans="2:8" x14ac:dyDescent="0.3">
      <c r="B396" s="479" t="s">
        <v>675</v>
      </c>
      <c r="C396" s="31">
        <v>928</v>
      </c>
      <c r="D396" s="434">
        <v>45738</v>
      </c>
      <c r="E396" s="435">
        <v>0</v>
      </c>
      <c r="F396" s="31">
        <f>F395+163</f>
        <v>52126</v>
      </c>
      <c r="G396" s="31">
        <v>107</v>
      </c>
      <c r="H396" s="480">
        <f t="shared" si="36"/>
        <v>3</v>
      </c>
    </row>
    <row r="397" spans="2:8" x14ac:dyDescent="0.3">
      <c r="B397" s="479" t="s">
        <v>675</v>
      </c>
      <c r="C397" s="31">
        <v>942</v>
      </c>
      <c r="D397" s="434">
        <v>45739</v>
      </c>
      <c r="E397" s="435">
        <v>0</v>
      </c>
      <c r="F397" s="31">
        <v>52994</v>
      </c>
      <c r="G397" s="31">
        <v>108</v>
      </c>
      <c r="H397" s="480">
        <f t="shared" si="36"/>
        <v>14</v>
      </c>
    </row>
    <row r="398" spans="2:8" x14ac:dyDescent="0.3">
      <c r="B398" s="479" t="s">
        <v>675</v>
      </c>
      <c r="C398" s="31">
        <v>943</v>
      </c>
      <c r="D398" s="434">
        <v>45740</v>
      </c>
      <c r="E398" s="435">
        <v>4.1666666666666699E-2</v>
      </c>
      <c r="F398" s="31">
        <v>53007</v>
      </c>
      <c r="G398" s="31">
        <v>108</v>
      </c>
      <c r="H398" s="480">
        <f t="shared" si="36"/>
        <v>1</v>
      </c>
    </row>
    <row r="399" spans="2:8" x14ac:dyDescent="0.3">
      <c r="B399" s="479" t="s">
        <v>675</v>
      </c>
      <c r="C399" s="31">
        <v>945</v>
      </c>
      <c r="D399" s="434">
        <v>45741</v>
      </c>
      <c r="E399" s="435">
        <v>8.3333333333333398E-2</v>
      </c>
      <c r="F399" s="31">
        <v>53034</v>
      </c>
      <c r="G399" s="31">
        <v>109</v>
      </c>
      <c r="H399" s="480">
        <f t="shared" si="36"/>
        <v>2</v>
      </c>
    </row>
    <row r="400" spans="2:8" x14ac:dyDescent="0.3">
      <c r="B400" s="479" t="s">
        <v>675</v>
      </c>
      <c r="C400" s="31">
        <v>949</v>
      </c>
      <c r="D400" s="434">
        <v>45742</v>
      </c>
      <c r="E400" s="435">
        <v>0</v>
      </c>
      <c r="F400" s="31">
        <v>53100</v>
      </c>
      <c r="G400" s="31">
        <v>110</v>
      </c>
      <c r="H400" s="480">
        <f t="shared" si="36"/>
        <v>4</v>
      </c>
    </row>
    <row r="401" spans="2:8" x14ac:dyDescent="0.3">
      <c r="B401" s="479" t="s">
        <v>675</v>
      </c>
      <c r="C401" s="31">
        <v>959</v>
      </c>
      <c r="D401" s="434">
        <v>45743</v>
      </c>
      <c r="E401" s="435">
        <v>0</v>
      </c>
      <c r="F401" s="31">
        <v>53164</v>
      </c>
      <c r="G401" s="31">
        <v>111</v>
      </c>
      <c r="H401" s="480">
        <f t="shared" si="36"/>
        <v>10</v>
      </c>
    </row>
    <row r="402" spans="2:8" x14ac:dyDescent="0.3">
      <c r="B402" s="479" t="s">
        <v>675</v>
      </c>
      <c r="C402" s="31">
        <v>968</v>
      </c>
      <c r="D402" s="434">
        <v>45744</v>
      </c>
      <c r="E402" s="435">
        <v>0</v>
      </c>
      <c r="F402" s="31">
        <v>53553</v>
      </c>
      <c r="G402" s="31">
        <v>112</v>
      </c>
      <c r="H402" s="480">
        <f t="shared" si="36"/>
        <v>9</v>
      </c>
    </row>
    <row r="403" spans="2:8" x14ac:dyDescent="0.3">
      <c r="B403" s="479" t="s">
        <v>675</v>
      </c>
      <c r="C403" s="31">
        <v>977</v>
      </c>
      <c r="D403" s="434">
        <v>45745</v>
      </c>
      <c r="E403" s="435">
        <v>0</v>
      </c>
      <c r="F403" s="31">
        <v>54001</v>
      </c>
      <c r="G403" s="31">
        <v>113</v>
      </c>
      <c r="H403" s="480">
        <f t="shared" si="36"/>
        <v>9</v>
      </c>
    </row>
    <row r="404" spans="2:8" x14ac:dyDescent="0.3">
      <c r="B404" s="479" t="s">
        <v>675</v>
      </c>
      <c r="C404" s="31">
        <v>983</v>
      </c>
      <c r="D404" s="434">
        <v>45746</v>
      </c>
      <c r="E404" s="435">
        <v>0</v>
      </c>
      <c r="F404" s="31">
        <v>54313</v>
      </c>
      <c r="G404" s="31">
        <v>114</v>
      </c>
      <c r="H404" s="480">
        <f t="shared" si="36"/>
        <v>6</v>
      </c>
    </row>
    <row r="405" spans="2:8" x14ac:dyDescent="0.3">
      <c r="B405" s="479" t="s">
        <v>675</v>
      </c>
      <c r="C405" s="31">
        <v>990</v>
      </c>
      <c r="D405" s="434">
        <v>45747</v>
      </c>
      <c r="E405" s="435">
        <v>0</v>
      </c>
      <c r="F405" s="31">
        <v>54649</v>
      </c>
      <c r="G405" s="31">
        <v>115</v>
      </c>
      <c r="H405" s="480">
        <f t="shared" si="36"/>
        <v>7</v>
      </c>
    </row>
    <row r="406" spans="2:8" x14ac:dyDescent="0.3">
      <c r="B406" s="479" t="s">
        <v>675</v>
      </c>
      <c r="C406" s="31">
        <v>998</v>
      </c>
      <c r="D406" s="434">
        <v>45748</v>
      </c>
      <c r="E406" s="435">
        <v>4.1666666666666699E-2</v>
      </c>
      <c r="F406" s="31">
        <v>55010</v>
      </c>
      <c r="G406" s="31">
        <v>116</v>
      </c>
      <c r="H406" s="480">
        <f t="shared" si="36"/>
        <v>8</v>
      </c>
    </row>
    <row r="407" spans="2:8" x14ac:dyDescent="0.3">
      <c r="B407" s="479" t="s">
        <v>675</v>
      </c>
      <c r="C407" s="31">
        <v>1008</v>
      </c>
      <c r="D407" s="434">
        <v>45749</v>
      </c>
      <c r="E407" s="435">
        <v>0</v>
      </c>
      <c r="F407" s="31">
        <v>55546</v>
      </c>
      <c r="G407" s="31">
        <v>117</v>
      </c>
      <c r="H407" s="480">
        <f t="shared" si="36"/>
        <v>10</v>
      </c>
    </row>
    <row r="408" spans="2:8" x14ac:dyDescent="0.3">
      <c r="B408" s="479" t="s">
        <v>675</v>
      </c>
      <c r="C408" s="31">
        <v>1010</v>
      </c>
      <c r="D408" s="434">
        <v>45750</v>
      </c>
      <c r="E408" s="435">
        <v>0</v>
      </c>
      <c r="F408" s="31">
        <v>55640</v>
      </c>
      <c r="G408" s="31">
        <v>118</v>
      </c>
      <c r="H408" s="480">
        <f t="shared" si="36"/>
        <v>2</v>
      </c>
    </row>
    <row r="409" spans="2:8" x14ac:dyDescent="0.3">
      <c r="B409" s="479" t="s">
        <v>675</v>
      </c>
      <c r="C409" s="31">
        <v>1020</v>
      </c>
      <c r="D409" s="434">
        <v>45751</v>
      </c>
      <c r="E409" s="435">
        <v>4.1666666666666699E-2</v>
      </c>
      <c r="F409" s="31">
        <v>56127</v>
      </c>
      <c r="G409" s="31">
        <v>119</v>
      </c>
      <c r="H409" s="480">
        <f t="shared" si="36"/>
        <v>10</v>
      </c>
    </row>
    <row r="410" spans="2:8" x14ac:dyDescent="0.3">
      <c r="B410" s="479" t="s">
        <v>675</v>
      </c>
      <c r="C410" s="31">
        <v>1020</v>
      </c>
      <c r="D410" s="434">
        <v>45752</v>
      </c>
      <c r="E410" s="435">
        <v>0</v>
      </c>
      <c r="F410" s="31">
        <v>56127</v>
      </c>
      <c r="G410" s="31">
        <v>119</v>
      </c>
      <c r="H410" s="480">
        <f t="shared" si="36"/>
        <v>0</v>
      </c>
    </row>
    <row r="411" spans="2:8" x14ac:dyDescent="0.3">
      <c r="B411" s="479" t="s">
        <v>675</v>
      </c>
      <c r="C411" s="31">
        <v>1028</v>
      </c>
      <c r="D411" s="434">
        <v>45753</v>
      </c>
      <c r="E411" s="435">
        <v>0</v>
      </c>
      <c r="F411" s="31">
        <v>56552</v>
      </c>
      <c r="G411" s="31">
        <v>120</v>
      </c>
      <c r="H411" s="480">
        <f t="shared" si="36"/>
        <v>8</v>
      </c>
    </row>
    <row r="412" spans="2:8" x14ac:dyDescent="0.3">
      <c r="B412" s="479" t="s">
        <v>675</v>
      </c>
      <c r="C412" s="31">
        <v>1028</v>
      </c>
      <c r="D412" s="434">
        <v>45754</v>
      </c>
      <c r="E412" s="435">
        <v>0</v>
      </c>
      <c r="F412" s="31">
        <v>56552</v>
      </c>
      <c r="G412" s="31">
        <v>120</v>
      </c>
      <c r="H412" s="480">
        <f t="shared" si="36"/>
        <v>0</v>
      </c>
    </row>
    <row r="413" spans="2:8" x14ac:dyDescent="0.3">
      <c r="B413" s="479" t="s">
        <v>675</v>
      </c>
      <c r="C413" s="31">
        <v>1030</v>
      </c>
      <c r="D413" s="434">
        <v>45755</v>
      </c>
      <c r="E413" s="435">
        <v>4.1666666666666699E-2</v>
      </c>
      <c r="F413" s="31">
        <v>56652</v>
      </c>
      <c r="G413" s="31">
        <v>121</v>
      </c>
      <c r="H413" s="480">
        <f t="shared" si="36"/>
        <v>2</v>
      </c>
    </row>
    <row r="414" spans="2:8" x14ac:dyDescent="0.3">
      <c r="B414" s="479" t="s">
        <v>675</v>
      </c>
      <c r="C414" s="31">
        <v>1042</v>
      </c>
      <c r="D414" s="434">
        <v>45756</v>
      </c>
      <c r="E414" s="435">
        <v>0</v>
      </c>
      <c r="F414" s="31">
        <v>57247</v>
      </c>
      <c r="G414" s="31">
        <v>122</v>
      </c>
      <c r="H414" s="480">
        <f t="shared" si="36"/>
        <v>12</v>
      </c>
    </row>
    <row r="415" spans="2:8" x14ac:dyDescent="0.3">
      <c r="B415" s="479" t="s">
        <v>675</v>
      </c>
      <c r="C415" s="31">
        <v>1042</v>
      </c>
      <c r="D415" s="434">
        <v>45757</v>
      </c>
      <c r="E415" s="435">
        <v>0</v>
      </c>
      <c r="F415" s="31">
        <v>57247</v>
      </c>
      <c r="G415" s="31">
        <v>122</v>
      </c>
      <c r="H415" s="480">
        <f t="shared" si="36"/>
        <v>0</v>
      </c>
    </row>
    <row r="416" spans="2:8" x14ac:dyDescent="0.3">
      <c r="B416" s="479" t="s">
        <v>675</v>
      </c>
      <c r="C416" s="31">
        <v>1042</v>
      </c>
      <c r="D416" s="434">
        <v>45758</v>
      </c>
      <c r="E416" s="435">
        <v>0</v>
      </c>
      <c r="F416" s="31">
        <v>57247</v>
      </c>
      <c r="G416" s="31">
        <v>123</v>
      </c>
      <c r="H416" s="480">
        <f t="shared" si="36"/>
        <v>0</v>
      </c>
    </row>
    <row r="417" spans="2:8" x14ac:dyDescent="0.3">
      <c r="B417" s="479" t="s">
        <v>675</v>
      </c>
      <c r="C417" s="31">
        <v>1052</v>
      </c>
      <c r="D417" s="434">
        <v>45759</v>
      </c>
      <c r="E417" s="435">
        <v>0</v>
      </c>
      <c r="F417" s="31">
        <v>57820</v>
      </c>
      <c r="G417" s="31">
        <v>124</v>
      </c>
      <c r="H417" s="480">
        <f t="shared" si="36"/>
        <v>10</v>
      </c>
    </row>
    <row r="418" spans="2:8" x14ac:dyDescent="0.3">
      <c r="B418" s="479" t="s">
        <v>675</v>
      </c>
      <c r="C418" s="31">
        <v>1062</v>
      </c>
      <c r="D418" s="434">
        <v>45760</v>
      </c>
      <c r="E418" s="435">
        <v>0</v>
      </c>
      <c r="F418" s="31">
        <v>58200</v>
      </c>
      <c r="G418" s="31">
        <v>125</v>
      </c>
      <c r="H418" s="480">
        <f t="shared" si="36"/>
        <v>10</v>
      </c>
    </row>
    <row r="419" spans="2:8" x14ac:dyDescent="0.3">
      <c r="B419" s="479" t="s">
        <v>675</v>
      </c>
      <c r="C419" s="31">
        <v>1066</v>
      </c>
      <c r="D419" s="434">
        <v>45761</v>
      </c>
      <c r="E419" s="435">
        <v>0</v>
      </c>
      <c r="F419" s="31">
        <v>58401</v>
      </c>
      <c r="G419" s="31">
        <v>126</v>
      </c>
      <c r="H419" s="480">
        <f t="shared" si="36"/>
        <v>4</v>
      </c>
    </row>
    <row r="420" spans="2:8" x14ac:dyDescent="0.3">
      <c r="B420" s="479" t="s">
        <v>675</v>
      </c>
      <c r="C420" s="31">
        <v>1076</v>
      </c>
      <c r="D420" s="434">
        <v>45762</v>
      </c>
      <c r="E420" s="435">
        <v>4.1666666666666699E-2</v>
      </c>
      <c r="F420" s="31">
        <v>58905</v>
      </c>
      <c r="G420" s="31">
        <v>127</v>
      </c>
      <c r="H420" s="480">
        <f t="shared" si="36"/>
        <v>10</v>
      </c>
    </row>
    <row r="421" spans="2:8" x14ac:dyDescent="0.3">
      <c r="B421" s="479" t="s">
        <v>675</v>
      </c>
      <c r="C421" s="31">
        <v>1088</v>
      </c>
      <c r="D421" s="434">
        <v>45763</v>
      </c>
      <c r="E421" s="435">
        <v>0</v>
      </c>
      <c r="F421" s="31">
        <v>59501</v>
      </c>
      <c r="G421" s="31">
        <v>128</v>
      </c>
      <c r="H421" s="480">
        <f t="shared" si="36"/>
        <v>12</v>
      </c>
    </row>
    <row r="422" spans="2:8" x14ac:dyDescent="0.3">
      <c r="B422" s="479" t="s">
        <v>675</v>
      </c>
      <c r="C422" s="31">
        <v>1102</v>
      </c>
      <c r="D422" s="434">
        <v>45764</v>
      </c>
      <c r="E422" s="435">
        <v>4.1666666666666699E-2</v>
      </c>
      <c r="F422" s="31">
        <v>60150</v>
      </c>
      <c r="G422" s="31">
        <v>129</v>
      </c>
      <c r="H422" s="480">
        <f t="shared" si="36"/>
        <v>14</v>
      </c>
    </row>
    <row r="423" spans="2:8" x14ac:dyDescent="0.3">
      <c r="B423" s="479" t="s">
        <v>675</v>
      </c>
      <c r="C423" s="31">
        <v>1114</v>
      </c>
      <c r="D423" s="434">
        <v>45765</v>
      </c>
      <c r="E423" s="435">
        <v>0</v>
      </c>
      <c r="F423" s="31">
        <v>60700</v>
      </c>
      <c r="G423" s="31">
        <v>130</v>
      </c>
      <c r="H423" s="480">
        <f t="shared" si="36"/>
        <v>12</v>
      </c>
    </row>
    <row r="424" spans="2:8" x14ac:dyDescent="0.3">
      <c r="B424" s="479" t="s">
        <v>675</v>
      </c>
      <c r="C424" s="31">
        <v>1123</v>
      </c>
      <c r="D424" s="434">
        <v>45766</v>
      </c>
      <c r="E424" s="435">
        <v>4.1666666666666699E-2</v>
      </c>
      <c r="F424" s="31">
        <v>61239</v>
      </c>
      <c r="G424" s="31">
        <v>131</v>
      </c>
      <c r="H424" s="480">
        <f t="shared" si="36"/>
        <v>9</v>
      </c>
    </row>
    <row r="425" spans="2:8" x14ac:dyDescent="0.3">
      <c r="B425" s="479" t="s">
        <v>675</v>
      </c>
      <c r="C425" s="31">
        <v>1135</v>
      </c>
      <c r="D425" s="434">
        <v>45767</v>
      </c>
      <c r="E425" s="435">
        <v>8.3333333333333398E-2</v>
      </c>
      <c r="F425" s="31">
        <v>61850</v>
      </c>
      <c r="G425" s="31">
        <v>132</v>
      </c>
      <c r="H425" s="480">
        <f t="shared" ref="H425:H461" si="37">C425-C424</f>
        <v>12</v>
      </c>
    </row>
    <row r="426" spans="2:8" x14ac:dyDescent="0.3">
      <c r="B426" s="479" t="s">
        <v>675</v>
      </c>
      <c r="C426" s="31">
        <v>1148</v>
      </c>
      <c r="D426" s="434">
        <v>45768</v>
      </c>
      <c r="E426" s="435">
        <v>0</v>
      </c>
      <c r="F426" s="31">
        <v>62448</v>
      </c>
      <c r="G426" s="31">
        <v>133</v>
      </c>
      <c r="H426" s="480">
        <f t="shared" si="37"/>
        <v>13</v>
      </c>
    </row>
    <row r="427" spans="2:8" x14ac:dyDescent="0.3">
      <c r="B427" s="479" t="s">
        <v>675</v>
      </c>
      <c r="C427" s="31">
        <v>1148</v>
      </c>
      <c r="D427" s="434">
        <v>45769</v>
      </c>
      <c r="E427" s="435">
        <v>0</v>
      </c>
      <c r="F427" s="31">
        <v>62448</v>
      </c>
      <c r="G427" s="31">
        <v>133</v>
      </c>
      <c r="H427" s="480">
        <f t="shared" si="37"/>
        <v>0</v>
      </c>
    </row>
    <row r="428" spans="2:8" x14ac:dyDescent="0.3">
      <c r="B428" s="479" t="s">
        <v>675</v>
      </c>
      <c r="C428" s="31">
        <v>1148</v>
      </c>
      <c r="D428" s="434">
        <v>45770</v>
      </c>
      <c r="E428" s="435">
        <v>0</v>
      </c>
      <c r="F428" s="31">
        <v>62448</v>
      </c>
      <c r="G428" s="31">
        <v>133</v>
      </c>
      <c r="H428" s="480">
        <f t="shared" si="37"/>
        <v>0</v>
      </c>
    </row>
    <row r="429" spans="2:8" x14ac:dyDescent="0.3">
      <c r="B429" s="479" t="s">
        <v>675</v>
      </c>
      <c r="C429" s="31">
        <v>1156</v>
      </c>
      <c r="D429" s="434">
        <v>45771</v>
      </c>
      <c r="E429" s="435">
        <v>4.1666666666666699E-2</v>
      </c>
      <c r="F429" s="31">
        <v>62890</v>
      </c>
      <c r="G429" s="31">
        <v>134</v>
      </c>
      <c r="H429" s="480">
        <f t="shared" si="37"/>
        <v>8</v>
      </c>
    </row>
    <row r="430" spans="2:8" x14ac:dyDescent="0.3">
      <c r="B430" s="479" t="s">
        <v>675</v>
      </c>
      <c r="C430" s="31">
        <v>1167</v>
      </c>
      <c r="D430" s="434">
        <v>45772</v>
      </c>
      <c r="E430" s="435">
        <v>0</v>
      </c>
      <c r="F430" s="31">
        <v>63335</v>
      </c>
      <c r="G430" s="31">
        <v>135</v>
      </c>
      <c r="H430" s="480">
        <f t="shared" si="37"/>
        <v>11</v>
      </c>
    </row>
    <row r="431" spans="2:8" x14ac:dyDescent="0.3">
      <c r="B431" s="479" t="s">
        <v>675</v>
      </c>
      <c r="C431" s="31">
        <v>1177</v>
      </c>
      <c r="D431" s="434">
        <v>45773</v>
      </c>
      <c r="E431" s="435">
        <v>0</v>
      </c>
      <c r="F431" s="31">
        <v>63915</v>
      </c>
      <c r="G431" s="31">
        <v>136</v>
      </c>
      <c r="H431" s="480">
        <f t="shared" si="37"/>
        <v>10</v>
      </c>
    </row>
    <row r="432" spans="2:8" x14ac:dyDescent="0.3">
      <c r="B432" s="479" t="s">
        <v>675</v>
      </c>
      <c r="C432" s="31">
        <v>1189</v>
      </c>
      <c r="D432" s="434">
        <v>45774</v>
      </c>
      <c r="E432" s="435">
        <v>0</v>
      </c>
      <c r="F432" s="31">
        <v>64513</v>
      </c>
      <c r="G432" s="31">
        <v>137</v>
      </c>
      <c r="H432" s="480">
        <f t="shared" si="37"/>
        <v>12</v>
      </c>
    </row>
    <row r="433" spans="2:9" x14ac:dyDescent="0.3">
      <c r="B433" s="479" t="s">
        <v>675</v>
      </c>
      <c r="C433" s="31">
        <v>1189</v>
      </c>
      <c r="D433" s="434">
        <v>45775</v>
      </c>
      <c r="E433" s="435">
        <v>4.1666666666666699E-2</v>
      </c>
      <c r="F433" s="31">
        <v>64513</v>
      </c>
      <c r="G433" s="31">
        <v>137</v>
      </c>
      <c r="H433" s="480">
        <f t="shared" si="37"/>
        <v>0</v>
      </c>
    </row>
    <row r="434" spans="2:9" x14ac:dyDescent="0.3">
      <c r="B434" s="479" t="s">
        <v>675</v>
      </c>
      <c r="C434" s="31">
        <v>1190</v>
      </c>
      <c r="D434" s="434">
        <v>45776</v>
      </c>
      <c r="E434" s="435">
        <v>0</v>
      </c>
      <c r="F434" s="31">
        <v>64533</v>
      </c>
      <c r="G434" s="31">
        <v>138</v>
      </c>
      <c r="H434" s="480">
        <f t="shared" si="37"/>
        <v>1</v>
      </c>
    </row>
    <row r="435" spans="2:9" x14ac:dyDescent="0.3">
      <c r="B435" s="479" t="s">
        <v>675</v>
      </c>
      <c r="C435" s="31">
        <v>1197</v>
      </c>
      <c r="D435" s="434">
        <v>45777</v>
      </c>
      <c r="E435" s="435">
        <v>0</v>
      </c>
      <c r="F435" s="31">
        <v>64896</v>
      </c>
      <c r="G435" s="31">
        <v>139</v>
      </c>
      <c r="H435" s="480">
        <f t="shared" si="37"/>
        <v>7</v>
      </c>
    </row>
    <row r="436" spans="2:9" x14ac:dyDescent="0.3">
      <c r="B436" s="479" t="s">
        <v>675</v>
      </c>
      <c r="C436" s="31">
        <v>1197</v>
      </c>
      <c r="D436" s="434">
        <v>45778</v>
      </c>
      <c r="E436" s="435">
        <v>0</v>
      </c>
      <c r="F436" s="31">
        <v>64896</v>
      </c>
      <c r="G436" s="31">
        <v>139</v>
      </c>
      <c r="H436" s="480">
        <f t="shared" si="37"/>
        <v>0</v>
      </c>
    </row>
    <row r="437" spans="2:9" x14ac:dyDescent="0.3">
      <c r="B437" s="479" t="s">
        <v>675</v>
      </c>
      <c r="C437" s="31">
        <v>1207</v>
      </c>
      <c r="D437" s="434">
        <v>45779</v>
      </c>
      <c r="E437" s="435">
        <v>0</v>
      </c>
      <c r="F437" s="31">
        <v>65354</v>
      </c>
      <c r="G437" s="31">
        <v>140</v>
      </c>
      <c r="H437" s="480">
        <f t="shared" si="37"/>
        <v>10</v>
      </c>
    </row>
    <row r="438" spans="2:9" x14ac:dyDescent="0.3">
      <c r="B438" s="479" t="s">
        <v>675</v>
      </c>
      <c r="C438" s="31">
        <v>1213</v>
      </c>
      <c r="D438" s="434">
        <v>45780</v>
      </c>
      <c r="E438" s="435">
        <v>0</v>
      </c>
      <c r="F438" s="31">
        <v>65697</v>
      </c>
      <c r="G438" s="31">
        <v>141</v>
      </c>
      <c r="H438" s="480">
        <f t="shared" si="37"/>
        <v>6</v>
      </c>
    </row>
    <row r="439" spans="2:9" x14ac:dyDescent="0.3">
      <c r="B439" s="479" t="s">
        <v>675</v>
      </c>
      <c r="C439" s="31">
        <v>1213</v>
      </c>
      <c r="D439" s="434">
        <v>45781</v>
      </c>
      <c r="E439" s="435">
        <v>0</v>
      </c>
      <c r="F439" s="31">
        <v>65697</v>
      </c>
      <c r="G439" s="31">
        <v>141</v>
      </c>
      <c r="H439" s="480">
        <f t="shared" si="37"/>
        <v>0</v>
      </c>
    </row>
    <row r="440" spans="2:9" x14ac:dyDescent="0.3">
      <c r="B440" s="479" t="s">
        <v>675</v>
      </c>
      <c r="C440" s="31">
        <v>1224</v>
      </c>
      <c r="D440" s="434">
        <v>45782</v>
      </c>
      <c r="E440" s="435">
        <v>0</v>
      </c>
      <c r="F440" s="31">
        <v>66300</v>
      </c>
      <c r="G440" s="31">
        <v>144</v>
      </c>
      <c r="H440" s="480">
        <f t="shared" si="37"/>
        <v>11</v>
      </c>
    </row>
    <row r="441" spans="2:9" x14ac:dyDescent="0.3">
      <c r="B441" s="479" t="s">
        <v>675</v>
      </c>
      <c r="C441" s="31">
        <v>1234</v>
      </c>
      <c r="D441" s="434">
        <v>45783</v>
      </c>
      <c r="E441" s="435">
        <v>0</v>
      </c>
      <c r="F441" s="31">
        <v>66897</v>
      </c>
      <c r="G441" s="31">
        <v>146</v>
      </c>
      <c r="H441" s="480">
        <f t="shared" si="37"/>
        <v>10</v>
      </c>
    </row>
    <row r="442" spans="2:9" x14ac:dyDescent="0.3">
      <c r="B442" s="479" t="s">
        <v>675</v>
      </c>
      <c r="C442" s="31">
        <v>1234</v>
      </c>
      <c r="D442" s="434">
        <v>45784</v>
      </c>
      <c r="E442" s="435">
        <v>0</v>
      </c>
      <c r="F442" s="31">
        <v>66897</v>
      </c>
      <c r="G442" s="31">
        <v>146</v>
      </c>
      <c r="H442" s="480">
        <f t="shared" si="37"/>
        <v>0</v>
      </c>
    </row>
    <row r="443" spans="2:9" x14ac:dyDescent="0.3">
      <c r="B443" s="479" t="s">
        <v>675</v>
      </c>
      <c r="C443" s="31">
        <v>1234</v>
      </c>
      <c r="D443" s="434">
        <v>45785</v>
      </c>
      <c r="E443" s="435">
        <v>0</v>
      </c>
      <c r="F443" s="31">
        <v>66897</v>
      </c>
      <c r="G443" s="31">
        <v>146</v>
      </c>
      <c r="H443" s="480">
        <f t="shared" si="37"/>
        <v>0</v>
      </c>
    </row>
    <row r="444" spans="2:9" x14ac:dyDescent="0.3">
      <c r="B444" s="479" t="s">
        <v>675</v>
      </c>
      <c r="C444" s="31">
        <v>1234</v>
      </c>
      <c r="D444" s="434">
        <v>45786</v>
      </c>
      <c r="E444" s="435">
        <v>4.1666666666666699E-2</v>
      </c>
      <c r="F444" s="31">
        <v>66897</v>
      </c>
      <c r="G444" s="31">
        <v>146</v>
      </c>
      <c r="H444" s="480">
        <f t="shared" si="37"/>
        <v>0</v>
      </c>
      <c r="I444" t="s">
        <v>1080</v>
      </c>
    </row>
    <row r="445" spans="2:9" x14ac:dyDescent="0.3">
      <c r="B445" s="479" t="s">
        <v>675</v>
      </c>
      <c r="C445" s="31">
        <v>1234</v>
      </c>
      <c r="D445" s="434">
        <v>45787</v>
      </c>
      <c r="E445" s="435">
        <v>0</v>
      </c>
      <c r="F445" s="31">
        <v>66897</v>
      </c>
      <c r="G445" s="31">
        <v>146</v>
      </c>
      <c r="H445" s="480">
        <f t="shared" si="37"/>
        <v>0</v>
      </c>
    </row>
    <row r="446" spans="2:9" x14ac:dyDescent="0.3">
      <c r="B446" s="479" t="s">
        <v>675</v>
      </c>
      <c r="C446" s="31">
        <v>1234</v>
      </c>
      <c r="D446" s="434">
        <v>45788</v>
      </c>
      <c r="E446" s="435">
        <v>0</v>
      </c>
      <c r="F446" s="31">
        <v>66897</v>
      </c>
      <c r="G446" s="31">
        <v>146</v>
      </c>
      <c r="H446" s="480">
        <f t="shared" si="37"/>
        <v>0</v>
      </c>
    </row>
    <row r="447" spans="2:9" x14ac:dyDescent="0.3">
      <c r="B447" s="479" t="s">
        <v>675</v>
      </c>
      <c r="C447" s="31">
        <v>1234</v>
      </c>
      <c r="D447" s="434">
        <v>45789</v>
      </c>
      <c r="E447" s="435">
        <v>4.1666666666666699E-2</v>
      </c>
      <c r="F447" s="31">
        <v>66897</v>
      </c>
      <c r="G447" s="31">
        <v>146</v>
      </c>
      <c r="H447" s="480">
        <f t="shared" si="37"/>
        <v>0</v>
      </c>
    </row>
    <row r="448" spans="2:9" x14ac:dyDescent="0.3">
      <c r="B448" s="479" t="s">
        <v>675</v>
      </c>
      <c r="C448" s="31">
        <v>1234</v>
      </c>
      <c r="D448" s="434">
        <v>45790</v>
      </c>
      <c r="E448" s="435">
        <v>0</v>
      </c>
      <c r="F448" s="31">
        <v>66897</v>
      </c>
      <c r="G448" s="31">
        <v>146</v>
      </c>
      <c r="H448" s="480">
        <f t="shared" si="37"/>
        <v>0</v>
      </c>
    </row>
    <row r="449" spans="2:8" x14ac:dyDescent="0.3">
      <c r="B449" s="479" t="s">
        <v>675</v>
      </c>
      <c r="C449" s="31">
        <v>1234</v>
      </c>
      <c r="D449" s="434">
        <v>45791</v>
      </c>
      <c r="E449" s="435">
        <v>0</v>
      </c>
      <c r="F449" s="31">
        <v>66897</v>
      </c>
      <c r="G449" s="31">
        <v>146</v>
      </c>
      <c r="H449" s="480">
        <f t="shared" si="37"/>
        <v>0</v>
      </c>
    </row>
    <row r="450" spans="2:8" x14ac:dyDescent="0.3">
      <c r="B450" s="479" t="s">
        <v>675</v>
      </c>
      <c r="C450" s="31">
        <v>1234</v>
      </c>
      <c r="D450" s="434">
        <v>45792</v>
      </c>
      <c r="E450" s="435">
        <v>4.1666666666666699E-2</v>
      </c>
      <c r="F450" s="31">
        <v>66897</v>
      </c>
      <c r="G450" s="31">
        <v>146</v>
      </c>
      <c r="H450" s="480">
        <f t="shared" si="37"/>
        <v>0</v>
      </c>
    </row>
    <row r="451" spans="2:8" x14ac:dyDescent="0.3">
      <c r="B451" s="479" t="s">
        <v>675</v>
      </c>
      <c r="C451" s="31">
        <v>1243</v>
      </c>
      <c r="D451" s="434">
        <v>45793</v>
      </c>
      <c r="E451" s="435">
        <v>8.3333333333333398E-2</v>
      </c>
      <c r="F451" s="31">
        <v>67407</v>
      </c>
      <c r="G451" s="31">
        <v>148</v>
      </c>
      <c r="H451" s="480">
        <f t="shared" si="37"/>
        <v>9</v>
      </c>
    </row>
    <row r="452" spans="2:8" x14ac:dyDescent="0.3">
      <c r="B452" s="479" t="s">
        <v>675</v>
      </c>
      <c r="C452" s="31">
        <v>1260</v>
      </c>
      <c r="D452" s="434">
        <v>45794</v>
      </c>
      <c r="E452" s="435">
        <v>0</v>
      </c>
      <c r="F452" s="31">
        <v>68100</v>
      </c>
      <c r="G452" s="31">
        <v>150</v>
      </c>
      <c r="H452" s="480">
        <f t="shared" si="37"/>
        <v>17</v>
      </c>
    </row>
    <row r="453" spans="2:8" x14ac:dyDescent="0.3">
      <c r="B453" s="479" t="s">
        <v>675</v>
      </c>
      <c r="C453" s="31">
        <v>1283</v>
      </c>
      <c r="D453" s="434">
        <v>45795</v>
      </c>
      <c r="E453" s="435">
        <v>0</v>
      </c>
      <c r="F453" s="31">
        <v>68980</v>
      </c>
      <c r="G453" s="31">
        <v>151</v>
      </c>
      <c r="H453" s="480">
        <f t="shared" si="37"/>
        <v>23</v>
      </c>
    </row>
    <row r="454" spans="2:8" x14ac:dyDescent="0.3">
      <c r="B454" s="479" t="s">
        <v>675</v>
      </c>
      <c r="C454" s="31">
        <v>1300</v>
      </c>
      <c r="D454" s="434">
        <v>45796</v>
      </c>
      <c r="E454" s="435">
        <v>0</v>
      </c>
      <c r="F454" s="31">
        <v>69996</v>
      </c>
      <c r="G454" s="31">
        <v>152</v>
      </c>
      <c r="H454" s="480">
        <f t="shared" si="37"/>
        <v>17</v>
      </c>
    </row>
    <row r="455" spans="2:8" x14ac:dyDescent="0.3">
      <c r="B455" s="479" t="s">
        <v>675</v>
      </c>
      <c r="C455" s="31">
        <v>1317</v>
      </c>
      <c r="D455" s="434">
        <v>45797</v>
      </c>
      <c r="E455" s="435">
        <v>0</v>
      </c>
      <c r="F455" s="31">
        <v>71014</v>
      </c>
      <c r="G455" s="31">
        <v>153</v>
      </c>
      <c r="H455" s="480">
        <f t="shared" si="37"/>
        <v>17</v>
      </c>
    </row>
    <row r="456" spans="2:8" x14ac:dyDescent="0.3">
      <c r="B456" s="479" t="s">
        <v>675</v>
      </c>
      <c r="C456" s="31">
        <v>1323</v>
      </c>
      <c r="D456" s="434">
        <v>45798</v>
      </c>
      <c r="E456" s="435">
        <v>4.1666666666666699E-2</v>
      </c>
      <c r="F456" s="31">
        <v>71338</v>
      </c>
      <c r="G456" s="31">
        <v>154</v>
      </c>
      <c r="H456" s="480">
        <f t="shared" si="37"/>
        <v>6</v>
      </c>
    </row>
    <row r="457" spans="2:8" x14ac:dyDescent="0.3">
      <c r="B457" s="479" t="s">
        <v>675</v>
      </c>
      <c r="C457" s="31">
        <v>1323</v>
      </c>
      <c r="D457" s="434">
        <v>45799</v>
      </c>
      <c r="E457" s="435">
        <v>0</v>
      </c>
      <c r="F457" s="31">
        <v>71338</v>
      </c>
      <c r="G457" s="31">
        <v>154</v>
      </c>
      <c r="H457" s="480">
        <f t="shared" si="37"/>
        <v>0</v>
      </c>
    </row>
    <row r="458" spans="2:8" x14ac:dyDescent="0.3">
      <c r="B458" s="479" t="s">
        <v>675</v>
      </c>
      <c r="C458" s="31">
        <v>1323</v>
      </c>
      <c r="D458" s="434">
        <v>45800</v>
      </c>
      <c r="E458" s="435">
        <v>4.1666666666666699E-2</v>
      </c>
      <c r="F458" s="31">
        <v>71338</v>
      </c>
      <c r="G458" s="31">
        <v>154</v>
      </c>
      <c r="H458" s="480">
        <f t="shared" si="37"/>
        <v>0</v>
      </c>
    </row>
    <row r="459" spans="2:8" x14ac:dyDescent="0.3">
      <c r="B459" s="479" t="s">
        <v>675</v>
      </c>
      <c r="C459" s="31">
        <v>1323</v>
      </c>
      <c r="D459" s="434">
        <v>45801</v>
      </c>
      <c r="E459" s="435">
        <v>0</v>
      </c>
      <c r="F459" s="31">
        <v>71338</v>
      </c>
      <c r="G459" s="31">
        <v>154</v>
      </c>
      <c r="H459" s="480">
        <f t="shared" si="37"/>
        <v>0</v>
      </c>
    </row>
    <row r="460" spans="2:8" x14ac:dyDescent="0.3">
      <c r="B460" s="479" t="s">
        <v>675</v>
      </c>
      <c r="C460" s="31">
        <v>1323</v>
      </c>
      <c r="D460" s="434">
        <v>45802</v>
      </c>
      <c r="E460" s="435">
        <v>0</v>
      </c>
      <c r="F460" s="31">
        <v>71338</v>
      </c>
      <c r="G460" s="31">
        <v>154</v>
      </c>
      <c r="H460" s="480">
        <f t="shared" si="37"/>
        <v>0</v>
      </c>
    </row>
    <row r="461" spans="2:8" x14ac:dyDescent="0.3">
      <c r="B461" s="479" t="s">
        <v>675</v>
      </c>
      <c r="C461" s="31">
        <v>1324</v>
      </c>
      <c r="D461" s="434">
        <v>45803</v>
      </c>
      <c r="E461" s="435">
        <v>0</v>
      </c>
      <c r="F461" s="31">
        <v>71338</v>
      </c>
      <c r="G461" s="31">
        <v>154</v>
      </c>
      <c r="H461" s="480">
        <f t="shared" si="37"/>
        <v>1</v>
      </c>
    </row>
    <row r="462" spans="2:8" x14ac:dyDescent="0.3">
      <c r="B462" s="479" t="s">
        <v>675</v>
      </c>
      <c r="C462" s="31">
        <v>1324</v>
      </c>
      <c r="D462" s="434">
        <v>45804</v>
      </c>
      <c r="E462" s="435">
        <v>0</v>
      </c>
      <c r="F462" s="31">
        <v>71338</v>
      </c>
      <c r="G462" s="31">
        <v>154</v>
      </c>
      <c r="H462" s="480">
        <f t="shared" ref="H462:H468" si="38">C462-C461</f>
        <v>0</v>
      </c>
    </row>
    <row r="463" spans="2:8" x14ac:dyDescent="0.3">
      <c r="B463" s="479" t="s">
        <v>675</v>
      </c>
      <c r="C463" s="31">
        <v>1324</v>
      </c>
      <c r="D463" s="434">
        <v>45805</v>
      </c>
      <c r="E463" s="435">
        <v>0</v>
      </c>
      <c r="F463" s="31">
        <v>71338</v>
      </c>
      <c r="G463" s="31">
        <v>154</v>
      </c>
      <c r="H463" s="480">
        <f t="shared" si="38"/>
        <v>0</v>
      </c>
    </row>
    <row r="464" spans="2:8" x14ac:dyDescent="0.3">
      <c r="B464" s="479" t="s">
        <v>675</v>
      </c>
      <c r="C464" s="31">
        <v>1324</v>
      </c>
      <c r="D464" s="434">
        <v>45806</v>
      </c>
      <c r="E464" s="435">
        <v>0</v>
      </c>
      <c r="F464" s="31">
        <v>71338</v>
      </c>
      <c r="G464" s="31">
        <v>154</v>
      </c>
      <c r="H464" s="480">
        <f t="shared" si="38"/>
        <v>0</v>
      </c>
    </row>
    <row r="465" spans="2:11" x14ac:dyDescent="0.3">
      <c r="B465" s="479" t="s">
        <v>675</v>
      </c>
      <c r="C465" s="31">
        <v>1324</v>
      </c>
      <c r="D465" s="434">
        <v>45807</v>
      </c>
      <c r="E465" s="435">
        <v>0</v>
      </c>
      <c r="F465" s="31">
        <v>71338</v>
      </c>
      <c r="G465" s="31">
        <v>154</v>
      </c>
      <c r="H465" s="480">
        <f t="shared" si="38"/>
        <v>0</v>
      </c>
    </row>
    <row r="466" spans="2:11" x14ac:dyDescent="0.3">
      <c r="B466" s="479" t="s">
        <v>675</v>
      </c>
      <c r="C466" s="31">
        <v>1324</v>
      </c>
      <c r="D466" s="434">
        <v>45808</v>
      </c>
      <c r="E466" s="435">
        <v>0</v>
      </c>
      <c r="F466" s="31">
        <v>71338</v>
      </c>
      <c r="G466" s="31">
        <v>154</v>
      </c>
      <c r="H466" s="480">
        <f t="shared" si="38"/>
        <v>0</v>
      </c>
      <c r="I466" t="s">
        <v>1112</v>
      </c>
    </row>
    <row r="467" spans="2:11" x14ac:dyDescent="0.3">
      <c r="B467" s="479" t="s">
        <v>675</v>
      </c>
      <c r="C467" s="31">
        <v>1324</v>
      </c>
      <c r="D467" s="434">
        <v>45809</v>
      </c>
      <c r="E467" s="435">
        <v>0</v>
      </c>
      <c r="F467" s="31">
        <v>71338</v>
      </c>
      <c r="G467" s="31">
        <v>154</v>
      </c>
      <c r="H467" s="480">
        <f t="shared" si="38"/>
        <v>0</v>
      </c>
    </row>
    <row r="468" spans="2:11" x14ac:dyDescent="0.3">
      <c r="B468" s="479" t="s">
        <v>675</v>
      </c>
      <c r="C468" s="31">
        <v>1324</v>
      </c>
      <c r="D468" s="434">
        <v>45810</v>
      </c>
      <c r="E468" s="435">
        <v>0</v>
      </c>
      <c r="F468" s="31">
        <v>71338</v>
      </c>
      <c r="G468" s="31">
        <v>154</v>
      </c>
      <c r="H468" s="480">
        <f t="shared" si="38"/>
        <v>0</v>
      </c>
    </row>
    <row r="469" spans="2:11" x14ac:dyDescent="0.3">
      <c r="B469" s="479" t="s">
        <v>675</v>
      </c>
      <c r="C469" s="31">
        <v>1324</v>
      </c>
      <c r="D469" s="434">
        <v>45811</v>
      </c>
      <c r="E469" s="435">
        <v>0</v>
      </c>
      <c r="F469" s="31">
        <v>71338</v>
      </c>
      <c r="G469" s="31">
        <v>154</v>
      </c>
      <c r="H469" s="480">
        <f t="shared" ref="H469:H476" si="39">C469-C468</f>
        <v>0</v>
      </c>
    </row>
    <row r="470" spans="2:11" x14ac:dyDescent="0.3">
      <c r="B470" s="479" t="s">
        <v>675</v>
      </c>
      <c r="C470" s="31">
        <v>1324</v>
      </c>
      <c r="D470" s="434">
        <v>45812</v>
      </c>
      <c r="E470" s="435">
        <v>0</v>
      </c>
      <c r="F470" s="31">
        <v>71338</v>
      </c>
      <c r="G470" s="31">
        <v>154</v>
      </c>
      <c r="H470" s="480">
        <f t="shared" si="39"/>
        <v>0</v>
      </c>
    </row>
    <row r="471" spans="2:11" x14ac:dyDescent="0.3">
      <c r="B471" s="479" t="s">
        <v>675</v>
      </c>
      <c r="C471" s="31">
        <v>1324</v>
      </c>
      <c r="D471" s="434">
        <v>45813</v>
      </c>
      <c r="E471" s="435">
        <v>0</v>
      </c>
      <c r="F471" s="31">
        <v>71338</v>
      </c>
      <c r="G471" s="31">
        <v>154</v>
      </c>
      <c r="H471" s="480">
        <f t="shared" si="39"/>
        <v>0</v>
      </c>
    </row>
    <row r="472" spans="2:11" x14ac:dyDescent="0.3">
      <c r="B472" s="479" t="s">
        <v>675</v>
      </c>
      <c r="C472" s="31">
        <v>1324</v>
      </c>
      <c r="D472" s="434">
        <v>45814</v>
      </c>
      <c r="E472" s="435">
        <v>0</v>
      </c>
      <c r="F472" s="31">
        <v>71338</v>
      </c>
      <c r="G472" s="31">
        <v>154</v>
      </c>
      <c r="H472" s="480">
        <f t="shared" si="39"/>
        <v>0</v>
      </c>
    </row>
    <row r="473" spans="2:11" x14ac:dyDescent="0.3">
      <c r="B473" s="479" t="s">
        <v>675</v>
      </c>
      <c r="C473" s="31">
        <v>1324</v>
      </c>
      <c r="D473" s="434">
        <v>45815</v>
      </c>
      <c r="E473" s="435">
        <v>0</v>
      </c>
      <c r="F473" s="31">
        <v>71338</v>
      </c>
      <c r="G473" s="31">
        <v>154</v>
      </c>
      <c r="H473" s="480">
        <f t="shared" si="39"/>
        <v>0</v>
      </c>
    </row>
    <row r="474" spans="2:11" x14ac:dyDescent="0.3">
      <c r="B474" s="479" t="s">
        <v>675</v>
      </c>
      <c r="C474" s="31">
        <v>1324</v>
      </c>
      <c r="D474" s="434">
        <v>45816</v>
      </c>
      <c r="E474" s="435">
        <v>0</v>
      </c>
      <c r="F474" s="31">
        <v>71338</v>
      </c>
      <c r="G474" s="31">
        <v>154</v>
      </c>
      <c r="H474" s="480">
        <f t="shared" si="39"/>
        <v>0</v>
      </c>
    </row>
    <row r="475" spans="2:11" x14ac:dyDescent="0.3">
      <c r="B475" s="479" t="s">
        <v>675</v>
      </c>
      <c r="C475" s="31">
        <v>1324</v>
      </c>
      <c r="D475" s="434">
        <v>45817</v>
      </c>
      <c r="E475" s="435">
        <v>0</v>
      </c>
      <c r="F475" s="31">
        <v>71338</v>
      </c>
      <c r="G475" s="31">
        <v>154</v>
      </c>
      <c r="H475" s="480">
        <f t="shared" si="39"/>
        <v>0</v>
      </c>
    </row>
    <row r="476" spans="2:11" x14ac:dyDescent="0.3">
      <c r="B476" s="479" t="s">
        <v>675</v>
      </c>
      <c r="C476" s="31">
        <v>1355</v>
      </c>
      <c r="D476" s="434">
        <v>45818</v>
      </c>
      <c r="E476" s="435">
        <v>0</v>
      </c>
      <c r="F476" s="31">
        <v>73108</v>
      </c>
      <c r="G476" s="31">
        <v>159</v>
      </c>
      <c r="H476" s="480">
        <f t="shared" si="39"/>
        <v>31</v>
      </c>
    </row>
    <row r="477" spans="2:11" x14ac:dyDescent="0.3">
      <c r="B477" s="479" t="s">
        <v>675</v>
      </c>
      <c r="C477" s="31">
        <v>1355</v>
      </c>
      <c r="D477" s="434">
        <v>45819</v>
      </c>
      <c r="E477" s="435">
        <v>0</v>
      </c>
      <c r="F477" s="31">
        <v>73108</v>
      </c>
      <c r="G477" s="31">
        <v>159</v>
      </c>
      <c r="H477" s="480">
        <f t="shared" ref="H477:H503" si="40">C477-C476</f>
        <v>0</v>
      </c>
      <c r="I477" t="s">
        <v>1111</v>
      </c>
    </row>
    <row r="478" spans="2:11" x14ac:dyDescent="0.3">
      <c r="B478" s="479" t="s">
        <v>675</v>
      </c>
      <c r="C478" s="31">
        <v>1370</v>
      </c>
      <c r="D478" s="434">
        <v>45820</v>
      </c>
      <c r="E478" s="435">
        <v>4.1666666666666699E-2</v>
      </c>
      <c r="F478" s="31">
        <f>F477+825</f>
        <v>73933</v>
      </c>
      <c r="G478" s="31">
        <v>163</v>
      </c>
      <c r="H478" s="480">
        <f t="shared" si="40"/>
        <v>15</v>
      </c>
      <c r="K478">
        <f>15*55</f>
        <v>825</v>
      </c>
    </row>
    <row r="479" spans="2:11" x14ac:dyDescent="0.3">
      <c r="B479" s="479" t="s">
        <v>675</v>
      </c>
      <c r="C479" s="31">
        <v>1381</v>
      </c>
      <c r="D479" s="434">
        <v>45821</v>
      </c>
      <c r="E479" s="435">
        <v>8.3333333333333398E-2</v>
      </c>
      <c r="F479" s="31">
        <v>74488</v>
      </c>
      <c r="G479" s="31">
        <v>164</v>
      </c>
      <c r="H479" s="480">
        <f t="shared" si="40"/>
        <v>11</v>
      </c>
    </row>
    <row r="480" spans="2:11" x14ac:dyDescent="0.3">
      <c r="B480" s="479" t="s">
        <v>675</v>
      </c>
      <c r="C480" s="31">
        <v>1381</v>
      </c>
      <c r="D480" s="434">
        <v>45822</v>
      </c>
      <c r="E480" s="435">
        <v>0</v>
      </c>
      <c r="F480" s="31">
        <v>74488</v>
      </c>
      <c r="G480" s="31">
        <v>164</v>
      </c>
      <c r="H480" s="480">
        <f t="shared" si="40"/>
        <v>0</v>
      </c>
    </row>
    <row r="481" spans="2:8" x14ac:dyDescent="0.3">
      <c r="B481" s="479" t="s">
        <v>675</v>
      </c>
      <c r="C481" s="31">
        <v>1381</v>
      </c>
      <c r="D481" s="434">
        <v>45823</v>
      </c>
      <c r="E481" s="435">
        <v>4.1666666666666699E-2</v>
      </c>
      <c r="F481" s="31">
        <v>74488</v>
      </c>
      <c r="G481" s="31">
        <v>164</v>
      </c>
      <c r="H481" s="480">
        <f t="shared" si="40"/>
        <v>0</v>
      </c>
    </row>
    <row r="482" spans="2:8" x14ac:dyDescent="0.3">
      <c r="B482" s="479" t="s">
        <v>675</v>
      </c>
      <c r="C482" s="31">
        <v>1384</v>
      </c>
      <c r="D482" s="434">
        <v>45824</v>
      </c>
      <c r="E482" s="435">
        <v>0</v>
      </c>
      <c r="F482" s="31">
        <v>74678</v>
      </c>
      <c r="G482" s="31">
        <v>164</v>
      </c>
      <c r="H482" s="480">
        <f t="shared" si="40"/>
        <v>3</v>
      </c>
    </row>
    <row r="483" spans="2:8" x14ac:dyDescent="0.3">
      <c r="B483" s="479" t="s">
        <v>675</v>
      </c>
      <c r="C483" s="31">
        <v>1395</v>
      </c>
      <c r="D483" s="434">
        <v>45825</v>
      </c>
      <c r="E483" s="435">
        <v>0</v>
      </c>
      <c r="F483" s="31">
        <v>75235</v>
      </c>
      <c r="G483" s="31">
        <v>166</v>
      </c>
      <c r="H483" s="480">
        <f t="shared" si="40"/>
        <v>11</v>
      </c>
    </row>
    <row r="484" spans="2:8" x14ac:dyDescent="0.3">
      <c r="B484" s="479" t="s">
        <v>675</v>
      </c>
      <c r="C484" s="31">
        <v>1411</v>
      </c>
      <c r="D484" s="434">
        <v>45826</v>
      </c>
      <c r="E484" s="435">
        <v>0</v>
      </c>
      <c r="F484" s="31">
        <v>76120</v>
      </c>
      <c r="G484" s="31">
        <v>167</v>
      </c>
      <c r="H484" s="480">
        <f t="shared" si="40"/>
        <v>16</v>
      </c>
    </row>
    <row r="485" spans="2:8" x14ac:dyDescent="0.3">
      <c r="B485" s="479" t="s">
        <v>675</v>
      </c>
      <c r="C485" s="31">
        <v>1417</v>
      </c>
      <c r="D485" s="434">
        <v>45827</v>
      </c>
      <c r="E485" s="435">
        <v>0</v>
      </c>
      <c r="F485" s="31">
        <v>76483</v>
      </c>
      <c r="G485" s="31">
        <v>168</v>
      </c>
      <c r="H485" s="480">
        <f t="shared" si="40"/>
        <v>6</v>
      </c>
    </row>
    <row r="486" spans="2:8" x14ac:dyDescent="0.3">
      <c r="B486" s="479" t="s">
        <v>675</v>
      </c>
      <c r="C486" s="31">
        <v>1417</v>
      </c>
      <c r="D486" s="434">
        <v>45828</v>
      </c>
      <c r="E486" s="435">
        <v>0</v>
      </c>
      <c r="F486" s="31">
        <v>76483</v>
      </c>
      <c r="G486" s="31">
        <v>168</v>
      </c>
      <c r="H486" s="480">
        <f t="shared" si="40"/>
        <v>0</v>
      </c>
    </row>
    <row r="487" spans="2:8" x14ac:dyDescent="0.3">
      <c r="B487" s="479" t="s">
        <v>675</v>
      </c>
      <c r="C487" s="31">
        <v>1417</v>
      </c>
      <c r="D487" s="434">
        <v>45829</v>
      </c>
      <c r="E487" s="435">
        <v>0</v>
      </c>
      <c r="F487" s="31">
        <v>76483</v>
      </c>
      <c r="G487" s="31">
        <v>168</v>
      </c>
      <c r="H487" s="480">
        <f t="shared" si="40"/>
        <v>0</v>
      </c>
    </row>
    <row r="488" spans="2:8" x14ac:dyDescent="0.3">
      <c r="B488" s="479" t="s">
        <v>675</v>
      </c>
      <c r="C488" s="31">
        <v>1417</v>
      </c>
      <c r="D488" s="434">
        <v>45830</v>
      </c>
      <c r="E488" s="435">
        <v>4.1666666666666699E-2</v>
      </c>
      <c r="F488" s="31">
        <v>76483</v>
      </c>
      <c r="G488" s="31">
        <v>168</v>
      </c>
      <c r="H488" s="480">
        <f t="shared" si="40"/>
        <v>0</v>
      </c>
    </row>
    <row r="489" spans="2:8" x14ac:dyDescent="0.3">
      <c r="B489" s="479" t="s">
        <v>675</v>
      </c>
      <c r="C489" s="31">
        <v>1420</v>
      </c>
      <c r="D489" s="434">
        <v>45831</v>
      </c>
      <c r="E489" s="435">
        <v>0</v>
      </c>
      <c r="F489" s="31">
        <v>76740</v>
      </c>
      <c r="G489" s="31">
        <v>170</v>
      </c>
      <c r="H489" s="480">
        <f t="shared" si="40"/>
        <v>3</v>
      </c>
    </row>
    <row r="490" spans="2:8" x14ac:dyDescent="0.3">
      <c r="B490" s="479" t="s">
        <v>675</v>
      </c>
      <c r="C490" s="31">
        <v>1432</v>
      </c>
      <c r="D490" s="434">
        <v>45832</v>
      </c>
      <c r="E490" s="435">
        <v>0</v>
      </c>
      <c r="F490" s="31">
        <v>77299</v>
      </c>
      <c r="G490" s="31">
        <v>171</v>
      </c>
      <c r="H490" s="480">
        <f t="shared" si="40"/>
        <v>12</v>
      </c>
    </row>
    <row r="491" spans="2:8" x14ac:dyDescent="0.3">
      <c r="B491" s="479" t="s">
        <v>675</v>
      </c>
      <c r="C491" s="31">
        <v>1441</v>
      </c>
      <c r="D491" s="434">
        <v>45833</v>
      </c>
      <c r="E491" s="435">
        <v>0</v>
      </c>
      <c r="F491" s="31">
        <v>77746</v>
      </c>
      <c r="G491" s="31">
        <v>172</v>
      </c>
      <c r="H491" s="480">
        <f t="shared" si="40"/>
        <v>9</v>
      </c>
    </row>
    <row r="492" spans="2:8" x14ac:dyDescent="0.3">
      <c r="B492" s="479" t="s">
        <v>675</v>
      </c>
      <c r="C492" s="31">
        <v>1441</v>
      </c>
      <c r="D492" s="434">
        <v>45834</v>
      </c>
      <c r="E492" s="435">
        <v>0</v>
      </c>
      <c r="F492" s="31">
        <v>77746</v>
      </c>
      <c r="G492" s="31">
        <v>172</v>
      </c>
      <c r="H492" s="480">
        <f t="shared" si="40"/>
        <v>0</v>
      </c>
    </row>
    <row r="493" spans="2:8" x14ac:dyDescent="0.3">
      <c r="B493" s="479" t="s">
        <v>675</v>
      </c>
      <c r="C493" s="31">
        <v>1441</v>
      </c>
      <c r="D493" s="434">
        <v>45835</v>
      </c>
      <c r="E493" s="435">
        <v>0</v>
      </c>
      <c r="F493" s="31">
        <v>77746</v>
      </c>
      <c r="G493" s="31">
        <v>172</v>
      </c>
      <c r="H493" s="480">
        <f t="shared" si="40"/>
        <v>0</v>
      </c>
    </row>
    <row r="494" spans="2:8" x14ac:dyDescent="0.3">
      <c r="B494" s="479" t="s">
        <v>675</v>
      </c>
      <c r="C494" s="31">
        <v>1452</v>
      </c>
      <c r="D494" s="434">
        <v>45836</v>
      </c>
      <c r="E494" s="435">
        <v>4.1666666666666699E-2</v>
      </c>
      <c r="F494" s="31">
        <v>78306</v>
      </c>
      <c r="G494" s="31">
        <v>174</v>
      </c>
      <c r="H494" s="480">
        <f t="shared" si="40"/>
        <v>11</v>
      </c>
    </row>
    <row r="495" spans="2:8" x14ac:dyDescent="0.3">
      <c r="B495" s="479" t="s">
        <v>675</v>
      </c>
      <c r="C495" s="31">
        <v>1463</v>
      </c>
      <c r="D495" s="434">
        <v>45837</v>
      </c>
      <c r="E495" s="435">
        <v>0</v>
      </c>
      <c r="F495" s="31">
        <v>78942</v>
      </c>
      <c r="G495" s="31">
        <v>176</v>
      </c>
      <c r="H495" s="480">
        <f t="shared" si="40"/>
        <v>11</v>
      </c>
    </row>
    <row r="496" spans="2:8" x14ac:dyDescent="0.3">
      <c r="B496" s="479" t="s">
        <v>675</v>
      </c>
      <c r="C496" s="31">
        <v>1463</v>
      </c>
      <c r="D496" s="434">
        <v>45838</v>
      </c>
      <c r="E496" s="435">
        <v>0</v>
      </c>
      <c r="F496" s="31">
        <v>78942</v>
      </c>
      <c r="G496" s="31">
        <v>176</v>
      </c>
      <c r="H496" s="480">
        <f t="shared" si="40"/>
        <v>0</v>
      </c>
    </row>
    <row r="497" spans="2:8" x14ac:dyDescent="0.3">
      <c r="B497" s="479" t="s">
        <v>675</v>
      </c>
      <c r="C497" s="31">
        <v>1463</v>
      </c>
      <c r="D497" s="434">
        <v>45839</v>
      </c>
      <c r="E497" s="435">
        <v>0</v>
      </c>
      <c r="F497" s="31">
        <v>78942</v>
      </c>
      <c r="G497" s="31">
        <v>176</v>
      </c>
      <c r="H497" s="480">
        <f t="shared" si="40"/>
        <v>0</v>
      </c>
    </row>
    <row r="498" spans="2:8" x14ac:dyDescent="0.3">
      <c r="B498" s="479" t="s">
        <v>675</v>
      </c>
      <c r="C498" s="31">
        <v>1463</v>
      </c>
      <c r="D498" s="434">
        <v>45840</v>
      </c>
      <c r="E498" s="435">
        <v>0</v>
      </c>
      <c r="F498" s="31">
        <v>78942</v>
      </c>
      <c r="G498" s="31">
        <v>176</v>
      </c>
      <c r="H498" s="480">
        <f t="shared" si="40"/>
        <v>0</v>
      </c>
    </row>
    <row r="499" spans="2:8" x14ac:dyDescent="0.3">
      <c r="B499" s="479" t="s">
        <v>675</v>
      </c>
      <c r="C499" s="31">
        <v>1474</v>
      </c>
      <c r="D499" s="434">
        <v>45841</v>
      </c>
      <c r="E499" s="435">
        <v>0</v>
      </c>
      <c r="F499" s="31">
        <v>79544</v>
      </c>
      <c r="G499" s="31">
        <v>177</v>
      </c>
      <c r="H499" s="480">
        <f t="shared" si="40"/>
        <v>11</v>
      </c>
    </row>
    <row r="500" spans="2:8" x14ac:dyDescent="0.3">
      <c r="B500" s="479" t="s">
        <v>675</v>
      </c>
      <c r="C500" s="31">
        <v>1474</v>
      </c>
      <c r="D500" s="434">
        <v>45842</v>
      </c>
      <c r="E500" s="435">
        <v>0</v>
      </c>
      <c r="F500" s="31">
        <v>79544</v>
      </c>
      <c r="G500" s="31">
        <v>177</v>
      </c>
      <c r="H500" s="480">
        <f t="shared" si="40"/>
        <v>0</v>
      </c>
    </row>
    <row r="501" spans="2:8" x14ac:dyDescent="0.3">
      <c r="B501" s="479" t="s">
        <v>675</v>
      </c>
      <c r="C501" s="31">
        <v>1477</v>
      </c>
      <c r="D501" s="434">
        <v>45843</v>
      </c>
      <c r="E501" s="435">
        <v>0</v>
      </c>
      <c r="F501" s="31">
        <v>79716</v>
      </c>
      <c r="G501" s="31">
        <v>178</v>
      </c>
      <c r="H501" s="480">
        <f t="shared" si="40"/>
        <v>3</v>
      </c>
    </row>
    <row r="502" spans="2:8" x14ac:dyDescent="0.3">
      <c r="B502" s="479" t="s">
        <v>675</v>
      </c>
      <c r="C502" s="31">
        <v>1477</v>
      </c>
      <c r="D502" s="434">
        <v>45844</v>
      </c>
      <c r="E502" s="435">
        <v>0</v>
      </c>
      <c r="F502" s="31">
        <v>79716</v>
      </c>
      <c r="G502" s="31">
        <v>178</v>
      </c>
      <c r="H502" s="480">
        <f t="shared" si="40"/>
        <v>0</v>
      </c>
    </row>
    <row r="503" spans="2:8" x14ac:dyDescent="0.3">
      <c r="B503" s="479" t="s">
        <v>675</v>
      </c>
      <c r="C503" s="31">
        <v>1477</v>
      </c>
      <c r="D503" s="434">
        <v>45845</v>
      </c>
      <c r="E503" s="435">
        <v>0</v>
      </c>
      <c r="F503" s="31">
        <v>79716</v>
      </c>
      <c r="G503" s="31">
        <v>178</v>
      </c>
      <c r="H503" s="480">
        <f t="shared" si="40"/>
        <v>0</v>
      </c>
    </row>
    <row r="504" spans="2:8" x14ac:dyDescent="0.3">
      <c r="B504" s="479" t="s">
        <v>675</v>
      </c>
      <c r="C504" s="31">
        <v>1477</v>
      </c>
      <c r="D504" s="434">
        <v>45846</v>
      </c>
      <c r="E504" s="435">
        <v>0</v>
      </c>
      <c r="F504" s="31">
        <v>79716</v>
      </c>
      <c r="G504" s="31">
        <v>178</v>
      </c>
      <c r="H504" s="480">
        <f t="shared" ref="H504" si="41">C504-C503</f>
        <v>0</v>
      </c>
    </row>
    <row r="505" spans="2:8" x14ac:dyDescent="0.3">
      <c r="B505" s="479" t="s">
        <v>675</v>
      </c>
      <c r="C505" s="31">
        <v>1477</v>
      </c>
      <c r="D505" s="434">
        <v>45847</v>
      </c>
      <c r="E505" s="435">
        <v>0</v>
      </c>
      <c r="F505" s="31">
        <v>79716</v>
      </c>
      <c r="G505" s="31">
        <v>178</v>
      </c>
      <c r="H505" s="480">
        <f t="shared" ref="H505" si="42">C505-C504</f>
        <v>0</v>
      </c>
    </row>
    <row r="506" spans="2:8" x14ac:dyDescent="0.3">
      <c r="B506" s="479" t="s">
        <v>675</v>
      </c>
      <c r="C506" s="31">
        <v>1477</v>
      </c>
      <c r="D506" s="434">
        <v>45848</v>
      </c>
      <c r="E506" s="435">
        <v>0</v>
      </c>
      <c r="F506" s="31">
        <v>79716</v>
      </c>
      <c r="G506" s="31">
        <v>178</v>
      </c>
      <c r="H506" s="480">
        <f t="shared" ref="H506" si="43">C506-C505</f>
        <v>0</v>
      </c>
    </row>
    <row r="507" spans="2:8" x14ac:dyDescent="0.3">
      <c r="B507" s="479" t="s">
        <v>675</v>
      </c>
      <c r="C507" s="31">
        <v>1477</v>
      </c>
      <c r="D507" s="434">
        <v>45849</v>
      </c>
      <c r="E507" s="435">
        <v>0</v>
      </c>
      <c r="F507" s="31">
        <v>79716</v>
      </c>
      <c r="G507" s="31">
        <v>178</v>
      </c>
      <c r="H507" s="480">
        <f t="shared" ref="H507" si="44">C507-C506</f>
        <v>0</v>
      </c>
    </row>
    <row r="508" spans="2:8" x14ac:dyDescent="0.3">
      <c r="B508" s="479" t="s">
        <v>675</v>
      </c>
      <c r="C508" s="31">
        <v>1477</v>
      </c>
      <c r="D508" s="434">
        <v>45850</v>
      </c>
      <c r="E508" s="435">
        <v>0</v>
      </c>
      <c r="F508" s="31">
        <v>79716</v>
      </c>
      <c r="G508" s="31">
        <v>178</v>
      </c>
      <c r="H508" s="480">
        <f t="shared" ref="H508" si="45">C508-C507</f>
        <v>0</v>
      </c>
    </row>
    <row r="509" spans="2:8" x14ac:dyDescent="0.3">
      <c r="B509" s="479" t="s">
        <v>675</v>
      </c>
      <c r="C509" s="31">
        <v>1477</v>
      </c>
      <c r="D509" s="434">
        <v>45851</v>
      </c>
      <c r="E509" s="435">
        <v>0</v>
      </c>
      <c r="F509" s="31">
        <v>79716</v>
      </c>
      <c r="G509" s="31">
        <v>178</v>
      </c>
      <c r="H509" s="480">
        <f t="shared" ref="H509" si="46">C509-C508</f>
        <v>0</v>
      </c>
    </row>
    <row r="510" spans="2:8" x14ac:dyDescent="0.3">
      <c r="B510" s="479" t="s">
        <v>675</v>
      </c>
      <c r="C510" s="31">
        <v>1477</v>
      </c>
      <c r="D510" s="434">
        <v>45852</v>
      </c>
      <c r="E510" s="435">
        <v>0</v>
      </c>
      <c r="F510" s="31">
        <v>79716</v>
      </c>
      <c r="G510" s="31">
        <v>178</v>
      </c>
      <c r="H510" s="480">
        <f t="shared" ref="H510" si="47">C510-C509</f>
        <v>0</v>
      </c>
    </row>
    <row r="511" spans="2:8" x14ac:dyDescent="0.3">
      <c r="B511" s="479" t="s">
        <v>675</v>
      </c>
      <c r="C511" s="31">
        <v>1477</v>
      </c>
      <c r="D511" s="434">
        <v>45853</v>
      </c>
      <c r="E511" s="435">
        <v>0</v>
      </c>
      <c r="F511" s="31">
        <v>79716</v>
      </c>
      <c r="G511" s="31">
        <v>178</v>
      </c>
      <c r="H511" s="480">
        <f t="shared" ref="H511" si="48">C511-C510</f>
        <v>0</v>
      </c>
    </row>
    <row r="512" spans="2:8" x14ac:dyDescent="0.3">
      <c r="B512" s="479" t="s">
        <v>675</v>
      </c>
      <c r="C512" s="31">
        <v>1477</v>
      </c>
      <c r="D512" s="434">
        <v>45854</v>
      </c>
      <c r="E512" s="435">
        <v>0</v>
      </c>
      <c r="F512" s="31">
        <v>79716</v>
      </c>
      <c r="G512" s="31">
        <v>178</v>
      </c>
      <c r="H512" s="480">
        <f t="shared" ref="H512:H514" si="49">C512-C511</f>
        <v>0</v>
      </c>
    </row>
    <row r="513" spans="2:8" x14ac:dyDescent="0.3">
      <c r="B513" s="479" t="s">
        <v>675</v>
      </c>
      <c r="C513" s="31">
        <v>1477</v>
      </c>
      <c r="D513" s="434">
        <v>45855</v>
      </c>
      <c r="E513" s="435">
        <v>0</v>
      </c>
      <c r="F513" s="31">
        <v>79716</v>
      </c>
      <c r="G513" s="31">
        <v>178</v>
      </c>
      <c r="H513" s="480">
        <f t="shared" si="49"/>
        <v>0</v>
      </c>
    </row>
    <row r="514" spans="2:8" x14ac:dyDescent="0.3">
      <c r="B514" s="479" t="s">
        <v>675</v>
      </c>
      <c r="C514" s="31">
        <v>1477</v>
      </c>
      <c r="D514" s="434">
        <v>45856</v>
      </c>
      <c r="E514" s="435">
        <v>0</v>
      </c>
      <c r="F514" s="31">
        <v>79716</v>
      </c>
      <c r="G514" s="31">
        <v>178</v>
      </c>
      <c r="H514" s="480">
        <f t="shared" si="49"/>
        <v>0</v>
      </c>
    </row>
    <row r="515" spans="2:8" x14ac:dyDescent="0.3">
      <c r="B515" s="479" t="s">
        <v>675</v>
      </c>
      <c r="C515" s="31">
        <v>1480</v>
      </c>
      <c r="D515" s="434">
        <v>45857</v>
      </c>
      <c r="E515" s="435">
        <v>0</v>
      </c>
      <c r="F515" s="31">
        <v>79900</v>
      </c>
      <c r="G515" s="31">
        <v>178</v>
      </c>
      <c r="H515" s="480">
        <f t="shared" ref="H515" si="50">C515-C514</f>
        <v>3</v>
      </c>
    </row>
    <row r="516" spans="2:8" x14ac:dyDescent="0.3">
      <c r="B516" s="479" t="s">
        <v>675</v>
      </c>
      <c r="C516" s="31">
        <v>1489</v>
      </c>
      <c r="D516" s="434">
        <v>45858</v>
      </c>
      <c r="E516" s="435">
        <v>0</v>
      </c>
      <c r="F516" s="31">
        <v>80384</v>
      </c>
      <c r="G516" s="31">
        <v>179</v>
      </c>
      <c r="H516" s="480">
        <f t="shared" ref="H516" si="51">C516-C515</f>
        <v>9</v>
      </c>
    </row>
    <row r="517" spans="2:8" x14ac:dyDescent="0.3">
      <c r="B517" s="479" t="s">
        <v>675</v>
      </c>
      <c r="C517" s="31">
        <v>1503</v>
      </c>
      <c r="D517" s="434">
        <v>45859</v>
      </c>
      <c r="E517" s="435">
        <v>4.1666666666666699E-2</v>
      </c>
      <c r="F517" s="31">
        <v>81150</v>
      </c>
      <c r="G517" s="31">
        <v>180</v>
      </c>
      <c r="H517" s="480">
        <f t="shared" ref="H517" si="52">C517-C516</f>
        <v>14</v>
      </c>
    </row>
    <row r="518" spans="2:8" x14ac:dyDescent="0.3">
      <c r="B518" s="479" t="s">
        <v>675</v>
      </c>
      <c r="C518" s="31">
        <v>1503</v>
      </c>
      <c r="D518" s="434">
        <v>45860</v>
      </c>
      <c r="E518" s="435">
        <v>0</v>
      </c>
      <c r="F518" s="31">
        <v>81150</v>
      </c>
      <c r="G518" s="31">
        <v>180</v>
      </c>
      <c r="H518" s="480">
        <f t="shared" ref="H518" si="53">C518-C517</f>
        <v>0</v>
      </c>
    </row>
    <row r="519" spans="2:8" x14ac:dyDescent="0.3">
      <c r="B519" s="479" t="s">
        <v>675</v>
      </c>
      <c r="C519" s="31">
        <v>1511</v>
      </c>
      <c r="D519" s="434">
        <v>45861</v>
      </c>
      <c r="E519" s="435">
        <v>0</v>
      </c>
      <c r="F519" s="31">
        <v>81525</v>
      </c>
      <c r="G519" s="31">
        <v>181</v>
      </c>
      <c r="H519" s="480">
        <f t="shared" ref="H519" si="54">C519-C518</f>
        <v>8</v>
      </c>
    </row>
    <row r="520" spans="2:8" x14ac:dyDescent="0.3">
      <c r="B520" s="479" t="s">
        <v>675</v>
      </c>
      <c r="C520" s="31">
        <v>1511</v>
      </c>
      <c r="D520" s="434">
        <v>45862</v>
      </c>
      <c r="E520" s="435">
        <v>0</v>
      </c>
      <c r="F520" s="31">
        <v>81525</v>
      </c>
      <c r="G520" s="31">
        <v>181</v>
      </c>
      <c r="H520" s="480">
        <f t="shared" ref="H520:H522" si="55">C520-C519</f>
        <v>0</v>
      </c>
    </row>
    <row r="521" spans="2:8" x14ac:dyDescent="0.3">
      <c r="B521" s="479" t="s">
        <v>675</v>
      </c>
      <c r="C521" s="31">
        <v>1512</v>
      </c>
      <c r="D521" s="434">
        <v>45863</v>
      </c>
      <c r="E521" s="435">
        <v>0</v>
      </c>
      <c r="F521" s="31">
        <v>81585</v>
      </c>
      <c r="G521" s="31">
        <v>182</v>
      </c>
      <c r="H521" s="480">
        <f t="shared" si="55"/>
        <v>1</v>
      </c>
    </row>
    <row r="522" spans="2:8" x14ac:dyDescent="0.3">
      <c r="B522" s="479" t="s">
        <v>675</v>
      </c>
      <c r="C522" s="31">
        <v>1514</v>
      </c>
      <c r="D522" s="434">
        <v>45864</v>
      </c>
      <c r="E522" s="435">
        <v>0</v>
      </c>
      <c r="F522" s="31">
        <v>81715</v>
      </c>
      <c r="G522" s="31">
        <v>183</v>
      </c>
      <c r="H522" s="480">
        <f t="shared" si="55"/>
        <v>2</v>
      </c>
    </row>
  </sheetData>
  <mergeCells count="8">
    <mergeCell ref="D24:E24"/>
    <mergeCell ref="N24:O24"/>
    <mergeCell ref="B6:B8"/>
    <mergeCell ref="K19:K20"/>
    <mergeCell ref="B19:B20"/>
    <mergeCell ref="B18:C18"/>
    <mergeCell ref="H19:H20"/>
    <mergeCell ref="B21:C21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Q12:Q13 G14 E14:F14 H14:O14" formulaRange="1"/>
  </ignoredError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BBAF-B347-4BB9-9C78-EDDB90731024}">
  <dimension ref="A1:AA164"/>
  <sheetViews>
    <sheetView showGridLines="0" topLeftCell="C1" zoomScaleNormal="100" workbookViewId="0">
      <pane xSplit="3" ySplit="2" topLeftCell="G27" activePane="bottomRight" state="frozen"/>
      <selection activeCell="C1" sqref="C1"/>
      <selection pane="topRight" activeCell="E1" sqref="E1"/>
      <selection pane="bottomLeft" activeCell="C3" sqref="C3"/>
      <selection pane="bottomRight" activeCell="G46" sqref="G46:I46"/>
    </sheetView>
  </sheetViews>
  <sheetFormatPr defaultRowHeight="14.4" x14ac:dyDescent="0.3"/>
  <cols>
    <col min="1" max="1" width="3.88671875" customWidth="1"/>
    <col min="2" max="3" width="18.6640625" customWidth="1"/>
    <col min="4" max="4" width="35.5546875" customWidth="1"/>
    <col min="5" max="5" width="15.109375" bestFit="1" customWidth="1"/>
    <col min="6" max="6" width="5.6640625" customWidth="1"/>
    <col min="7" max="7" width="13.33203125" customWidth="1"/>
    <col min="8" max="18" width="8.33203125" customWidth="1"/>
    <col min="19" max="19" width="12.5546875" customWidth="1"/>
    <col min="20" max="20" width="15.88671875" style="393" customWidth="1"/>
    <col min="21" max="21" width="8.88671875" style="393"/>
    <col min="22" max="22" width="10.44140625" style="393" bestFit="1" customWidth="1"/>
    <col min="23" max="24" width="8.88671875" style="393"/>
    <col min="25" max="25" width="9.109375" style="393" bestFit="1" customWidth="1"/>
    <col min="26" max="27" width="8.88671875" style="393"/>
  </cols>
  <sheetData>
    <row r="1" spans="2:27" x14ac:dyDescent="0.3">
      <c r="T1"/>
      <c r="U1"/>
      <c r="V1"/>
      <c r="W1"/>
      <c r="X1"/>
      <c r="Y1"/>
      <c r="Z1"/>
      <c r="AA1"/>
    </row>
    <row r="2" spans="2:27" ht="15.6" x14ac:dyDescent="0.3">
      <c r="B2" s="143" t="s">
        <v>702</v>
      </c>
      <c r="C2" s="693"/>
      <c r="D2" s="693" t="s">
        <v>703</v>
      </c>
      <c r="E2" s="693" t="s">
        <v>672</v>
      </c>
      <c r="F2" s="693" t="s">
        <v>673</v>
      </c>
      <c r="G2" s="694">
        <v>45658</v>
      </c>
      <c r="H2" s="694">
        <v>45689</v>
      </c>
      <c r="I2" s="694">
        <v>45717</v>
      </c>
      <c r="J2" s="694">
        <v>45748</v>
      </c>
      <c r="K2" s="694">
        <v>45778</v>
      </c>
      <c r="L2" s="694">
        <v>45809</v>
      </c>
      <c r="M2" s="694">
        <v>45839</v>
      </c>
      <c r="N2" s="694">
        <v>45870</v>
      </c>
      <c r="O2" s="694">
        <v>45901</v>
      </c>
      <c r="P2" s="694">
        <v>45931</v>
      </c>
      <c r="Q2" s="694">
        <v>45962</v>
      </c>
      <c r="R2" s="694">
        <v>45992</v>
      </c>
      <c r="S2" s="694" t="s">
        <v>674</v>
      </c>
      <c r="T2" s="694" t="s">
        <v>704</v>
      </c>
      <c r="U2" s="393" t="s">
        <v>843</v>
      </c>
    </row>
    <row r="3" spans="2:27" ht="10.95" customHeight="1" x14ac:dyDescent="0.3">
      <c r="B3" s="751" t="s">
        <v>391</v>
      </c>
      <c r="C3" s="861" t="s">
        <v>1039</v>
      </c>
      <c r="D3" s="784" t="s">
        <v>7</v>
      </c>
      <c r="E3" s="784">
        <v>12</v>
      </c>
      <c r="F3" s="690" t="s">
        <v>705</v>
      </c>
      <c r="G3" s="691">
        <f>1901*0.96</f>
        <v>1824.96</v>
      </c>
      <c r="H3" s="691">
        <f>1600*0.96</f>
        <v>1536</v>
      </c>
      <c r="I3" s="691">
        <f>1657*0.96</f>
        <v>1590.72</v>
      </c>
      <c r="J3" s="691">
        <f>1505*0.96</f>
        <v>1444.8</v>
      </c>
      <c r="K3" s="691">
        <f>1374*0.96</f>
        <v>1319.04</v>
      </c>
      <c r="L3" s="691">
        <f>1201*0.96</f>
        <v>1152.96</v>
      </c>
      <c r="M3" s="691">
        <f>1468*0.96</f>
        <v>1409.28</v>
      </c>
      <c r="N3" s="691">
        <f>1360*0.96</f>
        <v>1305.5999999999999</v>
      </c>
      <c r="O3" s="691">
        <f>1559*0.96</f>
        <v>1496.6399999999999</v>
      </c>
      <c r="P3" s="691">
        <f>1554*0.96</f>
        <v>1491.84</v>
      </c>
      <c r="Q3" s="691">
        <f>1474*0.96</f>
        <v>1415.04</v>
      </c>
      <c r="R3" s="691">
        <f>1744*0.96</f>
        <v>1674.24</v>
      </c>
      <c r="S3" s="692">
        <f>SUM(G3:R3)</f>
        <v>17661.120000000003</v>
      </c>
      <c r="T3" s="691">
        <f>SUM(G3:L3)</f>
        <v>8868.48</v>
      </c>
    </row>
    <row r="4" spans="2:27" ht="10.95" customHeight="1" x14ac:dyDescent="0.3">
      <c r="B4" s="793"/>
      <c r="C4" s="862"/>
      <c r="D4" s="785"/>
      <c r="E4" s="785"/>
      <c r="F4" s="707" t="s">
        <v>706</v>
      </c>
      <c r="G4" s="708">
        <f>'Janeiro 25'!AI5</f>
        <v>1365.7</v>
      </c>
      <c r="H4" s="708">
        <f>'Fevereiro 25'!AF5</f>
        <v>1590.5</v>
      </c>
      <c r="I4" s="708">
        <f>'Março 25'!AI5</f>
        <v>1372.5</v>
      </c>
      <c r="J4" s="708">
        <f>'Abril 25'!AH5</f>
        <v>1076.4000000000001</v>
      </c>
      <c r="K4" s="708">
        <f>'Maio 25'!AI5</f>
        <v>1043.7000000000003</v>
      </c>
      <c r="L4" s="708">
        <f>'Junho 25'!AH5</f>
        <v>1013.7</v>
      </c>
      <c r="M4" s="708"/>
      <c r="N4" s="708"/>
      <c r="O4" s="708"/>
      <c r="P4" s="708"/>
      <c r="Q4" s="708"/>
      <c r="R4" s="708"/>
      <c r="S4" s="708">
        <f>SUM(G4:R4)</f>
        <v>7462.5000000000009</v>
      </c>
      <c r="T4" s="708">
        <f>SUM(G4:M4)</f>
        <v>7462.5000000000009</v>
      </c>
    </row>
    <row r="5" spans="2:27" ht="10.95" customHeight="1" x14ac:dyDescent="0.3">
      <c r="B5" s="793"/>
      <c r="C5" s="862"/>
      <c r="D5" s="786"/>
      <c r="E5" s="786"/>
      <c r="F5" s="705" t="s">
        <v>673</v>
      </c>
      <c r="G5" s="706">
        <f>G4/G3</f>
        <v>0.74834516920918814</v>
      </c>
      <c r="H5" s="706">
        <f>H4/H3</f>
        <v>1.0354817708333333</v>
      </c>
      <c r="I5" s="706">
        <f t="shared" ref="I5:S5" si="0">I4/I3</f>
        <v>0.86281683765841877</v>
      </c>
      <c r="J5" s="706">
        <f t="shared" si="0"/>
        <v>0.7450166112956812</v>
      </c>
      <c r="K5" s="706">
        <f t="shared" si="0"/>
        <v>0.79125727802037871</v>
      </c>
      <c r="L5" s="706">
        <f t="shared" si="0"/>
        <v>0.87921523730224815</v>
      </c>
      <c r="M5" s="706">
        <f t="shared" si="0"/>
        <v>0</v>
      </c>
      <c r="N5" s="706">
        <f t="shared" si="0"/>
        <v>0</v>
      </c>
      <c r="O5" s="706">
        <f t="shared" si="0"/>
        <v>0</v>
      </c>
      <c r="P5" s="706">
        <f t="shared" si="0"/>
        <v>0</v>
      </c>
      <c r="Q5" s="706">
        <f t="shared" si="0"/>
        <v>0</v>
      </c>
      <c r="R5" s="706">
        <f t="shared" si="0"/>
        <v>0</v>
      </c>
      <c r="S5" s="706">
        <f t="shared" si="0"/>
        <v>0.42253832146545633</v>
      </c>
      <c r="T5" s="706">
        <f>T4/T3</f>
        <v>0.84146324962113028</v>
      </c>
    </row>
    <row r="6" spans="2:27" ht="10.95" customHeight="1" x14ac:dyDescent="0.3">
      <c r="B6" s="793"/>
      <c r="C6" s="862"/>
      <c r="D6" s="784" t="s">
        <v>8</v>
      </c>
      <c r="E6" s="784">
        <v>67</v>
      </c>
      <c r="F6" s="690" t="s">
        <v>705</v>
      </c>
      <c r="G6" s="691">
        <f>8083.55*0.976</f>
        <v>7889.5447999999997</v>
      </c>
      <c r="H6" s="691">
        <f>8140.835*0.976</f>
        <v>7945.45496</v>
      </c>
      <c r="I6" s="691">
        <f>8019.9*0.976</f>
        <v>7827.4223999999995</v>
      </c>
      <c r="J6" s="691">
        <f>7377.6715*0.976</f>
        <v>7200.6073839999999</v>
      </c>
      <c r="K6" s="691">
        <f>6867.835*0.976</f>
        <v>6703.0069599999997</v>
      </c>
      <c r="L6" s="691">
        <f>6134.587*0.976</f>
        <v>5987.3569120000002</v>
      </c>
      <c r="M6" s="691">
        <f>6434.3785*0.976</f>
        <v>6279.9534159999994</v>
      </c>
      <c r="N6" s="691">
        <f>7998.259*0.976</f>
        <v>7806.300784</v>
      </c>
      <c r="O6" s="691">
        <f>7270.7395*0.976</f>
        <v>7096.2417519999999</v>
      </c>
      <c r="P6" s="691">
        <f>7406.9505*0.976</f>
        <v>7229.1836880000001</v>
      </c>
      <c r="Q6" s="691">
        <f>6796.547*0.976</f>
        <v>6633.4298719999997</v>
      </c>
      <c r="R6" s="691">
        <f>8020.5365*0.976</f>
        <v>7828.0436239999999</v>
      </c>
      <c r="S6" s="692">
        <f>SUM(G6:R6)</f>
        <v>86426.546551999985</v>
      </c>
      <c r="T6" s="691">
        <f>SUM(G6:M6)</f>
        <v>49833.346831999996</v>
      </c>
    </row>
    <row r="7" spans="2:27" ht="10.95" customHeight="1" x14ac:dyDescent="0.3">
      <c r="B7" s="793"/>
      <c r="C7" s="862"/>
      <c r="D7" s="785"/>
      <c r="E7" s="785"/>
      <c r="F7" s="707" t="s">
        <v>706</v>
      </c>
      <c r="G7" s="708">
        <f>'Janeiro 25'!AI6</f>
        <v>3249.2</v>
      </c>
      <c r="H7" s="708">
        <f>'Fevereiro 25'!AF6</f>
        <v>6425.2</v>
      </c>
      <c r="I7" s="708">
        <f>'Março 25'!AI6</f>
        <v>8085.6</v>
      </c>
      <c r="J7" s="708">
        <f>'Abril 25'!AH6</f>
        <v>6417.6000000000013</v>
      </c>
      <c r="K7" s="708">
        <f>'Maio 25'!AI6</f>
        <v>6616.3000000000011</v>
      </c>
      <c r="L7" s="708">
        <f>'Junho 25'!AH6</f>
        <v>6599.2000000000007</v>
      </c>
      <c r="M7" s="708"/>
      <c r="N7" s="708"/>
      <c r="O7" s="708"/>
      <c r="P7" s="708"/>
      <c r="Q7" s="708"/>
      <c r="R7" s="708"/>
      <c r="S7" s="708">
        <f>SUM(G7:R7)</f>
        <v>37393.100000000006</v>
      </c>
      <c r="T7" s="708">
        <f>SUM(G7:M7)</f>
        <v>37393.100000000006</v>
      </c>
    </row>
    <row r="8" spans="2:27" ht="10.95" customHeight="1" x14ac:dyDescent="0.3">
      <c r="B8" s="793"/>
      <c r="C8" s="862"/>
      <c r="D8" s="786"/>
      <c r="E8" s="786"/>
      <c r="F8" s="705" t="s">
        <v>673</v>
      </c>
      <c r="G8" s="706">
        <f>G7/G6</f>
        <v>0.41183618096699315</v>
      </c>
      <c r="H8" s="706">
        <f>H7/H6</f>
        <v>0.80866357336949779</v>
      </c>
      <c r="I8" s="706">
        <f t="shared" ref="I8:T8" si="1">I7/I6</f>
        <v>1.0329837316560304</v>
      </c>
      <c r="J8" s="706">
        <f t="shared" si="1"/>
        <v>0.8912581477862731</v>
      </c>
      <c r="K8" s="706">
        <f t="shared" si="1"/>
        <v>0.98706446815326021</v>
      </c>
      <c r="L8" s="706">
        <f t="shared" si="1"/>
        <v>1.102189179130733</v>
      </c>
      <c r="M8" s="706">
        <f t="shared" si="1"/>
        <v>0</v>
      </c>
      <c r="N8" s="706">
        <f t="shared" si="1"/>
        <v>0</v>
      </c>
      <c r="O8" s="706">
        <f t="shared" si="1"/>
        <v>0</v>
      </c>
      <c r="P8" s="706">
        <f t="shared" si="1"/>
        <v>0</v>
      </c>
      <c r="Q8" s="706">
        <f t="shared" si="1"/>
        <v>0</v>
      </c>
      <c r="R8" s="706">
        <f t="shared" si="1"/>
        <v>0</v>
      </c>
      <c r="S8" s="706">
        <f t="shared" si="1"/>
        <v>0.43265757445835024</v>
      </c>
      <c r="T8" s="706">
        <f t="shared" si="1"/>
        <v>0.75036300744682061</v>
      </c>
    </row>
    <row r="9" spans="2:27" ht="10.95" customHeight="1" x14ac:dyDescent="0.3">
      <c r="B9" s="793"/>
      <c r="C9" s="862"/>
      <c r="D9" s="784" t="s">
        <v>9</v>
      </c>
      <c r="E9" s="784">
        <v>49</v>
      </c>
      <c r="F9" s="690" t="s">
        <v>705</v>
      </c>
      <c r="G9" s="691">
        <f>6949*0.976</f>
        <v>6782.2240000000002</v>
      </c>
      <c r="H9" s="691">
        <f>6369*0.976</f>
        <v>6216.1440000000002</v>
      </c>
      <c r="I9" s="691">
        <f>0.976*6721</f>
        <v>6559.6959999999999</v>
      </c>
      <c r="J9" s="691">
        <f>0.976*6135</f>
        <v>5987.76</v>
      </c>
      <c r="K9" s="691">
        <f>0.976*6117</f>
        <v>5970.192</v>
      </c>
      <c r="L9" s="691">
        <f>0.976*5685</f>
        <v>5548.5599999999995</v>
      </c>
      <c r="M9" s="691">
        <f>0.976*6153</f>
        <v>6005.3279999999995</v>
      </c>
      <c r="N9" s="691">
        <f>0.976*5773</f>
        <v>5634.4480000000003</v>
      </c>
      <c r="O9" s="691">
        <f>0.976*6346</f>
        <v>6193.6959999999999</v>
      </c>
      <c r="P9" s="691">
        <f>0.976*6213</f>
        <v>6063.8879999999999</v>
      </c>
      <c r="Q9" s="691">
        <f>0.976*5511</f>
        <v>5378.7359999999999</v>
      </c>
      <c r="R9" s="691">
        <f>0.976*6986</f>
        <v>6818.3360000000002</v>
      </c>
      <c r="S9" s="692">
        <f>SUM(G9:R9)</f>
        <v>73159.007999999987</v>
      </c>
      <c r="T9" s="691">
        <f>SUM(G9:M9)</f>
        <v>43069.904000000002</v>
      </c>
    </row>
    <row r="10" spans="2:27" ht="10.95" customHeight="1" x14ac:dyDescent="0.3">
      <c r="B10" s="793"/>
      <c r="C10" s="862"/>
      <c r="D10" s="785"/>
      <c r="E10" s="785"/>
      <c r="F10" s="707" t="s">
        <v>706</v>
      </c>
      <c r="G10" s="708">
        <f>'Janeiro 25'!AI7</f>
        <v>5854.8</v>
      </c>
      <c r="H10" s="708">
        <f>'Fevereiro 25'!AF7</f>
        <v>6927.5999999999995</v>
      </c>
      <c r="I10" s="708">
        <f>'Março 25'!AI7</f>
        <v>5921.8</v>
      </c>
      <c r="J10" s="708">
        <f>'Abril 25'!AH7</f>
        <v>4854.1999999999989</v>
      </c>
      <c r="K10" s="708">
        <f>'Maio 25'!AI7</f>
        <v>5165.0000000000009</v>
      </c>
      <c r="L10" s="708">
        <f>'Junho 25'!AH7</f>
        <v>5177.2</v>
      </c>
      <c r="M10" s="708"/>
      <c r="N10" s="708"/>
      <c r="O10" s="708"/>
      <c r="P10" s="708"/>
      <c r="Q10" s="708"/>
      <c r="R10" s="708"/>
      <c r="S10" s="708">
        <f>SUM(G10:R10)</f>
        <v>33900.6</v>
      </c>
      <c r="T10" s="708">
        <f>SUM(G10:M10)</f>
        <v>33900.6</v>
      </c>
    </row>
    <row r="11" spans="2:27" ht="10.95" customHeight="1" x14ac:dyDescent="0.3">
      <c r="B11" s="793"/>
      <c r="C11" s="862"/>
      <c r="D11" s="786"/>
      <c r="E11" s="786"/>
      <c r="F11" s="705" t="s">
        <v>673</v>
      </c>
      <c r="G11" s="706">
        <f>G10/G9</f>
        <v>0.86325665445435007</v>
      </c>
      <c r="H11" s="706">
        <f>H10/H9</f>
        <v>1.1144529470359759</v>
      </c>
      <c r="I11" s="706">
        <f>I10/I9</f>
        <v>0.90275524963351961</v>
      </c>
      <c r="J11" s="706">
        <f>J10/J9</f>
        <v>0.81068713508891455</v>
      </c>
      <c r="K11" s="706">
        <f t="shared" ref="K11:T11" si="2">K10/K9</f>
        <v>0.86513130565985163</v>
      </c>
      <c r="L11" s="706">
        <f t="shared" si="2"/>
        <v>0.93307092290612348</v>
      </c>
      <c r="M11" s="706">
        <f t="shared" si="2"/>
        <v>0</v>
      </c>
      <c r="N11" s="706">
        <f t="shared" si="2"/>
        <v>0</v>
      </c>
      <c r="O11" s="706">
        <f t="shared" si="2"/>
        <v>0</v>
      </c>
      <c r="P11" s="706">
        <f t="shared" si="2"/>
        <v>0</v>
      </c>
      <c r="Q11" s="706">
        <f t="shared" si="2"/>
        <v>0</v>
      </c>
      <c r="R11" s="706">
        <f t="shared" si="2"/>
        <v>0</v>
      </c>
      <c r="S11" s="706">
        <f t="shared" si="2"/>
        <v>0.46338244498886594</v>
      </c>
      <c r="T11" s="706">
        <f t="shared" si="2"/>
        <v>0.78710646766243075</v>
      </c>
    </row>
    <row r="12" spans="2:27" ht="10.95" customHeight="1" x14ac:dyDescent="0.3">
      <c r="B12" s="793"/>
      <c r="C12" s="862"/>
      <c r="D12" s="784" t="s">
        <v>10</v>
      </c>
      <c r="E12" s="784">
        <v>33</v>
      </c>
      <c r="F12" s="690" t="s">
        <v>705</v>
      </c>
      <c r="G12" s="691">
        <f>4954*0.976</f>
        <v>4835.1040000000003</v>
      </c>
      <c r="H12" s="691">
        <f>0.976*4429</f>
        <v>4322.7039999999997</v>
      </c>
      <c r="I12" s="691">
        <f>0.976*4654</f>
        <v>4542.3040000000001</v>
      </c>
      <c r="J12" s="691">
        <f>0.976*4267</f>
        <v>4164.5919999999996</v>
      </c>
      <c r="K12" s="691">
        <f>0.976*4210</f>
        <v>4108.96</v>
      </c>
      <c r="L12" s="691">
        <f>0.976*3907</f>
        <v>3813.232</v>
      </c>
      <c r="M12" s="691">
        <f>0.976*4232</f>
        <v>4130.4319999999998</v>
      </c>
      <c r="N12" s="691">
        <f>0.976*4308</f>
        <v>4204.6080000000002</v>
      </c>
      <c r="O12" s="691">
        <f>0.976*4396</f>
        <v>4290.4960000000001</v>
      </c>
      <c r="P12" s="691">
        <f>0.976*4296</f>
        <v>4192.8959999999997</v>
      </c>
      <c r="Q12" s="691">
        <f>0.976*4168</f>
        <v>4067.9679999999998</v>
      </c>
      <c r="R12" s="691">
        <f>0.976*4842</f>
        <v>4725.7919999999995</v>
      </c>
      <c r="S12" s="692">
        <f>SUM(G12:R12)</f>
        <v>51399.088000000003</v>
      </c>
      <c r="T12" s="691">
        <f>SUM(G12:M12)</f>
        <v>29917.328000000001</v>
      </c>
    </row>
    <row r="13" spans="2:27" ht="10.95" customHeight="1" x14ac:dyDescent="0.3">
      <c r="B13" s="793"/>
      <c r="C13" s="862"/>
      <c r="D13" s="785"/>
      <c r="E13" s="785"/>
      <c r="F13" s="707" t="s">
        <v>706</v>
      </c>
      <c r="G13" s="708">
        <f>'Janeiro 25'!AI8</f>
        <v>3315.2000000000003</v>
      </c>
      <c r="H13" s="708">
        <f>'Fevereiro 25'!AF8</f>
        <v>3929.1000000000004</v>
      </c>
      <c r="I13" s="708">
        <f>'Março 25'!AI8</f>
        <v>3338.7</v>
      </c>
      <c r="J13" s="708">
        <f>'Abril 25'!AH8</f>
        <v>2698.5999999999995</v>
      </c>
      <c r="K13" s="708">
        <f>'Maio 25'!AI8</f>
        <v>2883.6000000000004</v>
      </c>
      <c r="L13" s="708">
        <f>'Junho 25'!AH8</f>
        <v>2949.4</v>
      </c>
      <c r="M13" s="708"/>
      <c r="N13" s="708"/>
      <c r="O13" s="708"/>
      <c r="P13" s="708"/>
      <c r="Q13" s="708"/>
      <c r="R13" s="708"/>
      <c r="S13" s="708">
        <f>SUM(G13:R13)</f>
        <v>19114.599999999999</v>
      </c>
      <c r="T13" s="708">
        <f>SUM(G13:M13)</f>
        <v>19114.599999999999</v>
      </c>
    </row>
    <row r="14" spans="2:27" ht="10.95" customHeight="1" x14ac:dyDescent="0.3">
      <c r="B14" s="793"/>
      <c r="C14" s="862"/>
      <c r="D14" s="786"/>
      <c r="E14" s="786"/>
      <c r="F14" s="705" t="s">
        <v>673</v>
      </c>
      <c r="G14" s="706">
        <f>G13/G12</f>
        <v>0.6856522631157469</v>
      </c>
      <c r="H14" s="706">
        <f>H13/H12</f>
        <v>0.90894495667526631</v>
      </c>
      <c r="I14" s="706">
        <f>I13/I12</f>
        <v>0.73502345946022096</v>
      </c>
      <c r="J14" s="706">
        <f>J13/J12</f>
        <v>0.64798664551053253</v>
      </c>
      <c r="K14" s="706">
        <f t="shared" ref="K14:T14" si="3">K13/K12</f>
        <v>0.70178341964876767</v>
      </c>
      <c r="L14" s="706">
        <f t="shared" si="3"/>
        <v>0.77346460954906493</v>
      </c>
      <c r="M14" s="706">
        <f t="shared" si="3"/>
        <v>0</v>
      </c>
      <c r="N14" s="706">
        <f t="shared" si="3"/>
        <v>0</v>
      </c>
      <c r="O14" s="706">
        <f t="shared" si="3"/>
        <v>0</v>
      </c>
      <c r="P14" s="706">
        <f t="shared" si="3"/>
        <v>0</v>
      </c>
      <c r="Q14" s="706">
        <f t="shared" si="3"/>
        <v>0</v>
      </c>
      <c r="R14" s="706">
        <f t="shared" si="3"/>
        <v>0</v>
      </c>
      <c r="S14" s="706">
        <f t="shared" si="3"/>
        <v>0.37188597587568084</v>
      </c>
      <c r="T14" s="706">
        <f t="shared" si="3"/>
        <v>0.63891400996773506</v>
      </c>
    </row>
    <row r="15" spans="2:27" ht="10.95" customHeight="1" x14ac:dyDescent="0.3">
      <c r="B15" s="793"/>
      <c r="C15" s="862"/>
      <c r="D15" s="784" t="s">
        <v>707</v>
      </c>
      <c r="E15" s="784">
        <v>12</v>
      </c>
      <c r="F15" s="690" t="s">
        <v>705</v>
      </c>
      <c r="G15" s="691">
        <f>1733*0.976</f>
        <v>1691.4079999999999</v>
      </c>
      <c r="H15" s="691">
        <f>0.976*1572</f>
        <v>1534.2719999999999</v>
      </c>
      <c r="I15" s="691">
        <f>0.976*1675</f>
        <v>1634.8</v>
      </c>
      <c r="J15" s="691">
        <f>0.976*1556</f>
        <v>1518.6559999999999</v>
      </c>
      <c r="K15" s="691">
        <f>0.976*1555</f>
        <v>1517.68</v>
      </c>
      <c r="L15" s="691">
        <f>0.976*1460</f>
        <v>1424.96</v>
      </c>
      <c r="M15" s="691">
        <f>0.976*1577</f>
        <v>1539.152</v>
      </c>
      <c r="N15" s="691">
        <f>0.976*1574</f>
        <v>1536.2239999999999</v>
      </c>
      <c r="O15" s="691">
        <f>0.976*1586</f>
        <v>1547.9359999999999</v>
      </c>
      <c r="P15" s="691">
        <f>0.976*1525</f>
        <v>1488.3999999999999</v>
      </c>
      <c r="Q15" s="691">
        <f>0.976*1450</f>
        <v>1415.2</v>
      </c>
      <c r="R15" s="691">
        <f>0.976*1681</f>
        <v>1640.6559999999999</v>
      </c>
      <c r="S15" s="692">
        <f>SUM(G15:R15)</f>
        <v>18489.343999999997</v>
      </c>
      <c r="T15" s="691">
        <f>SUM(G15:M15)</f>
        <v>10860.928</v>
      </c>
    </row>
    <row r="16" spans="2:27" ht="10.95" customHeight="1" x14ac:dyDescent="0.3">
      <c r="B16" s="793"/>
      <c r="C16" s="862"/>
      <c r="D16" s="785"/>
      <c r="E16" s="785"/>
      <c r="F16" s="707" t="s">
        <v>706</v>
      </c>
      <c r="G16" s="708">
        <f>'Janeiro 25'!AI9</f>
        <v>1268.9000000000001</v>
      </c>
      <c r="H16" s="708">
        <f>'Fevereiro 25'!AF9</f>
        <v>1306.5</v>
      </c>
      <c r="I16" s="708">
        <f>'Março 25'!AI9</f>
        <v>1323.3</v>
      </c>
      <c r="J16" s="708">
        <f>'Abril 25'!AH9</f>
        <v>1090.8000000000002</v>
      </c>
      <c r="K16" s="708">
        <f>'Maio 25'!AI9</f>
        <v>1101.3999999999999</v>
      </c>
      <c r="L16" s="708">
        <f>'Junho 25'!AH9</f>
        <v>1263.3</v>
      </c>
      <c r="M16" s="708"/>
      <c r="N16" s="708"/>
      <c r="O16" s="708"/>
      <c r="P16" s="708"/>
      <c r="Q16" s="708"/>
      <c r="R16" s="708"/>
      <c r="S16" s="708">
        <f>SUM(G16:R16)</f>
        <v>7354.2</v>
      </c>
      <c r="T16" s="708">
        <f>SUM(G16:M16)</f>
        <v>7354.2</v>
      </c>
    </row>
    <row r="17" spans="2:20" ht="10.95" customHeight="1" x14ac:dyDescent="0.3">
      <c r="B17" s="793"/>
      <c r="C17" s="862"/>
      <c r="D17" s="786"/>
      <c r="E17" s="786"/>
      <c r="F17" s="705" t="s">
        <v>673</v>
      </c>
      <c r="G17" s="706">
        <f>G16/G15</f>
        <v>0.75020338085192939</v>
      </c>
      <c r="H17" s="706">
        <f>H16/H15</f>
        <v>0.85154392441496685</v>
      </c>
      <c r="I17" s="706">
        <f>I16/I15</f>
        <v>0.80945681428920968</v>
      </c>
      <c r="J17" s="706">
        <f>J16/J15</f>
        <v>0.7182666779046738</v>
      </c>
      <c r="K17" s="706">
        <f t="shared" ref="K17:T17" si="4">K16/K15</f>
        <v>0.72571293026197869</v>
      </c>
      <c r="L17" s="706">
        <f t="shared" si="4"/>
        <v>0.88655120143723332</v>
      </c>
      <c r="M17" s="706">
        <f t="shared" si="4"/>
        <v>0</v>
      </c>
      <c r="N17" s="706">
        <f t="shared" si="4"/>
        <v>0</v>
      </c>
      <c r="O17" s="706">
        <f t="shared" si="4"/>
        <v>0</v>
      </c>
      <c r="P17" s="706">
        <f t="shared" si="4"/>
        <v>0</v>
      </c>
      <c r="Q17" s="706">
        <f t="shared" si="4"/>
        <v>0</v>
      </c>
      <c r="R17" s="706">
        <f t="shared" si="4"/>
        <v>0</v>
      </c>
      <c r="S17" s="706">
        <f t="shared" si="4"/>
        <v>0.39775343030017729</v>
      </c>
      <c r="T17" s="706">
        <f t="shared" si="4"/>
        <v>0.67712445934638366</v>
      </c>
    </row>
    <row r="18" spans="2:20" ht="10.95" customHeight="1" x14ac:dyDescent="0.3">
      <c r="B18" s="793"/>
      <c r="C18" s="862"/>
      <c r="D18" s="784" t="s">
        <v>12</v>
      </c>
      <c r="E18" s="784">
        <v>25</v>
      </c>
      <c r="F18" s="690" t="s">
        <v>705</v>
      </c>
      <c r="G18" s="691">
        <f>3553*0.976</f>
        <v>3467.7280000000001</v>
      </c>
      <c r="H18" s="691">
        <f>0.976*3307</f>
        <v>3227.6320000000001</v>
      </c>
      <c r="I18" s="691">
        <f>0.976*3510</f>
        <v>3425.7599999999998</v>
      </c>
      <c r="J18" s="691">
        <f>0.976*3248</f>
        <v>3170.0479999999998</v>
      </c>
      <c r="K18" s="691">
        <f>0.976*3267</f>
        <v>3188.5920000000001</v>
      </c>
      <c r="L18" s="691">
        <f>0.976*2730</f>
        <v>2664.48</v>
      </c>
      <c r="M18" s="691">
        <f>0.976*3312</f>
        <v>3232.5119999999997</v>
      </c>
      <c r="N18" s="691">
        <f>0.976*3312</f>
        <v>3232.5119999999997</v>
      </c>
      <c r="O18" s="691">
        <f>0.976*3330</f>
        <v>3250.08</v>
      </c>
      <c r="P18" s="691">
        <f>0.976*3227</f>
        <v>3149.5520000000001</v>
      </c>
      <c r="Q18" s="691">
        <f>0.976*2798</f>
        <v>2730.848</v>
      </c>
      <c r="R18" s="691">
        <f>0.976*3568</f>
        <v>3482.3679999999999</v>
      </c>
      <c r="S18" s="692">
        <f>SUM(G18:R18)</f>
        <v>38222.112000000001</v>
      </c>
      <c r="T18" s="691">
        <f>SUM(G18:M18)</f>
        <v>22376.752</v>
      </c>
    </row>
    <row r="19" spans="2:20" ht="10.95" customHeight="1" x14ac:dyDescent="0.3">
      <c r="B19" s="793"/>
      <c r="C19" s="862"/>
      <c r="D19" s="785"/>
      <c r="E19" s="785"/>
      <c r="F19" s="707" t="s">
        <v>706</v>
      </c>
      <c r="G19" s="708">
        <f>'Janeiro 25'!AI10</f>
        <v>987</v>
      </c>
      <c r="H19" s="708">
        <f>'Fevereiro 25'!AF10</f>
        <v>885.3</v>
      </c>
      <c r="I19" s="708">
        <f>'Março 25'!AI10</f>
        <v>1313.3</v>
      </c>
      <c r="J19" s="708">
        <f>'Abril 25'!AH10</f>
        <v>1265.2</v>
      </c>
      <c r="K19" s="708">
        <f>'Maio 25'!AI10</f>
        <v>1170.2000000000003</v>
      </c>
      <c r="L19" s="708">
        <f>'Junho 25'!AH10</f>
        <v>1237.1000000000001</v>
      </c>
      <c r="M19" s="708"/>
      <c r="N19" s="708"/>
      <c r="O19" s="708"/>
      <c r="P19" s="708"/>
      <c r="Q19" s="708"/>
      <c r="R19" s="708"/>
      <c r="S19" s="708">
        <f>SUM(G19:R19)</f>
        <v>6858.1</v>
      </c>
      <c r="T19" s="708">
        <f>SUM(G19:M19)</f>
        <v>6858.1</v>
      </c>
    </row>
    <row r="20" spans="2:20" ht="10.95" customHeight="1" x14ac:dyDescent="0.3">
      <c r="B20" s="793"/>
      <c r="C20" s="862"/>
      <c r="D20" s="786"/>
      <c r="E20" s="786"/>
      <c r="F20" s="705" t="s">
        <v>673</v>
      </c>
      <c r="G20" s="706">
        <f>G19/G18</f>
        <v>0.28462439960688957</v>
      </c>
      <c r="H20" s="706">
        <f>H19/H18</f>
        <v>0.2742877750623367</v>
      </c>
      <c r="I20" s="706">
        <f>I19/I18</f>
        <v>0.38336018868805755</v>
      </c>
      <c r="J20" s="706">
        <f>J19/J18</f>
        <v>0.39911067592667371</v>
      </c>
      <c r="K20" s="706">
        <f t="shared" ref="K20:T20" si="5">K19/K18</f>
        <v>0.36699584017020687</v>
      </c>
      <c r="L20" s="706">
        <f t="shared" si="5"/>
        <v>0.46429322044076149</v>
      </c>
      <c r="M20" s="706">
        <f t="shared" si="5"/>
        <v>0</v>
      </c>
      <c r="N20" s="706">
        <f t="shared" si="5"/>
        <v>0</v>
      </c>
      <c r="O20" s="706">
        <f t="shared" si="5"/>
        <v>0</v>
      </c>
      <c r="P20" s="706">
        <f t="shared" si="5"/>
        <v>0</v>
      </c>
      <c r="Q20" s="706">
        <f t="shared" si="5"/>
        <v>0</v>
      </c>
      <c r="R20" s="706">
        <f t="shared" si="5"/>
        <v>0</v>
      </c>
      <c r="S20" s="706">
        <f t="shared" si="5"/>
        <v>0.17942755230270896</v>
      </c>
      <c r="T20" s="706">
        <f t="shared" si="5"/>
        <v>0.30648326441656948</v>
      </c>
    </row>
    <row r="21" spans="2:20" ht="10.95" customHeight="1" x14ac:dyDescent="0.3">
      <c r="B21" s="793"/>
      <c r="C21" s="862"/>
      <c r="D21" s="784" t="s">
        <v>13</v>
      </c>
      <c r="E21" s="858">
        <v>110</v>
      </c>
      <c r="F21" s="690" t="s">
        <v>705</v>
      </c>
      <c r="G21" s="691">
        <f>9410.7*0.976</f>
        <v>9184.8432000000012</v>
      </c>
      <c r="H21" s="691">
        <f>0.976*9477.39</f>
        <v>9249.9326399999991</v>
      </c>
      <c r="I21" s="691">
        <f>0.976*9336.6</f>
        <v>9112.5216</v>
      </c>
      <c r="J21" s="691">
        <f>0.976*8588.931</f>
        <v>8382.7966560000004</v>
      </c>
      <c r="K21" s="691">
        <f>0.976*7995.39</f>
        <v>7803.5006400000002</v>
      </c>
      <c r="L21" s="691">
        <f>0.976*7141.758</f>
        <v>6970.3558079999993</v>
      </c>
      <c r="M21" s="750">
        <v>10258.774943999999</v>
      </c>
      <c r="N21" s="691">
        <v>12752.177856</v>
      </c>
      <c r="O21" s="691">
        <v>11592.243167999999</v>
      </c>
      <c r="P21" s="691">
        <v>11809.413791999999</v>
      </c>
      <c r="Q21" s="691">
        <v>10836.205247999998</v>
      </c>
      <c r="R21" s="691">
        <v>12787.696416000001</v>
      </c>
      <c r="S21" s="692">
        <f>SUM(G21:R21)</f>
        <v>120740.46196799999</v>
      </c>
      <c r="T21" s="691">
        <f>SUM(G21:M21)</f>
        <v>60962.725487999996</v>
      </c>
    </row>
    <row r="22" spans="2:20" ht="10.95" customHeight="1" x14ac:dyDescent="0.3">
      <c r="B22" s="793"/>
      <c r="C22" s="862"/>
      <c r="D22" s="785"/>
      <c r="E22" s="859"/>
      <c r="F22" s="707" t="s">
        <v>706</v>
      </c>
      <c r="G22" s="708">
        <f>'Janeiro 25'!AI11</f>
        <v>9733.7000000000007</v>
      </c>
      <c r="H22" s="708">
        <f>'Fevereiro 25'!AF11</f>
        <v>10609.300000000001</v>
      </c>
      <c r="I22" s="708">
        <f>'Março 25'!AI11</f>
        <v>9761.0999999999967</v>
      </c>
      <c r="J22" s="708">
        <f>'Abril 25'!AH11</f>
        <v>7458</v>
      </c>
      <c r="K22" s="708">
        <f>'Maio 25'!AI11</f>
        <v>6091</v>
      </c>
      <c r="L22" s="708">
        <f>'Junho 25'!AH11</f>
        <v>10284.299999999999</v>
      </c>
      <c r="M22" s="708"/>
      <c r="N22" s="708"/>
      <c r="O22" s="708"/>
      <c r="P22" s="708"/>
      <c r="Q22" s="708"/>
      <c r="R22" s="708"/>
      <c r="S22" s="708">
        <f>SUM(G22:R22)</f>
        <v>53937.399999999994</v>
      </c>
      <c r="T22" s="708">
        <f>SUM(G22:M22)</f>
        <v>53937.399999999994</v>
      </c>
    </row>
    <row r="23" spans="2:20" ht="10.95" customHeight="1" x14ac:dyDescent="0.3">
      <c r="B23" s="793"/>
      <c r="C23" s="862"/>
      <c r="D23" s="786"/>
      <c r="E23" s="860"/>
      <c r="F23" s="705" t="s">
        <v>673</v>
      </c>
      <c r="G23" s="706">
        <f>G22/G21</f>
        <v>1.0597567958481859</v>
      </c>
      <c r="H23" s="706">
        <f>H22/H21</f>
        <v>1.1469597036979073</v>
      </c>
      <c r="I23" s="706">
        <f>I22/I21</f>
        <v>1.0711744156524137</v>
      </c>
      <c r="J23" s="706">
        <f>J22/J21</f>
        <v>0.88967922115370945</v>
      </c>
      <c r="K23" s="706">
        <f>K22/K21</f>
        <v>0.7805471263471313</v>
      </c>
      <c r="L23" s="706">
        <f t="shared" ref="L23:T23" si="6">L22/L21</f>
        <v>1.4754340069981116</v>
      </c>
      <c r="M23" s="706">
        <f t="shared" si="6"/>
        <v>0</v>
      </c>
      <c r="N23" s="706">
        <f t="shared" si="6"/>
        <v>0</v>
      </c>
      <c r="O23" s="706">
        <f t="shared" si="6"/>
        <v>0</v>
      </c>
      <c r="P23" s="706">
        <f t="shared" si="6"/>
        <v>0</v>
      </c>
      <c r="Q23" s="706">
        <f t="shared" si="6"/>
        <v>0</v>
      </c>
      <c r="R23" s="706">
        <f t="shared" si="6"/>
        <v>0</v>
      </c>
      <c r="S23" s="706">
        <f t="shared" si="6"/>
        <v>0.44672182896148849</v>
      </c>
      <c r="T23" s="706">
        <f t="shared" si="6"/>
        <v>0.88476031162053481</v>
      </c>
    </row>
    <row r="24" spans="2:20" ht="10.95" customHeight="1" x14ac:dyDescent="0.3">
      <c r="B24" s="793"/>
      <c r="C24" s="862"/>
      <c r="D24" s="784" t="s">
        <v>14</v>
      </c>
      <c r="E24" s="784">
        <v>60</v>
      </c>
      <c r="F24" s="690" t="s">
        <v>705</v>
      </c>
      <c r="G24" s="691">
        <f>7239*0.984</f>
        <v>7123.1759999999995</v>
      </c>
      <c r="H24" s="691">
        <f>0.984*7290.3</f>
        <v>7173.6552000000001</v>
      </c>
      <c r="I24" s="691">
        <f>0.984*7182</f>
        <v>7067.0879999999997</v>
      </c>
      <c r="J24" s="691">
        <f>0.984*6606.87</f>
        <v>6501.1600799999997</v>
      </c>
      <c r="K24" s="691">
        <f>0.984*6150.3</f>
        <v>6051.8951999999999</v>
      </c>
      <c r="L24" s="691">
        <f>0.984*5493.66</f>
        <v>5405.7614400000002</v>
      </c>
      <c r="M24" s="691">
        <f>0.984*5762.13</f>
        <v>5669.9359199999999</v>
      </c>
      <c r="N24" s="691">
        <f>0.984*7162.62</f>
        <v>7048.0180799999998</v>
      </c>
      <c r="O24" s="691">
        <f>0.984*6511.11</f>
        <v>6406.9322399999992</v>
      </c>
      <c r="P24" s="691">
        <f>0.984*6633.09</f>
        <v>6526.9605600000004</v>
      </c>
      <c r="Q24" s="691">
        <f>0.984*6086.46</f>
        <v>5989.0766400000002</v>
      </c>
      <c r="R24" s="691">
        <f>0.984*7182.57</f>
        <v>7067.6488799999997</v>
      </c>
      <c r="S24" s="692">
        <f>SUM(G24:R24)</f>
        <v>78031.308239999998</v>
      </c>
      <c r="T24" s="691">
        <f>SUM(G24:M24)</f>
        <v>44992.671839999995</v>
      </c>
    </row>
    <row r="25" spans="2:20" ht="10.95" customHeight="1" x14ac:dyDescent="0.3">
      <c r="B25" s="793"/>
      <c r="C25" s="862"/>
      <c r="D25" s="785"/>
      <c r="E25" s="785"/>
      <c r="F25" s="707" t="s">
        <v>706</v>
      </c>
      <c r="G25" s="708">
        <f>'Janeiro 25'!AI12</f>
        <v>7388.4000000000005</v>
      </c>
      <c r="H25" s="708">
        <f>'Fevereiro 25'!AF12</f>
        <v>10001</v>
      </c>
      <c r="I25" s="708">
        <f>'Março 25'!AI12</f>
        <v>8723</v>
      </c>
      <c r="J25" s="708">
        <f>'Abril 25'!AH12</f>
        <v>6976</v>
      </c>
      <c r="K25" s="708">
        <f>'Maio 25'!AI12</f>
        <v>6424</v>
      </c>
      <c r="L25" s="708">
        <f>'Junho 25'!AH12</f>
        <v>7420</v>
      </c>
      <c r="M25" s="708"/>
      <c r="N25" s="708"/>
      <c r="O25" s="708"/>
      <c r="P25" s="708"/>
      <c r="Q25" s="708"/>
      <c r="R25" s="708"/>
      <c r="S25" s="708">
        <f>SUM(G25:R25)</f>
        <v>46932.4</v>
      </c>
      <c r="T25" s="708">
        <f>SUM(G25:M25)</f>
        <v>46932.4</v>
      </c>
    </row>
    <row r="26" spans="2:20" ht="10.95" customHeight="1" x14ac:dyDescent="0.3">
      <c r="B26" s="793"/>
      <c r="C26" s="862"/>
      <c r="D26" s="786"/>
      <c r="E26" s="786"/>
      <c r="F26" s="705" t="s">
        <v>673</v>
      </c>
      <c r="G26" s="706">
        <f>G25/G24</f>
        <v>1.0372339529445855</v>
      </c>
      <c r="H26" s="706">
        <f>H25/H24</f>
        <v>1.3941288954060687</v>
      </c>
      <c r="I26" s="706">
        <f>I25/I24</f>
        <v>1.2343131994394296</v>
      </c>
      <c r="J26" s="706">
        <f>J25/J24</f>
        <v>1.0730392597870011</v>
      </c>
      <c r="K26" s="706">
        <f>K25/K24</f>
        <v>1.0614856648542097</v>
      </c>
      <c r="L26" s="706">
        <f t="shared" ref="L26:T26" si="7">L25/L24</f>
        <v>1.3726095911476255</v>
      </c>
      <c r="M26" s="706">
        <f t="shared" si="7"/>
        <v>0</v>
      </c>
      <c r="N26" s="706">
        <f t="shared" si="7"/>
        <v>0</v>
      </c>
      <c r="O26" s="706">
        <f t="shared" si="7"/>
        <v>0</v>
      </c>
      <c r="P26" s="706">
        <f t="shared" si="7"/>
        <v>0</v>
      </c>
      <c r="Q26" s="706">
        <f t="shared" si="7"/>
        <v>0</v>
      </c>
      <c r="R26" s="706">
        <f t="shared" si="7"/>
        <v>0</v>
      </c>
      <c r="S26" s="706">
        <f t="shared" si="7"/>
        <v>0.60145601885400357</v>
      </c>
      <c r="T26" s="706">
        <f t="shared" si="7"/>
        <v>1.0431120909400078</v>
      </c>
    </row>
    <row r="27" spans="2:20" ht="10.95" customHeight="1" x14ac:dyDescent="0.3">
      <c r="B27" s="793"/>
      <c r="C27" s="869" t="s">
        <v>1040</v>
      </c>
      <c r="D27" s="855" t="s">
        <v>17</v>
      </c>
      <c r="E27" s="855">
        <v>100</v>
      </c>
      <c r="F27" s="408" t="s">
        <v>705</v>
      </c>
      <c r="G27" s="409">
        <f>12700*0.984</f>
        <v>12496.8</v>
      </c>
      <c r="H27" s="409">
        <f>0.984*12790</f>
        <v>12585.36</v>
      </c>
      <c r="I27" s="409">
        <f>0.984*12600</f>
        <v>12398.4</v>
      </c>
      <c r="J27" s="409">
        <f>0.984*11591</f>
        <v>11405.544</v>
      </c>
      <c r="K27" s="409">
        <f>0.984*10790</f>
        <v>10617.36</v>
      </c>
      <c r="L27" s="409">
        <f>0.984*9638</f>
        <v>9483.7919999999995</v>
      </c>
      <c r="M27" s="409">
        <f>0.984*10109</f>
        <v>9947.2559999999994</v>
      </c>
      <c r="N27" s="409">
        <f>0.984*12566</f>
        <v>12364.944</v>
      </c>
      <c r="O27" s="409">
        <f>0.984*11423</f>
        <v>11240.232</v>
      </c>
      <c r="P27" s="409">
        <f>0.984*11637</f>
        <v>11450.807999999999</v>
      </c>
      <c r="Q27" s="409">
        <f>0.984*10678</f>
        <v>10507.152</v>
      </c>
      <c r="R27" s="409">
        <f>0.984*12601</f>
        <v>12399.384</v>
      </c>
      <c r="S27" s="410">
        <f>SUM(G27:R27)</f>
        <v>136897.03200000001</v>
      </c>
      <c r="T27" s="409">
        <f>SUM(G27:M27)</f>
        <v>78934.511999999988</v>
      </c>
    </row>
    <row r="28" spans="2:20" ht="10.95" customHeight="1" x14ac:dyDescent="0.3">
      <c r="B28" s="793"/>
      <c r="C28" s="869"/>
      <c r="D28" s="856"/>
      <c r="E28" s="856"/>
      <c r="F28" s="707" t="s">
        <v>706</v>
      </c>
      <c r="G28" s="708">
        <f>'Janeiro 25'!AI13</f>
        <v>12187.6</v>
      </c>
      <c r="H28" s="708">
        <f>'Fevereiro 25'!AF13</f>
        <v>13436.200000000003</v>
      </c>
      <c r="I28" s="708">
        <f>'Março 25'!AI13</f>
        <v>11997.199999999999</v>
      </c>
      <c r="J28" s="708">
        <f>'Abril 25'!AH13</f>
        <v>9529.6999999999971</v>
      </c>
      <c r="K28" s="708">
        <f>'Maio 25'!AI13</f>
        <v>10009.400000000001</v>
      </c>
      <c r="L28" s="708"/>
      <c r="M28" s="708"/>
      <c r="N28" s="708"/>
      <c r="O28" s="708"/>
      <c r="P28" s="708"/>
      <c r="Q28" s="708"/>
      <c r="R28" s="708"/>
      <c r="S28" s="708">
        <f>SUM(G28:R28)</f>
        <v>57160.1</v>
      </c>
      <c r="T28" s="708">
        <f>SUM(G28:M28)</f>
        <v>57160.1</v>
      </c>
    </row>
    <row r="29" spans="2:20" ht="10.95" customHeight="1" x14ac:dyDescent="0.3">
      <c r="B29" s="793"/>
      <c r="C29" s="869"/>
      <c r="D29" s="857"/>
      <c r="E29" s="857"/>
      <c r="F29" s="408" t="s">
        <v>673</v>
      </c>
      <c r="G29" s="423">
        <f>G28/G27</f>
        <v>0.97525766596248653</v>
      </c>
      <c r="H29" s="423">
        <f>H28/H27</f>
        <v>1.0676055353204041</v>
      </c>
      <c r="I29" s="423">
        <f>I28/I27</f>
        <v>0.96764098593366876</v>
      </c>
      <c r="J29" s="423">
        <f>J28/J27</f>
        <v>0.83553226395864999</v>
      </c>
      <c r="K29" s="423">
        <f>K28/K27</f>
        <v>0.94273906131090979</v>
      </c>
      <c r="L29" s="423">
        <f t="shared" ref="L29:T29" si="8">L28/L27</f>
        <v>0</v>
      </c>
      <c r="M29" s="423">
        <f t="shared" si="8"/>
        <v>0</v>
      </c>
      <c r="N29" s="423">
        <f t="shared" si="8"/>
        <v>0</v>
      </c>
      <c r="O29" s="423">
        <f t="shared" si="8"/>
        <v>0</v>
      </c>
      <c r="P29" s="423">
        <f t="shared" si="8"/>
        <v>0</v>
      </c>
      <c r="Q29" s="423">
        <f t="shared" si="8"/>
        <v>0</v>
      </c>
      <c r="R29" s="423">
        <f t="shared" si="8"/>
        <v>0</v>
      </c>
      <c r="S29" s="423">
        <f t="shared" si="8"/>
        <v>0.41754082732779768</v>
      </c>
      <c r="T29" s="423">
        <f t="shared" si="8"/>
        <v>0.72414585903818607</v>
      </c>
    </row>
    <row r="30" spans="2:20" ht="10.95" customHeight="1" x14ac:dyDescent="0.3">
      <c r="B30" s="793"/>
      <c r="C30" s="869"/>
      <c r="D30" s="855" t="s">
        <v>18</v>
      </c>
      <c r="E30" s="855">
        <v>100</v>
      </c>
      <c r="F30" s="408" t="s">
        <v>705</v>
      </c>
      <c r="G30" s="409">
        <f>12700*0.976</f>
        <v>12395.199999999999</v>
      </c>
      <c r="H30" s="409">
        <f>0.976*12790</f>
        <v>12483.039999999999</v>
      </c>
      <c r="I30" s="409">
        <f>0.976*12600</f>
        <v>12297.6</v>
      </c>
      <c r="J30" s="409">
        <f>0.976*11591</f>
        <v>11312.815999999999</v>
      </c>
      <c r="K30" s="409">
        <f>0.976*10790</f>
        <v>10531.039999999999</v>
      </c>
      <c r="L30" s="409">
        <f>0.976*9638</f>
        <v>9406.6880000000001</v>
      </c>
      <c r="M30" s="409">
        <f>0.976*10109</f>
        <v>9866.384</v>
      </c>
      <c r="N30" s="409">
        <f>0.976*12566</f>
        <v>12264.415999999999</v>
      </c>
      <c r="O30" s="409">
        <f>0.976*11423</f>
        <v>11148.848</v>
      </c>
      <c r="P30" s="409">
        <f>0.976*11637</f>
        <v>11357.712</v>
      </c>
      <c r="Q30" s="409">
        <f>0.976*10678</f>
        <v>10421.727999999999</v>
      </c>
      <c r="R30" s="409">
        <f>0.976*12601</f>
        <v>12298.575999999999</v>
      </c>
      <c r="S30" s="410">
        <f>SUM(G30:R30)</f>
        <v>135784.04799999998</v>
      </c>
      <c r="T30" s="409">
        <f>SUM(G30:M30)</f>
        <v>78292.767999999996</v>
      </c>
    </row>
    <row r="31" spans="2:20" ht="10.95" customHeight="1" x14ac:dyDescent="0.3">
      <c r="B31" s="793"/>
      <c r="C31" s="869"/>
      <c r="D31" s="856"/>
      <c r="E31" s="856"/>
      <c r="F31" s="707" t="s">
        <v>706</v>
      </c>
      <c r="G31" s="708">
        <f>'Janeiro 25'!AI14</f>
        <v>13313.999999999998</v>
      </c>
      <c r="H31" s="708">
        <f>'Fevereiro 25'!AF14</f>
        <v>8207.5</v>
      </c>
      <c r="I31" s="708">
        <f>'Março 25'!AI14</f>
        <v>8334.0999999999985</v>
      </c>
      <c r="J31" s="708"/>
      <c r="K31" s="708"/>
      <c r="L31" s="708"/>
      <c r="M31" s="708"/>
      <c r="N31" s="708"/>
      <c r="O31" s="708"/>
      <c r="P31" s="708"/>
      <c r="Q31" s="708"/>
      <c r="R31" s="708"/>
      <c r="S31" s="708">
        <f>SUM(G31:R31)</f>
        <v>29855.599999999999</v>
      </c>
      <c r="T31" s="708">
        <f>SUM(G31:M31)</f>
        <v>29855.599999999999</v>
      </c>
    </row>
    <row r="32" spans="2:20" ht="10.95" customHeight="1" x14ac:dyDescent="0.3">
      <c r="B32" s="793"/>
      <c r="C32" s="869"/>
      <c r="D32" s="857"/>
      <c r="E32" s="857"/>
      <c r="F32" s="705" t="s">
        <v>673</v>
      </c>
      <c r="G32" s="706">
        <f>G31/G30</f>
        <v>1.074125467923067</v>
      </c>
      <c r="H32" s="706">
        <f>H31/H30</f>
        <v>0.65749208526128256</v>
      </c>
      <c r="I32" s="706">
        <f>I31/I30</f>
        <v>0.67770134009888094</v>
      </c>
      <c r="J32" s="706">
        <f>J31/J30</f>
        <v>0</v>
      </c>
      <c r="K32" s="706">
        <f>K31/K30</f>
        <v>0</v>
      </c>
      <c r="L32" s="706">
        <f t="shared" ref="L32:T32" si="9">L31/L30</f>
        <v>0</v>
      </c>
      <c r="M32" s="706">
        <f t="shared" si="9"/>
        <v>0</v>
      </c>
      <c r="N32" s="706">
        <f t="shared" si="9"/>
        <v>0</v>
      </c>
      <c r="O32" s="706">
        <f t="shared" si="9"/>
        <v>0</v>
      </c>
      <c r="P32" s="706">
        <f t="shared" si="9"/>
        <v>0</v>
      </c>
      <c r="Q32" s="706">
        <f t="shared" si="9"/>
        <v>0</v>
      </c>
      <c r="R32" s="706">
        <f t="shared" si="9"/>
        <v>0</v>
      </c>
      <c r="S32" s="706">
        <f t="shared" si="9"/>
        <v>0.21987560718472618</v>
      </c>
      <c r="T32" s="706">
        <f t="shared" si="9"/>
        <v>0.38133279436486395</v>
      </c>
    </row>
    <row r="33" spans="2:22" ht="10.95" customHeight="1" x14ac:dyDescent="0.3">
      <c r="B33" s="793"/>
      <c r="C33" s="869"/>
      <c r="D33" s="855" t="s">
        <v>110</v>
      </c>
      <c r="E33" s="855">
        <v>29</v>
      </c>
      <c r="F33" s="408" t="s">
        <v>705</v>
      </c>
      <c r="G33" s="409">
        <f>3498.85*0.984</f>
        <v>3442.8683999999998</v>
      </c>
      <c r="H33" s="409">
        <f>0.984*3523.645</f>
        <v>3467.2666799999997</v>
      </c>
      <c r="I33" s="409">
        <f>0.984*3471.3</f>
        <v>3415.7592</v>
      </c>
      <c r="J33" s="409">
        <f>0.984*3193.3205</f>
        <v>3142.2273719999998</v>
      </c>
      <c r="K33" s="409">
        <f>0.984*2972.645</f>
        <v>2925.08268</v>
      </c>
      <c r="L33" s="409">
        <f>0.984*2655.269</f>
        <v>2612.7846959999997</v>
      </c>
      <c r="M33" s="409">
        <f>0.984*2785.0295</f>
        <v>2740.469028</v>
      </c>
      <c r="N33" s="409">
        <f>0.984*3461.933</f>
        <v>3406.5420719999997</v>
      </c>
      <c r="O33" s="409">
        <f>0.984*3147.0365</f>
        <v>3096.683916</v>
      </c>
      <c r="P33" s="409">
        <f>0.984*3205.9935</f>
        <v>3154.697604</v>
      </c>
      <c r="Q33" s="409">
        <f>0.984*2941.789</f>
        <v>2894.7203760000002</v>
      </c>
      <c r="R33" s="409">
        <f>0.984*3471.5755</f>
        <v>3416.0302919999999</v>
      </c>
      <c r="S33" s="410">
        <f>SUM(G33:R33)</f>
        <v>37715.132316000003</v>
      </c>
      <c r="T33" s="409">
        <f>SUM(G33:M33)</f>
        <v>21746.458055999999</v>
      </c>
    </row>
    <row r="34" spans="2:22" ht="10.95" customHeight="1" x14ac:dyDescent="0.3">
      <c r="B34" s="793"/>
      <c r="C34" s="869"/>
      <c r="D34" s="856"/>
      <c r="E34" s="856"/>
      <c r="F34" s="707" t="s">
        <v>706</v>
      </c>
      <c r="G34" s="708">
        <f>'Janeiro 25'!AI15</f>
        <v>3697.5999999999995</v>
      </c>
      <c r="H34" s="708">
        <f>'Fevereiro 25'!AF15</f>
        <v>4015.3999999999996</v>
      </c>
      <c r="I34" s="708">
        <f>'Março 25'!AI15</f>
        <v>2230.2000000000003</v>
      </c>
      <c r="J34" s="708"/>
      <c r="K34" s="708"/>
      <c r="L34" s="708"/>
      <c r="M34" s="708"/>
      <c r="N34" s="708"/>
      <c r="O34" s="708"/>
      <c r="P34" s="708"/>
      <c r="Q34" s="708"/>
      <c r="R34" s="708"/>
      <c r="S34" s="708">
        <f>SUM(G34:R34)</f>
        <v>9943.1999999999989</v>
      </c>
      <c r="T34" s="708">
        <f>SUM(G34:M34)</f>
        <v>9943.1999999999989</v>
      </c>
      <c r="U34" s="402">
        <f>AVERAGE(G34:R34)</f>
        <v>3314.3999999999996</v>
      </c>
      <c r="V34" s="393">
        <f>U34*0.22</f>
        <v>729.16799999999989</v>
      </c>
    </row>
    <row r="35" spans="2:22" ht="10.95" customHeight="1" x14ac:dyDescent="0.3">
      <c r="B35" s="793"/>
      <c r="C35" s="869"/>
      <c r="D35" s="857"/>
      <c r="E35" s="857"/>
      <c r="F35" s="705" t="s">
        <v>673</v>
      </c>
      <c r="G35" s="706">
        <f>G34/G33</f>
        <v>1.07398818961538</v>
      </c>
      <c r="H35" s="706">
        <f>H34/H33</f>
        <v>1.1580880187733353</v>
      </c>
      <c r="I35" s="706">
        <f>I34/I33</f>
        <v>0.65291487760612643</v>
      </c>
      <c r="J35" s="706">
        <f>J34/J33</f>
        <v>0</v>
      </c>
      <c r="K35" s="706">
        <f>K34/K33</f>
        <v>0</v>
      </c>
      <c r="L35" s="706">
        <f t="shared" ref="L35:T35" si="10">L34/L33</f>
        <v>0</v>
      </c>
      <c r="M35" s="706">
        <f t="shared" si="10"/>
        <v>0</v>
      </c>
      <c r="N35" s="706">
        <f t="shared" si="10"/>
        <v>0</v>
      </c>
      <c r="O35" s="706">
        <f t="shared" si="10"/>
        <v>0</v>
      </c>
      <c r="P35" s="706">
        <f t="shared" si="10"/>
        <v>0</v>
      </c>
      <c r="Q35" s="706">
        <f t="shared" si="10"/>
        <v>0</v>
      </c>
      <c r="R35" s="706">
        <f t="shared" si="10"/>
        <v>0</v>
      </c>
      <c r="S35" s="706">
        <f t="shared" si="10"/>
        <v>0.26363953642505888</v>
      </c>
      <c r="T35" s="706">
        <f t="shared" si="10"/>
        <v>0.45723308018229664</v>
      </c>
    </row>
    <row r="36" spans="2:22" ht="10.95" customHeight="1" x14ac:dyDescent="0.3">
      <c r="B36" s="793"/>
      <c r="C36" s="869"/>
      <c r="D36" s="855" t="s">
        <v>20</v>
      </c>
      <c r="E36" s="855">
        <v>100</v>
      </c>
      <c r="F36" s="408" t="s">
        <v>705</v>
      </c>
      <c r="G36" s="409">
        <f>12700*0.984</f>
        <v>12496.8</v>
      </c>
      <c r="H36" s="409">
        <f>0.984*12790</f>
        <v>12585.36</v>
      </c>
      <c r="I36" s="409">
        <f>0.984*12600</f>
        <v>12398.4</v>
      </c>
      <c r="J36" s="409">
        <f>0.984*11591</f>
        <v>11405.544</v>
      </c>
      <c r="K36" s="409">
        <f>0.984*10790</f>
        <v>10617.36</v>
      </c>
      <c r="L36" s="409">
        <f>0.984*9638</f>
        <v>9483.7919999999995</v>
      </c>
      <c r="M36" s="409">
        <f>0.984*10109</f>
        <v>9947.2559999999994</v>
      </c>
      <c r="N36" s="409">
        <f>0.984*12566</f>
        <v>12364.944</v>
      </c>
      <c r="O36" s="409">
        <f>0.984*11423</f>
        <v>11240.232</v>
      </c>
      <c r="P36" s="409">
        <f>0.984*11637</f>
        <v>11450.807999999999</v>
      </c>
      <c r="Q36" s="409">
        <f>0.984*10678</f>
        <v>10507.152</v>
      </c>
      <c r="R36" s="409">
        <f>0.984*12601</f>
        <v>12399.384</v>
      </c>
      <c r="S36" s="410">
        <f>SUM(G36:R36)</f>
        <v>136897.03200000001</v>
      </c>
      <c r="T36" s="409">
        <f>SUM(G36:M36)</f>
        <v>78934.511999999988</v>
      </c>
    </row>
    <row r="37" spans="2:22" ht="10.95" customHeight="1" x14ac:dyDescent="0.3">
      <c r="B37" s="793"/>
      <c r="C37" s="869"/>
      <c r="D37" s="856"/>
      <c r="E37" s="856"/>
      <c r="F37" s="707" t="s">
        <v>706</v>
      </c>
      <c r="G37" s="708">
        <f>'Janeiro 25'!AI16</f>
        <v>12268.099999999999</v>
      </c>
      <c r="H37" s="708">
        <f>'Fevereiro 25'!AF16</f>
        <v>12269.899999999998</v>
      </c>
      <c r="I37" s="708">
        <f>'Março 25'!AI16</f>
        <v>12507.9</v>
      </c>
      <c r="J37" s="708"/>
      <c r="K37" s="708"/>
      <c r="L37" s="708"/>
      <c r="M37" s="708"/>
      <c r="N37" s="708"/>
      <c r="O37" s="708"/>
      <c r="P37" s="708"/>
      <c r="Q37" s="708"/>
      <c r="R37" s="708"/>
      <c r="S37" s="708">
        <f>SUM(G37:R37)</f>
        <v>37045.899999999994</v>
      </c>
      <c r="T37" s="708">
        <f>SUM(G37:M37)</f>
        <v>37045.899999999994</v>
      </c>
    </row>
    <row r="38" spans="2:22" ht="10.95" customHeight="1" x14ac:dyDescent="0.3">
      <c r="B38" s="794"/>
      <c r="C38" s="869"/>
      <c r="D38" s="857"/>
      <c r="E38" s="857"/>
      <c r="F38" s="705" t="s">
        <v>673</v>
      </c>
      <c r="G38" s="706">
        <f>G37/G36</f>
        <v>0.98169931502464625</v>
      </c>
      <c r="H38" s="706">
        <f>H37/H36</f>
        <v>0.97493436818652757</v>
      </c>
      <c r="I38" s="706">
        <f>I37/I36</f>
        <v>1.008831784746419</v>
      </c>
      <c r="J38" s="706">
        <f>J37/J36</f>
        <v>0</v>
      </c>
      <c r="K38" s="706">
        <f>K37/K36</f>
        <v>0</v>
      </c>
      <c r="L38" s="706">
        <f t="shared" ref="L38:T38" si="11">L37/L36</f>
        <v>0</v>
      </c>
      <c r="M38" s="706">
        <f t="shared" si="11"/>
        <v>0</v>
      </c>
      <c r="N38" s="706">
        <f t="shared" si="11"/>
        <v>0</v>
      </c>
      <c r="O38" s="706">
        <f t="shared" si="11"/>
        <v>0</v>
      </c>
      <c r="P38" s="706">
        <f t="shared" si="11"/>
        <v>0</v>
      </c>
      <c r="Q38" s="706">
        <f t="shared" si="11"/>
        <v>0</v>
      </c>
      <c r="R38" s="706">
        <f t="shared" si="11"/>
        <v>0</v>
      </c>
      <c r="S38" s="706">
        <f t="shared" si="11"/>
        <v>0.27061141836880725</v>
      </c>
      <c r="T38" s="706">
        <f t="shared" si="11"/>
        <v>0.4693244952220646</v>
      </c>
    </row>
    <row r="39" spans="2:22" ht="10.95" customHeight="1" x14ac:dyDescent="0.3">
      <c r="B39" s="721"/>
      <c r="C39" s="869"/>
      <c r="D39" s="855" t="s">
        <v>1078</v>
      </c>
      <c r="E39" s="855">
        <v>100</v>
      </c>
      <c r="F39" s="408" t="s">
        <v>705</v>
      </c>
      <c r="G39" s="409">
        <f>12700*0.984</f>
        <v>12496.8</v>
      </c>
      <c r="H39" s="409">
        <f>0.984*12790</f>
        <v>12585.36</v>
      </c>
      <c r="I39" s="409">
        <f>0.984*12600</f>
        <v>12398.4</v>
      </c>
      <c r="J39" s="409">
        <f>0.984*11591</f>
        <v>11405.544</v>
      </c>
      <c r="K39" s="409">
        <f>0.984*10790</f>
        <v>10617.36</v>
      </c>
      <c r="L39" s="409">
        <f>0.984*9638</f>
        <v>9483.7919999999995</v>
      </c>
      <c r="M39" s="409">
        <f>0.984*10109</f>
        <v>9947.2559999999994</v>
      </c>
      <c r="N39" s="409">
        <f>0.984*12566</f>
        <v>12364.944</v>
      </c>
      <c r="O39" s="409">
        <f>0.984*11423</f>
        <v>11240.232</v>
      </c>
      <c r="P39" s="409">
        <f>0.984*11637</f>
        <v>11450.807999999999</v>
      </c>
      <c r="Q39" s="409">
        <f>0.984*10678</f>
        <v>10507.152</v>
      </c>
      <c r="R39" s="409">
        <f>0.984*12601</f>
        <v>12399.384</v>
      </c>
      <c r="S39" s="410">
        <f>SUM(G39:R39)</f>
        <v>136897.03200000001</v>
      </c>
      <c r="T39" s="409">
        <f>SUM(G39:M39)</f>
        <v>78934.511999999988</v>
      </c>
    </row>
    <row r="40" spans="2:22" ht="10.95" customHeight="1" x14ac:dyDescent="0.3">
      <c r="B40" s="721"/>
      <c r="C40" s="869"/>
      <c r="D40" s="856"/>
      <c r="E40" s="856"/>
      <c r="F40" s="707" t="s">
        <v>706</v>
      </c>
      <c r="G40" s="708"/>
      <c r="H40" s="708"/>
      <c r="I40" s="708"/>
      <c r="J40" s="708"/>
      <c r="K40" s="708"/>
      <c r="L40" s="708"/>
      <c r="M40" s="708"/>
      <c r="N40" s="708"/>
      <c r="O40" s="708"/>
      <c r="P40" s="708"/>
      <c r="Q40" s="708"/>
      <c r="R40" s="708"/>
      <c r="S40" s="708">
        <f>SUM(G40:R40)</f>
        <v>0</v>
      </c>
      <c r="T40" s="708">
        <f>SUM(G40:M40)</f>
        <v>0</v>
      </c>
    </row>
    <row r="41" spans="2:22" ht="10.95" customHeight="1" x14ac:dyDescent="0.3">
      <c r="B41" s="721"/>
      <c r="C41" s="870"/>
      <c r="D41" s="857"/>
      <c r="E41" s="857"/>
      <c r="F41" s="705" t="s">
        <v>673</v>
      </c>
      <c r="G41" s="706">
        <f>G40/G39</f>
        <v>0</v>
      </c>
      <c r="H41" s="706">
        <f>H40/H39</f>
        <v>0</v>
      </c>
      <c r="I41" s="706">
        <f>I40/I39</f>
        <v>0</v>
      </c>
      <c r="J41" s="706">
        <f>J40/J39</f>
        <v>0</v>
      </c>
      <c r="K41" s="706">
        <f>K40/K39</f>
        <v>0</v>
      </c>
      <c r="L41" s="706">
        <f t="shared" ref="L41:T41" si="12">L40/L39</f>
        <v>0</v>
      </c>
      <c r="M41" s="706">
        <f t="shared" si="12"/>
        <v>0</v>
      </c>
      <c r="N41" s="706">
        <f t="shared" si="12"/>
        <v>0</v>
      </c>
      <c r="O41" s="706">
        <f t="shared" si="12"/>
        <v>0</v>
      </c>
      <c r="P41" s="706">
        <f t="shared" si="12"/>
        <v>0</v>
      </c>
      <c r="Q41" s="706">
        <f t="shared" si="12"/>
        <v>0</v>
      </c>
      <c r="R41" s="706">
        <f t="shared" si="12"/>
        <v>0</v>
      </c>
      <c r="S41" s="706">
        <f t="shared" si="12"/>
        <v>0</v>
      </c>
      <c r="T41" s="706">
        <f t="shared" si="12"/>
        <v>0</v>
      </c>
    </row>
    <row r="42" spans="2:22" ht="10.95" customHeight="1" x14ac:dyDescent="0.3">
      <c r="B42" s="865" t="s">
        <v>383</v>
      </c>
      <c r="C42" s="863" t="s">
        <v>1041</v>
      </c>
      <c r="D42" s="834" t="s">
        <v>22</v>
      </c>
      <c r="E42" s="844">
        <v>110</v>
      </c>
      <c r="F42" s="696" t="s">
        <v>705</v>
      </c>
      <c r="G42" s="697">
        <f>12992.1*0.992</f>
        <v>12888.163200000001</v>
      </c>
      <c r="H42" s="697">
        <f>0.992*13084.17</f>
        <v>12979.496639999999</v>
      </c>
      <c r="I42" s="697">
        <f>0.992*12889.8</f>
        <v>12786.6816</v>
      </c>
      <c r="J42" s="697">
        <f>0.992*11857.593</f>
        <v>11762.732256000001</v>
      </c>
      <c r="K42" s="697">
        <f>0.992*11038.17</f>
        <v>10949.86464</v>
      </c>
      <c r="L42" s="697">
        <f>0.992*9859.674</f>
        <v>9780.7966080000006</v>
      </c>
      <c r="M42" s="697">
        <f>0.992*10341.507</f>
        <v>10258.774943999999</v>
      </c>
      <c r="N42" s="697">
        <f>0.992*12855.018</f>
        <v>12752.177856</v>
      </c>
      <c r="O42" s="697">
        <f>0.992*11685.729</f>
        <v>11592.243167999999</v>
      </c>
      <c r="P42" s="697">
        <f>0.992*11904.651</f>
        <v>11809.413791999999</v>
      </c>
      <c r="Q42" s="697">
        <f>0.992*10923.594</f>
        <v>10836.205247999998</v>
      </c>
      <c r="R42" s="697">
        <f>0.992*12890.823</f>
        <v>12787.696416000001</v>
      </c>
      <c r="S42" s="698">
        <f>SUM(G42:R42)</f>
        <v>141184.24636800002</v>
      </c>
      <c r="T42" s="697">
        <f>SUM(G42:M42)</f>
        <v>81406.509888000015</v>
      </c>
    </row>
    <row r="43" spans="2:22" ht="10.95" customHeight="1" x14ac:dyDescent="0.3">
      <c r="B43" s="866"/>
      <c r="C43" s="863"/>
      <c r="D43" s="835"/>
      <c r="E43" s="845"/>
      <c r="F43" s="707" t="s">
        <v>706</v>
      </c>
      <c r="G43" s="708">
        <f>'Janeiro 25'!AI17</f>
        <v>13257.800000000001</v>
      </c>
      <c r="H43" s="708">
        <f>'Fevereiro 25'!AF17</f>
        <v>14318.099999999999</v>
      </c>
      <c r="I43" s="708">
        <f>'Março 25'!AI17</f>
        <v>12674.200000000006</v>
      </c>
      <c r="J43" s="708"/>
      <c r="K43" s="708"/>
      <c r="L43" s="708"/>
      <c r="M43" s="708"/>
      <c r="N43" s="708"/>
      <c r="O43" s="708"/>
      <c r="P43" s="708"/>
      <c r="Q43" s="708"/>
      <c r="R43" s="708"/>
      <c r="S43" s="708">
        <f>SUM(G43:R43)</f>
        <v>40250.100000000006</v>
      </c>
      <c r="T43" s="708">
        <f>SUM(G43:M43)</f>
        <v>40250.100000000006</v>
      </c>
    </row>
    <row r="44" spans="2:22" ht="10.95" customHeight="1" x14ac:dyDescent="0.3">
      <c r="B44" s="866"/>
      <c r="C44" s="863"/>
      <c r="D44" s="836"/>
      <c r="E44" s="846"/>
      <c r="F44" s="705" t="s">
        <v>673</v>
      </c>
      <c r="G44" s="706">
        <f>G43/G42</f>
        <v>1.0286803320429709</v>
      </c>
      <c r="H44" s="706">
        <f>H43/H42</f>
        <v>1.1031321473495908</v>
      </c>
      <c r="I44" s="706">
        <f>I43/I42</f>
        <v>0.99120322195244204</v>
      </c>
      <c r="J44" s="706">
        <f>J43/J42</f>
        <v>0</v>
      </c>
      <c r="K44" s="706">
        <f>K43/K42</f>
        <v>0</v>
      </c>
      <c r="L44" s="706">
        <f t="shared" ref="L44:T44" si="13">L43/L42</f>
        <v>0</v>
      </c>
      <c r="M44" s="706">
        <f t="shared" si="13"/>
        <v>0</v>
      </c>
      <c r="N44" s="706">
        <f t="shared" si="13"/>
        <v>0</v>
      </c>
      <c r="O44" s="706">
        <f t="shared" si="13"/>
        <v>0</v>
      </c>
      <c r="P44" s="706">
        <f t="shared" si="13"/>
        <v>0</v>
      </c>
      <c r="Q44" s="706">
        <f t="shared" si="13"/>
        <v>0</v>
      </c>
      <c r="R44" s="706">
        <f t="shared" si="13"/>
        <v>0</v>
      </c>
      <c r="S44" s="706">
        <f t="shared" si="13"/>
        <v>0.28508917273310497</v>
      </c>
      <c r="T44" s="706">
        <f t="shared" si="13"/>
        <v>0.49443343112702587</v>
      </c>
    </row>
    <row r="45" spans="2:22" ht="10.95" customHeight="1" x14ac:dyDescent="0.3">
      <c r="B45" s="866"/>
      <c r="C45" s="863"/>
      <c r="D45" s="834" t="s">
        <v>23</v>
      </c>
      <c r="E45" s="844">
        <v>110</v>
      </c>
      <c r="F45" s="696" t="s">
        <v>705</v>
      </c>
      <c r="G45" s="697">
        <f>12992.1*0.992</f>
        <v>12888.163200000001</v>
      </c>
      <c r="H45" s="697">
        <f>0.992*13084.17</f>
        <v>12979.496639999999</v>
      </c>
      <c r="I45" s="697">
        <f>0.992*12889.8</f>
        <v>12786.6816</v>
      </c>
      <c r="J45" s="697">
        <f>0.992*11857.593</f>
        <v>11762.732256000001</v>
      </c>
      <c r="K45" s="697">
        <f>0.992*11038.17</f>
        <v>10949.86464</v>
      </c>
      <c r="L45" s="697">
        <f>0.992*9859.674</f>
        <v>9780.7966080000006</v>
      </c>
      <c r="M45" s="697">
        <f>0.992*10341.507</f>
        <v>10258.774943999999</v>
      </c>
      <c r="N45" s="697">
        <f>0.992*12855.018</f>
        <v>12752.177856</v>
      </c>
      <c r="O45" s="697">
        <f>0.992*11685.729</f>
        <v>11592.243167999999</v>
      </c>
      <c r="P45" s="697">
        <f>0.992*11904.651</f>
        <v>11809.413791999999</v>
      </c>
      <c r="Q45" s="697">
        <f>0.992*10923.594</f>
        <v>10836.205247999998</v>
      </c>
      <c r="R45" s="697">
        <f>0.992*12890.823</f>
        <v>12787.696416000001</v>
      </c>
      <c r="S45" s="698">
        <f>SUM(G45:R45)</f>
        <v>141184.24636800002</v>
      </c>
      <c r="T45" s="697">
        <f>SUM(G45:M45)</f>
        <v>81406.509888000015</v>
      </c>
    </row>
    <row r="46" spans="2:22" ht="10.95" customHeight="1" x14ac:dyDescent="0.3">
      <c r="B46" s="866"/>
      <c r="C46" s="863"/>
      <c r="D46" s="835"/>
      <c r="E46" s="845"/>
      <c r="F46" s="707" t="s">
        <v>706</v>
      </c>
      <c r="G46" s="708">
        <f>'Janeiro 25'!AI18</f>
        <v>13850.400000000003</v>
      </c>
      <c r="H46" s="708">
        <f>'Fevereiro 25'!AF18</f>
        <v>15136.199999999999</v>
      </c>
      <c r="I46" s="708">
        <f>'Março 25'!AI18</f>
        <v>13642.300000000003</v>
      </c>
      <c r="J46" s="708"/>
      <c r="K46" s="708"/>
      <c r="L46" s="708"/>
      <c r="M46" s="708"/>
      <c r="N46" s="708"/>
      <c r="O46" s="708"/>
      <c r="P46" s="708"/>
      <c r="Q46" s="708"/>
      <c r="R46" s="708"/>
      <c r="S46" s="708">
        <f>SUM(G46:R46)</f>
        <v>42628.900000000009</v>
      </c>
      <c r="T46" s="708">
        <f>SUM(G46:M46)</f>
        <v>42628.900000000009</v>
      </c>
    </row>
    <row r="47" spans="2:22" ht="10.95" customHeight="1" x14ac:dyDescent="0.3">
      <c r="B47" s="866"/>
      <c r="C47" s="863"/>
      <c r="D47" s="836"/>
      <c r="E47" s="846"/>
      <c r="F47" s="705" t="s">
        <v>673</v>
      </c>
      <c r="G47" s="706">
        <f>G46/G45</f>
        <v>1.0746605070922755</v>
      </c>
      <c r="H47" s="706">
        <f>H46/H45</f>
        <v>1.1661623266154642</v>
      </c>
      <c r="I47" s="706">
        <f>I46/I45</f>
        <v>1.0669148123622632</v>
      </c>
      <c r="J47" s="706">
        <f>J46/J45</f>
        <v>0</v>
      </c>
      <c r="K47" s="706">
        <f>K46/K45</f>
        <v>0</v>
      </c>
      <c r="L47" s="706">
        <f t="shared" ref="L47:T47" si="14">L46/L45</f>
        <v>0</v>
      </c>
      <c r="M47" s="706">
        <f t="shared" si="14"/>
        <v>0</v>
      </c>
      <c r="N47" s="706">
        <f t="shared" si="14"/>
        <v>0</v>
      </c>
      <c r="O47" s="706">
        <f t="shared" si="14"/>
        <v>0</v>
      </c>
      <c r="P47" s="706">
        <f t="shared" si="14"/>
        <v>0</v>
      </c>
      <c r="Q47" s="706">
        <f t="shared" si="14"/>
        <v>0</v>
      </c>
      <c r="R47" s="706">
        <f t="shared" si="14"/>
        <v>0</v>
      </c>
      <c r="S47" s="706">
        <f t="shared" si="14"/>
        <v>0.30193807805501749</v>
      </c>
      <c r="T47" s="706">
        <f t="shared" si="14"/>
        <v>0.52365468140876359</v>
      </c>
    </row>
    <row r="48" spans="2:22" ht="10.95" customHeight="1" x14ac:dyDescent="0.3">
      <c r="B48" s="866"/>
      <c r="C48" s="863"/>
      <c r="D48" s="834" t="s">
        <v>24</v>
      </c>
      <c r="E48" s="844">
        <v>80</v>
      </c>
      <c r="F48" s="696" t="s">
        <v>705</v>
      </c>
      <c r="G48" s="697">
        <f>9652*0.984</f>
        <v>9497.5679999999993</v>
      </c>
      <c r="H48" s="697">
        <f>0.984*9720.4</f>
        <v>9564.873599999999</v>
      </c>
      <c r="I48" s="697">
        <f>0.984*9576</f>
        <v>9422.7839999999997</v>
      </c>
      <c r="J48" s="697">
        <f>0.984*8809.16</f>
        <v>8668.2134399999995</v>
      </c>
      <c r="K48" s="697">
        <f>0.984*8200.4</f>
        <v>8069.1935999999996</v>
      </c>
      <c r="L48" s="697">
        <f>0.984*7324.88</f>
        <v>7207.68192</v>
      </c>
      <c r="M48" s="697">
        <f>0.984*7682.84</f>
        <v>7559.9145600000002</v>
      </c>
      <c r="N48" s="697">
        <f>0.984*9550.16</f>
        <v>9397.3574399999998</v>
      </c>
      <c r="O48" s="697">
        <f>0.984*8681.48</f>
        <v>8542.5763200000001</v>
      </c>
      <c r="P48" s="697">
        <f>0.984*8844.12</f>
        <v>8702.6140800000012</v>
      </c>
      <c r="Q48" s="697">
        <f>0.984*8115.28</f>
        <v>7985.43552</v>
      </c>
      <c r="R48" s="697">
        <f>0.984*9576.76</f>
        <v>9423.5318399999996</v>
      </c>
      <c r="S48" s="698">
        <f>SUM(G48:R48)</f>
        <v>104041.74431999998</v>
      </c>
      <c r="T48" s="697">
        <f>SUM(G48:R48)</f>
        <v>104041.74431999998</v>
      </c>
    </row>
    <row r="49" spans="1:27" ht="10.95" customHeight="1" x14ac:dyDescent="0.3">
      <c r="B49" s="866"/>
      <c r="C49" s="863"/>
      <c r="D49" s="835"/>
      <c r="E49" s="845"/>
      <c r="F49" s="696" t="s">
        <v>706</v>
      </c>
      <c r="G49" s="697">
        <f>'Janeiro 25'!AI19</f>
        <v>11260.000000000002</v>
      </c>
      <c r="H49" s="697">
        <f>'Fevereiro 25'!AF19</f>
        <v>12107.600000000002</v>
      </c>
      <c r="I49" s="697">
        <f>'Março 25'!AI19</f>
        <v>10567.599999999999</v>
      </c>
      <c r="J49" s="697"/>
      <c r="K49" s="697"/>
      <c r="L49" s="697"/>
      <c r="M49" s="697"/>
      <c r="N49" s="697"/>
      <c r="O49" s="697"/>
      <c r="P49" s="697"/>
      <c r="Q49" s="697"/>
      <c r="R49" s="697"/>
      <c r="S49" s="698">
        <f>SUM(G49:R49)</f>
        <v>33935.200000000004</v>
      </c>
      <c r="T49" s="697">
        <f>SUM(G49:M49)</f>
        <v>33935.200000000004</v>
      </c>
    </row>
    <row r="50" spans="1:27" ht="10.95" customHeight="1" x14ac:dyDescent="0.3">
      <c r="B50" s="866"/>
      <c r="C50" s="863"/>
      <c r="D50" s="836"/>
      <c r="E50" s="846"/>
      <c r="F50" s="705" t="s">
        <v>673</v>
      </c>
      <c r="G50" s="706">
        <f>G49/G48</f>
        <v>1.1855666629604551</v>
      </c>
      <c r="H50" s="706">
        <f>H49/H48</f>
        <v>1.2658400420471843</v>
      </c>
      <c r="I50" s="706">
        <f>I49/I48</f>
        <v>1.1214944542929137</v>
      </c>
      <c r="J50" s="706">
        <f>J49/J48</f>
        <v>0</v>
      </c>
      <c r="K50" s="706">
        <f>K49/K48</f>
        <v>0</v>
      </c>
      <c r="L50" s="706">
        <f t="shared" ref="L50:T50" si="15">L49/L48</f>
        <v>0</v>
      </c>
      <c r="M50" s="706">
        <f t="shared" si="15"/>
        <v>0</v>
      </c>
      <c r="N50" s="706">
        <f t="shared" si="15"/>
        <v>0</v>
      </c>
      <c r="O50" s="706">
        <f t="shared" si="15"/>
        <v>0</v>
      </c>
      <c r="P50" s="706">
        <f t="shared" si="15"/>
        <v>0</v>
      </c>
      <c r="Q50" s="706">
        <f t="shared" si="15"/>
        <v>0</v>
      </c>
      <c r="R50" s="706">
        <f t="shared" si="15"/>
        <v>0</v>
      </c>
      <c r="S50" s="706">
        <f t="shared" si="15"/>
        <v>0.3261690797457788</v>
      </c>
      <c r="T50" s="706">
        <f t="shared" si="15"/>
        <v>0.3261690797457788</v>
      </c>
    </row>
    <row r="51" spans="1:27" s="401" customFormat="1" ht="10.95" customHeight="1" x14ac:dyDescent="0.3">
      <c r="A51"/>
      <c r="B51" s="866"/>
      <c r="C51" s="863"/>
      <c r="D51" s="834" t="s">
        <v>25</v>
      </c>
      <c r="E51" s="844">
        <v>100</v>
      </c>
      <c r="F51" s="696" t="s">
        <v>705</v>
      </c>
      <c r="G51" s="697">
        <f>12700*0.984</f>
        <v>12496.8</v>
      </c>
      <c r="H51" s="697">
        <f>0.984*12790</f>
        <v>12585.36</v>
      </c>
      <c r="I51" s="697">
        <f>0.984*12600</f>
        <v>12398.4</v>
      </c>
      <c r="J51" s="697">
        <f>0.984*11591</f>
        <v>11405.544</v>
      </c>
      <c r="K51" s="697">
        <f>0.984*10790</f>
        <v>10617.36</v>
      </c>
      <c r="L51" s="697">
        <f>0.984*9638</f>
        <v>9483.7919999999995</v>
      </c>
      <c r="M51" s="697">
        <f>0.984*10109</f>
        <v>9947.2559999999994</v>
      </c>
      <c r="N51" s="697">
        <f>0.984*12566</f>
        <v>12364.944</v>
      </c>
      <c r="O51" s="697">
        <f>0.984*11423</f>
        <v>11240.232</v>
      </c>
      <c r="P51" s="697">
        <f>0.984*11637</f>
        <v>11450.807999999999</v>
      </c>
      <c r="Q51" s="697">
        <f>0.984*10678</f>
        <v>10507.152</v>
      </c>
      <c r="R51" s="697">
        <f>0.984*12601</f>
        <v>12399.384</v>
      </c>
      <c r="S51" s="698">
        <f>SUM(G51:R51)</f>
        <v>136897.03200000001</v>
      </c>
      <c r="T51" s="697">
        <f>SUM(G51:M51)</f>
        <v>78934.511999999988</v>
      </c>
      <c r="U51" s="393"/>
      <c r="V51" s="393"/>
      <c r="W51" s="393"/>
      <c r="X51" s="393"/>
      <c r="Y51" s="393"/>
      <c r="Z51" s="393"/>
      <c r="AA51" s="393"/>
    </row>
    <row r="52" spans="1:27" s="401" customFormat="1" ht="10.95" customHeight="1" x14ac:dyDescent="0.3">
      <c r="A52"/>
      <c r="B52" s="866"/>
      <c r="C52" s="863"/>
      <c r="D52" s="835"/>
      <c r="E52" s="845"/>
      <c r="F52" s="707" t="s">
        <v>706</v>
      </c>
      <c r="G52" s="708">
        <f>'Janeiro 25'!AI20</f>
        <v>13553.900000000001</v>
      </c>
      <c r="H52" s="708">
        <f>'Fevereiro 25'!AF20</f>
        <v>14397.699999999999</v>
      </c>
      <c r="I52" s="708">
        <f>'Março 25'!AI20</f>
        <v>12503.4</v>
      </c>
      <c r="J52" s="708"/>
      <c r="K52" s="708"/>
      <c r="L52" s="708"/>
      <c r="M52" s="708"/>
      <c r="N52" s="708"/>
      <c r="O52" s="708"/>
      <c r="P52" s="708"/>
      <c r="Q52" s="708"/>
      <c r="R52" s="708"/>
      <c r="S52" s="708">
        <f>SUM(G52:R52)</f>
        <v>40455</v>
      </c>
      <c r="T52" s="708">
        <f>SUM(G52:M52)</f>
        <v>40455</v>
      </c>
      <c r="U52" s="393"/>
      <c r="V52" s="393"/>
      <c r="W52" s="393"/>
      <c r="X52" s="393"/>
      <c r="Y52" s="393"/>
      <c r="Z52" s="393"/>
      <c r="AA52" s="393"/>
    </row>
    <row r="53" spans="1:27" s="401" customFormat="1" ht="10.95" customHeight="1" x14ac:dyDescent="0.3">
      <c r="A53"/>
      <c r="B53" s="866"/>
      <c r="C53" s="863"/>
      <c r="D53" s="836"/>
      <c r="E53" s="846"/>
      <c r="F53" s="705" t="s">
        <v>673</v>
      </c>
      <c r="G53" s="706">
        <f t="shared" ref="G53:T53" si="16">G52/G51</f>
        <v>1.0845896549516678</v>
      </c>
      <c r="H53" s="706">
        <f t="shared" si="16"/>
        <v>1.1440038266684465</v>
      </c>
      <c r="I53" s="706">
        <f t="shared" si="16"/>
        <v>1.0084688346883468</v>
      </c>
      <c r="J53" s="706">
        <f t="shared" si="16"/>
        <v>0</v>
      </c>
      <c r="K53" s="706">
        <f t="shared" si="16"/>
        <v>0</v>
      </c>
      <c r="L53" s="706">
        <f t="shared" si="16"/>
        <v>0</v>
      </c>
      <c r="M53" s="706">
        <f t="shared" si="16"/>
        <v>0</v>
      </c>
      <c r="N53" s="706">
        <f t="shared" si="16"/>
        <v>0</v>
      </c>
      <c r="O53" s="706">
        <f t="shared" si="16"/>
        <v>0</v>
      </c>
      <c r="P53" s="706">
        <f t="shared" si="16"/>
        <v>0</v>
      </c>
      <c r="Q53" s="706">
        <f t="shared" si="16"/>
        <v>0</v>
      </c>
      <c r="R53" s="706">
        <f t="shared" si="16"/>
        <v>0</v>
      </c>
      <c r="S53" s="706">
        <f t="shared" si="16"/>
        <v>0.29551407659444362</v>
      </c>
      <c r="T53" s="706">
        <f t="shared" si="16"/>
        <v>0.51251346179222601</v>
      </c>
      <c r="U53" s="393"/>
      <c r="V53" s="393"/>
      <c r="W53" s="393"/>
      <c r="X53" s="393"/>
      <c r="Y53" s="393"/>
      <c r="Z53" s="393"/>
      <c r="AA53" s="393"/>
    </row>
    <row r="54" spans="1:27" ht="10.95" customHeight="1" x14ac:dyDescent="0.3">
      <c r="B54" s="866"/>
      <c r="C54" s="863"/>
      <c r="D54" s="834" t="s">
        <v>26</v>
      </c>
      <c r="E54" s="844">
        <v>100</v>
      </c>
      <c r="F54" s="696" t="s">
        <v>705</v>
      </c>
      <c r="G54" s="697">
        <f>12700*0.984</f>
        <v>12496.8</v>
      </c>
      <c r="H54" s="697">
        <f>0.984*12790</f>
        <v>12585.36</v>
      </c>
      <c r="I54" s="697">
        <f>0.984*12600</f>
        <v>12398.4</v>
      </c>
      <c r="J54" s="697">
        <f>0.984*11591</f>
        <v>11405.544</v>
      </c>
      <c r="K54" s="697">
        <f>0.984*10790</f>
        <v>10617.36</v>
      </c>
      <c r="L54" s="697">
        <f>0.984*9638</f>
        <v>9483.7919999999995</v>
      </c>
      <c r="M54" s="697">
        <f>0.984*10109</f>
        <v>9947.2559999999994</v>
      </c>
      <c r="N54" s="697">
        <f>0.984*12566</f>
        <v>12364.944</v>
      </c>
      <c r="O54" s="697">
        <f>0.984*11423</f>
        <v>11240.232</v>
      </c>
      <c r="P54" s="697">
        <f>0.984*11637</f>
        <v>11450.807999999999</v>
      </c>
      <c r="Q54" s="697">
        <f>0.984*10678</f>
        <v>10507.152</v>
      </c>
      <c r="R54" s="697">
        <f>0.984*12601</f>
        <v>12399.384</v>
      </c>
      <c r="S54" s="698">
        <f>SUM(G54:R54)</f>
        <v>136897.03200000001</v>
      </c>
      <c r="T54" s="697">
        <f>SUM(G54:M54)</f>
        <v>78934.511999999988</v>
      </c>
    </row>
    <row r="55" spans="1:27" ht="10.95" customHeight="1" x14ac:dyDescent="0.3">
      <c r="B55" s="866"/>
      <c r="C55" s="863"/>
      <c r="D55" s="835"/>
      <c r="E55" s="845"/>
      <c r="F55" s="707" t="s">
        <v>706</v>
      </c>
      <c r="G55" s="708">
        <f>'Janeiro 25'!AI21</f>
        <v>11098.699999999999</v>
      </c>
      <c r="H55" s="708">
        <f>'Fevereiro 25'!AF21</f>
        <v>11530.299999999997</v>
      </c>
      <c r="I55" s="708">
        <f>'Março 25'!AI21</f>
        <v>9516.1999999999989</v>
      </c>
      <c r="J55" s="708"/>
      <c r="K55" s="708"/>
      <c r="L55" s="708"/>
      <c r="M55" s="708"/>
      <c r="N55" s="708"/>
      <c r="O55" s="708"/>
      <c r="P55" s="708"/>
      <c r="Q55" s="708"/>
      <c r="R55" s="708"/>
      <c r="S55" s="708">
        <f>SUM(G55:R55)</f>
        <v>32145.199999999997</v>
      </c>
      <c r="T55" s="708">
        <f>SUM(G55:M55)</f>
        <v>32145.199999999997</v>
      </c>
    </row>
    <row r="56" spans="1:27" ht="10.95" customHeight="1" x14ac:dyDescent="0.3">
      <c r="B56" s="866"/>
      <c r="C56" s="863"/>
      <c r="D56" s="836"/>
      <c r="E56" s="846"/>
      <c r="F56" s="705" t="s">
        <v>673</v>
      </c>
      <c r="G56" s="706">
        <f>G55/G54</f>
        <v>0.88812335958005251</v>
      </c>
      <c r="H56" s="706">
        <f>H55/H54</f>
        <v>0.9161676741865149</v>
      </c>
      <c r="I56" s="706">
        <f>I55/I54</f>
        <v>0.76753452058330096</v>
      </c>
      <c r="J56" s="706">
        <f>J55/J54</f>
        <v>0</v>
      </c>
      <c r="K56" s="706">
        <f>K55/K54</f>
        <v>0</v>
      </c>
      <c r="L56" s="706">
        <f t="shared" ref="L56:T56" si="17">L55/L54</f>
        <v>0</v>
      </c>
      <c r="M56" s="706">
        <f t="shared" si="17"/>
        <v>0</v>
      </c>
      <c r="N56" s="706">
        <f t="shared" si="17"/>
        <v>0</v>
      </c>
      <c r="O56" s="706">
        <f t="shared" si="17"/>
        <v>0</v>
      </c>
      <c r="P56" s="706">
        <f t="shared" si="17"/>
        <v>0</v>
      </c>
      <c r="Q56" s="706">
        <f t="shared" si="17"/>
        <v>0</v>
      </c>
      <c r="R56" s="706">
        <f t="shared" si="17"/>
        <v>0</v>
      </c>
      <c r="S56" s="706">
        <f t="shared" si="17"/>
        <v>0.23481297972917334</v>
      </c>
      <c r="T56" s="706">
        <f t="shared" si="17"/>
        <v>0.40723885136580057</v>
      </c>
    </row>
    <row r="57" spans="1:27" ht="10.95" customHeight="1" x14ac:dyDescent="0.3">
      <c r="B57" s="866"/>
      <c r="C57" s="863"/>
      <c r="D57" s="834" t="s">
        <v>28</v>
      </c>
      <c r="E57" s="837">
        <v>110</v>
      </c>
      <c r="F57" s="696" t="s">
        <v>705</v>
      </c>
      <c r="G57" s="697">
        <f>12992.1*0.984</f>
        <v>12784.2264</v>
      </c>
      <c r="H57" s="697">
        <f>0.984*13084.17</f>
        <v>12874.823280000001</v>
      </c>
      <c r="I57" s="697">
        <f>0.984*12889.8</f>
        <v>12683.563199999999</v>
      </c>
      <c r="J57" s="697">
        <f>0.984*11857.593</f>
        <v>11667.871512</v>
      </c>
      <c r="K57" s="697">
        <f>0.984*11038.17</f>
        <v>10861.559279999999</v>
      </c>
      <c r="L57" s="697">
        <f>0.984*9859.674</f>
        <v>9701.9192160000002</v>
      </c>
      <c r="M57" s="697">
        <f>0.984*10341.507</f>
        <v>10176.042888</v>
      </c>
      <c r="N57" s="697">
        <f>0.984*12855.018</f>
        <v>12649.337712</v>
      </c>
      <c r="O57" s="697">
        <f>0.984*11685.729</f>
        <v>11498.757335999999</v>
      </c>
      <c r="P57" s="697">
        <f>0.984*11904.651</f>
        <v>11714.176583999999</v>
      </c>
      <c r="Q57" s="697">
        <f>0.984*10923.594</f>
        <v>10748.816495999999</v>
      </c>
      <c r="R57" s="697">
        <f>0.984*12890.823</f>
        <v>12684.569831999999</v>
      </c>
      <c r="S57" s="698">
        <f>SUM(G57:R57)</f>
        <v>140045.66373599999</v>
      </c>
      <c r="T57" s="697">
        <f>SUM(G57:M57)</f>
        <v>80750.005775999991</v>
      </c>
    </row>
    <row r="58" spans="1:27" ht="10.95" customHeight="1" x14ac:dyDescent="0.3">
      <c r="B58" s="866"/>
      <c r="C58" s="863"/>
      <c r="D58" s="835"/>
      <c r="E58" s="838"/>
      <c r="F58" s="707" t="s">
        <v>706</v>
      </c>
      <c r="G58" s="708">
        <f>'Janeiro 25'!AI22</f>
        <v>13625.500000000002</v>
      </c>
      <c r="H58" s="708">
        <f>'Fevereiro 25'!AF22</f>
        <v>14884.100000000002</v>
      </c>
      <c r="I58" s="708">
        <f>'Março 25'!AI22</f>
        <v>13858.199999999999</v>
      </c>
      <c r="J58" s="708"/>
      <c r="K58" s="708"/>
      <c r="L58" s="708"/>
      <c r="M58" s="708"/>
      <c r="N58" s="708"/>
      <c r="O58" s="708"/>
      <c r="P58" s="708"/>
      <c r="Q58" s="708"/>
      <c r="R58" s="708"/>
      <c r="S58" s="708">
        <f>SUM(G58:R58)</f>
        <v>42367.8</v>
      </c>
      <c r="T58" s="708">
        <f>SUM(G58:M58)</f>
        <v>42367.8</v>
      </c>
    </row>
    <row r="59" spans="1:27" ht="10.95" customHeight="1" x14ac:dyDescent="0.3">
      <c r="B59" s="866"/>
      <c r="C59" s="863"/>
      <c r="D59" s="836"/>
      <c r="E59" s="839"/>
      <c r="F59" s="705" t="s">
        <v>673</v>
      </c>
      <c r="G59" s="706">
        <f>G58/G57</f>
        <v>1.0658055930548915</v>
      </c>
      <c r="H59" s="706">
        <f>H58/H57</f>
        <v>1.1560624698531785</v>
      </c>
      <c r="I59" s="706">
        <f>I58/I57</f>
        <v>1.0926109470562657</v>
      </c>
      <c r="J59" s="706">
        <f>J58/J57</f>
        <v>0</v>
      </c>
      <c r="K59" s="706">
        <f>K58/K57</f>
        <v>0</v>
      </c>
      <c r="L59" s="706">
        <f t="shared" ref="L59:T59" si="18">L58/L57</f>
        <v>0</v>
      </c>
      <c r="M59" s="706">
        <f t="shared" si="18"/>
        <v>0</v>
      </c>
      <c r="N59" s="706">
        <f t="shared" si="18"/>
        <v>0</v>
      </c>
      <c r="O59" s="706">
        <f t="shared" si="18"/>
        <v>0</v>
      </c>
      <c r="P59" s="706">
        <f t="shared" si="18"/>
        <v>0</v>
      </c>
      <c r="Q59" s="706">
        <f t="shared" si="18"/>
        <v>0</v>
      </c>
      <c r="R59" s="706">
        <f t="shared" si="18"/>
        <v>0</v>
      </c>
      <c r="S59" s="706">
        <f t="shared" si="18"/>
        <v>0.30252846728526722</v>
      </c>
      <c r="T59" s="706">
        <f t="shared" si="18"/>
        <v>0.52467860024094626</v>
      </c>
    </row>
    <row r="60" spans="1:27" ht="10.95" customHeight="1" x14ac:dyDescent="0.3">
      <c r="B60" s="866"/>
      <c r="C60" s="863"/>
      <c r="D60" s="834" t="s">
        <v>29</v>
      </c>
      <c r="E60" s="844">
        <v>120</v>
      </c>
      <c r="F60" s="696" t="s">
        <v>705</v>
      </c>
      <c r="G60" s="697">
        <f>13983.97*0.984</f>
        <v>13760.226479999999</v>
      </c>
      <c r="H60" s="697">
        <f>0.984*14083.069</f>
        <v>13857.739895999999</v>
      </c>
      <c r="I60" s="697">
        <f>0.984*13873.86</f>
        <v>13651.87824</v>
      </c>
      <c r="J60" s="697">
        <f>0.984*12762.8501</f>
        <v>12558.644498399999</v>
      </c>
      <c r="K60" s="697">
        <f>0.984*11880.869</f>
        <v>11690.775096000001</v>
      </c>
      <c r="L60" s="697">
        <f>0.984*10612.4018</f>
        <v>10442.603371199999</v>
      </c>
      <c r="M60" s="697">
        <f>0.984*11131.0199</f>
        <v>10952.9235816</v>
      </c>
      <c r="N60" s="697">
        <f>0.984*13836.4226</f>
        <v>13615.0398384</v>
      </c>
      <c r="O60" s="697">
        <f>0.984*12577.8653</f>
        <v>12376.6194552</v>
      </c>
      <c r="P60" s="697">
        <f>0.984*12813.5007</f>
        <v>12608.484688800001</v>
      </c>
      <c r="Q60" s="697">
        <f>0.984*11757.5458</f>
        <v>11569.4250672</v>
      </c>
      <c r="R60" s="697">
        <f>0.984*13874.9611</f>
        <v>13652.961722399999</v>
      </c>
      <c r="S60" s="698">
        <f>SUM(G60:R60)</f>
        <v>150737.32193520002</v>
      </c>
      <c r="T60" s="697">
        <f>SUM(G60:M60)</f>
        <v>86914.791163200003</v>
      </c>
    </row>
    <row r="61" spans="1:27" ht="10.95" customHeight="1" x14ac:dyDescent="0.3">
      <c r="B61" s="866"/>
      <c r="C61" s="863"/>
      <c r="D61" s="835"/>
      <c r="E61" s="845"/>
      <c r="F61" s="707" t="s">
        <v>706</v>
      </c>
      <c r="G61" s="708">
        <f>'Janeiro 25'!AI23</f>
        <v>12305.899999999998</v>
      </c>
      <c r="H61" s="708">
        <f>'Fevereiro 25'!AF23</f>
        <v>12326.899999999998</v>
      </c>
      <c r="I61" s="708">
        <f>'Março 25'!AI23</f>
        <v>11377.700000000004</v>
      </c>
      <c r="J61" s="708"/>
      <c r="K61" s="708"/>
      <c r="L61" s="708"/>
      <c r="M61" s="708"/>
      <c r="N61" s="708"/>
      <c r="O61" s="708"/>
      <c r="P61" s="708"/>
      <c r="Q61" s="708"/>
      <c r="R61" s="708"/>
      <c r="S61" s="708">
        <f>SUM(G61:R61)</f>
        <v>36010.5</v>
      </c>
      <c r="T61" s="708">
        <f>SUM(G61:M61)</f>
        <v>36010.5</v>
      </c>
    </row>
    <row r="62" spans="1:27" ht="10.95" customHeight="1" x14ac:dyDescent="0.3">
      <c r="B62" s="866"/>
      <c r="C62" s="863"/>
      <c r="D62" s="836"/>
      <c r="E62" s="846"/>
      <c r="F62" s="705" t="s">
        <v>673</v>
      </c>
      <c r="G62" s="706">
        <f>G61/G60</f>
        <v>0.89430940819805449</v>
      </c>
      <c r="H62" s="706">
        <f>H61/H60</f>
        <v>0.88953177736855382</v>
      </c>
      <c r="I62" s="706">
        <f>I61/I60</f>
        <v>0.83341645742659398</v>
      </c>
      <c r="J62" s="706">
        <f>J61/J60</f>
        <v>0</v>
      </c>
      <c r="K62" s="706">
        <f>K61/K60</f>
        <v>0</v>
      </c>
      <c r="L62" s="706">
        <f t="shared" ref="L62:T62" si="19">L61/L60</f>
        <v>0</v>
      </c>
      <c r="M62" s="706">
        <f t="shared" si="19"/>
        <v>0</v>
      </c>
      <c r="N62" s="706">
        <f t="shared" si="19"/>
        <v>0</v>
      </c>
      <c r="O62" s="706">
        <f t="shared" si="19"/>
        <v>0</v>
      </c>
      <c r="P62" s="706">
        <f t="shared" si="19"/>
        <v>0</v>
      </c>
      <c r="Q62" s="706">
        <f t="shared" si="19"/>
        <v>0</v>
      </c>
      <c r="R62" s="706">
        <f t="shared" si="19"/>
        <v>0</v>
      </c>
      <c r="S62" s="706">
        <f t="shared" si="19"/>
        <v>0.23889571300384677</v>
      </c>
      <c r="T62" s="706">
        <f t="shared" si="19"/>
        <v>0.41431958264023255</v>
      </c>
      <c r="U62" s="456"/>
    </row>
    <row r="63" spans="1:27" ht="10.95" customHeight="1" x14ac:dyDescent="0.3">
      <c r="B63" s="866"/>
      <c r="C63" s="863"/>
      <c r="D63" s="834" t="s">
        <v>30</v>
      </c>
      <c r="E63" s="840">
        <v>395</v>
      </c>
      <c r="F63" s="696" t="s">
        <v>705</v>
      </c>
      <c r="G63" s="697">
        <f>49844.96*0.992</f>
        <v>49446.200319999996</v>
      </c>
      <c r="H63" s="697">
        <f>0.992*50198.192</f>
        <v>49796.606464000004</v>
      </c>
      <c r="I63" s="697">
        <f>0.992*49452.48</f>
        <v>49056.860160000004</v>
      </c>
      <c r="J63" s="697">
        <f>0.992*45492.3568</f>
        <v>45128.417945599998</v>
      </c>
      <c r="K63" s="697">
        <f>0.992*42348.592</f>
        <v>42009.803263999995</v>
      </c>
      <c r="L63" s="697">
        <f>0.992*37827.2224</f>
        <v>37524.604620799997</v>
      </c>
      <c r="M63" s="697">
        <f>0.992*39675.8032</f>
        <v>39358.396774400004</v>
      </c>
      <c r="N63" s="697">
        <f>0.992*49319.0368</f>
        <v>48924.484505600005</v>
      </c>
      <c r="O63" s="697">
        <f>0.992*44832.9904</f>
        <v>44474.326476800001</v>
      </c>
      <c r="P63" s="697">
        <f>0.992*45672.8976</f>
        <v>45307.514419199993</v>
      </c>
      <c r="Q63" s="697">
        <f>0.992*41909.0144</f>
        <v>41573.742284799999</v>
      </c>
      <c r="R63" s="697">
        <f>0.992*49456.4048</f>
        <v>49060.753561599995</v>
      </c>
      <c r="S63" s="698">
        <f>SUM(G63:R63)</f>
        <v>541661.71079679998</v>
      </c>
      <c r="T63" s="697">
        <f>SUM(G63:M63)</f>
        <v>312320.88954880001</v>
      </c>
      <c r="U63" s="625"/>
    </row>
    <row r="64" spans="1:27" ht="10.95" customHeight="1" x14ac:dyDescent="0.3">
      <c r="B64" s="866"/>
      <c r="C64" s="863"/>
      <c r="D64" s="835"/>
      <c r="E64" s="841"/>
      <c r="F64" s="707" t="s">
        <v>706</v>
      </c>
      <c r="G64" s="708">
        <f>'Janeiro 25'!AI24</f>
        <v>47234.299999999996</v>
      </c>
      <c r="H64" s="708">
        <f>'Fevereiro 25'!AF24</f>
        <v>51202.6</v>
      </c>
      <c r="I64" s="708">
        <f>'Março 25'!AI24</f>
        <v>47953.700000000012</v>
      </c>
      <c r="J64" s="708"/>
      <c r="K64" s="708"/>
      <c r="L64" s="708"/>
      <c r="M64" s="708"/>
      <c r="N64" s="708"/>
      <c r="O64" s="708"/>
      <c r="P64" s="708"/>
      <c r="Q64" s="708"/>
      <c r="R64" s="708"/>
      <c r="S64" s="708">
        <f>SUM(G64:R64)</f>
        <v>146390.6</v>
      </c>
      <c r="T64" s="708">
        <f>SUM(G64:M64)</f>
        <v>146390.6</v>
      </c>
      <c r="U64" s="625"/>
      <c r="V64" s="402"/>
    </row>
    <row r="65" spans="2:23" ht="11.4" customHeight="1" x14ac:dyDescent="0.3">
      <c r="B65" s="866"/>
      <c r="C65" s="863"/>
      <c r="D65" s="836"/>
      <c r="E65" s="842"/>
      <c r="F65" s="705" t="s">
        <v>673</v>
      </c>
      <c r="G65" s="706">
        <f>G64/G63</f>
        <v>0.95526652592746686</v>
      </c>
      <c r="H65" s="706">
        <f>H64/H63</f>
        <v>1.0282347259349178</v>
      </c>
      <c r="I65" s="706">
        <f>I64/I63</f>
        <v>0.97751262195741817</v>
      </c>
      <c r="J65" s="706">
        <f>J64/J63</f>
        <v>0</v>
      </c>
      <c r="K65" s="706">
        <f>K64/K63</f>
        <v>0</v>
      </c>
      <c r="L65" s="706">
        <f t="shared" ref="L65:T65" si="20">L64/L63</f>
        <v>0</v>
      </c>
      <c r="M65" s="706">
        <f t="shared" si="20"/>
        <v>0</v>
      </c>
      <c r="N65" s="706">
        <f t="shared" si="20"/>
        <v>0</v>
      </c>
      <c r="O65" s="706">
        <f t="shared" si="20"/>
        <v>0</v>
      </c>
      <c r="P65" s="706">
        <f t="shared" si="20"/>
        <v>0</v>
      </c>
      <c r="Q65" s="706">
        <f t="shared" si="20"/>
        <v>0</v>
      </c>
      <c r="R65" s="706">
        <f t="shared" si="20"/>
        <v>0</v>
      </c>
      <c r="S65" s="706">
        <f t="shared" si="20"/>
        <v>0.27026204193878722</v>
      </c>
      <c r="T65" s="706">
        <f t="shared" si="20"/>
        <v>0.46871856766124681</v>
      </c>
      <c r="U65" s="626"/>
      <c r="V65" s="623"/>
    </row>
    <row r="66" spans="2:23" ht="10.95" customHeight="1" x14ac:dyDescent="0.3">
      <c r="B66" s="866"/>
      <c r="C66" s="863"/>
      <c r="D66" s="834" t="s">
        <v>111</v>
      </c>
      <c r="E66" s="840">
        <v>120</v>
      </c>
      <c r="F66" s="696" t="s">
        <v>705</v>
      </c>
      <c r="G66" s="697">
        <f>13983.97*0.992</f>
        <v>13872.098239999999</v>
      </c>
      <c r="H66" s="697">
        <f>0.992*14083.069</f>
        <v>13970.404447999999</v>
      </c>
      <c r="I66" s="697">
        <f>0.992*13873.86</f>
        <v>13762.869120000001</v>
      </c>
      <c r="J66" s="697">
        <f>0.992*12762.8501</f>
        <v>12660.7472992</v>
      </c>
      <c r="K66" s="697">
        <f>0.992*11880.869</f>
        <v>11785.822048</v>
      </c>
      <c r="L66" s="697">
        <f>0.992*10612.4018</f>
        <v>10527.502585599999</v>
      </c>
      <c r="M66" s="697">
        <f>0.992*11131.0199</f>
        <v>11041.9717408</v>
      </c>
      <c r="N66" s="697">
        <f>0.992*13836.4226</f>
        <v>13725.731219199999</v>
      </c>
      <c r="O66" s="697">
        <f>0.992*12577.8653</f>
        <v>12477.2423776</v>
      </c>
      <c r="P66" s="697">
        <f>0.992*12813.5007</f>
        <v>12710.9926944</v>
      </c>
      <c r="Q66" s="697">
        <f>0.992*11757.5458</f>
        <v>11663.485433599999</v>
      </c>
      <c r="R66" s="697">
        <f>0.992*13874.9611</f>
        <v>13763.9614112</v>
      </c>
      <c r="S66" s="698">
        <f>SUM(G66:R66)</f>
        <v>151962.82861760003</v>
      </c>
      <c r="T66" s="697">
        <f>SUM(G66:M66)</f>
        <v>87621.415481600008</v>
      </c>
      <c r="W66" s="402"/>
    </row>
    <row r="67" spans="2:23" ht="10.95" customHeight="1" x14ac:dyDescent="0.3">
      <c r="B67" s="866"/>
      <c r="C67" s="863"/>
      <c r="D67" s="835"/>
      <c r="E67" s="841"/>
      <c r="F67" s="707" t="s">
        <v>706</v>
      </c>
      <c r="G67" s="708">
        <f>'Janeiro 25'!AI25</f>
        <v>13130.099999999999</v>
      </c>
      <c r="H67" s="708">
        <f>'Fevereiro 25'!AF25</f>
        <v>14934.100000000002</v>
      </c>
      <c r="I67" s="708">
        <f>'Março 25'!AI25</f>
        <v>14151.1</v>
      </c>
      <c r="J67" s="708"/>
      <c r="K67" s="708"/>
      <c r="L67" s="708"/>
      <c r="M67" s="708"/>
      <c r="N67" s="708"/>
      <c r="O67" s="708"/>
      <c r="P67" s="708"/>
      <c r="Q67" s="708"/>
      <c r="R67" s="708"/>
      <c r="S67" s="708">
        <f>SUM(G67:R67)</f>
        <v>42215.3</v>
      </c>
      <c r="T67" s="708">
        <f>SUM(G67:M67)</f>
        <v>42215.3</v>
      </c>
      <c r="W67" s="402"/>
    </row>
    <row r="68" spans="2:23" ht="10.95" customHeight="1" x14ac:dyDescent="0.3">
      <c r="B68" s="866"/>
      <c r="C68" s="863"/>
      <c r="D68" s="836"/>
      <c r="E68" s="842"/>
      <c r="F68" s="705" t="s">
        <v>673</v>
      </c>
      <c r="G68" s="706">
        <f>G67/G66</f>
        <v>0.94651146299840505</v>
      </c>
      <c r="H68" s="706">
        <f>H67/H66</f>
        <v>1.0689812206645144</v>
      </c>
      <c r="I68" s="706">
        <f>I67/I66</f>
        <v>1.0282085716731715</v>
      </c>
      <c r="J68" s="706">
        <f>J67/J66</f>
        <v>0</v>
      </c>
      <c r="K68" s="706">
        <f>K67/K66</f>
        <v>0</v>
      </c>
      <c r="L68" s="706">
        <f t="shared" ref="L68:T68" si="21">L67/L66</f>
        <v>0</v>
      </c>
      <c r="M68" s="706">
        <f t="shared" si="21"/>
        <v>0</v>
      </c>
      <c r="N68" s="706">
        <f t="shared" si="21"/>
        <v>0</v>
      </c>
      <c r="O68" s="706">
        <f t="shared" si="21"/>
        <v>0</v>
      </c>
      <c r="P68" s="706">
        <f t="shared" si="21"/>
        <v>0</v>
      </c>
      <c r="Q68" s="706">
        <f t="shared" si="21"/>
        <v>0</v>
      </c>
      <c r="R68" s="706">
        <f t="shared" si="21"/>
        <v>0</v>
      </c>
      <c r="S68" s="706">
        <f t="shared" si="21"/>
        <v>0.2778001724765915</v>
      </c>
      <c r="T68" s="706">
        <f t="shared" si="21"/>
        <v>0.48179203415020122</v>
      </c>
      <c r="W68" s="402"/>
    </row>
    <row r="69" spans="2:23" ht="10.95" customHeight="1" x14ac:dyDescent="0.3">
      <c r="B69" s="866"/>
      <c r="C69" s="863"/>
      <c r="D69" s="834" t="s">
        <v>711</v>
      </c>
      <c r="E69" s="840">
        <v>110</v>
      </c>
      <c r="F69" s="696" t="s">
        <v>705</v>
      </c>
      <c r="G69" s="697">
        <f>12992.1*0.992</f>
        <v>12888.163200000001</v>
      </c>
      <c r="H69" s="697">
        <f>0.992*13084.17</f>
        <v>12979.496639999999</v>
      </c>
      <c r="I69" s="697">
        <f>0.992*12889.8</f>
        <v>12786.6816</v>
      </c>
      <c r="J69" s="697">
        <f>0.992*11857.593</f>
        <v>11762.732256000001</v>
      </c>
      <c r="K69" s="697">
        <f>0.992*11038.17</f>
        <v>10949.86464</v>
      </c>
      <c r="L69" s="697">
        <f>0.992*9859.674</f>
        <v>9780.7966080000006</v>
      </c>
      <c r="M69" s="697">
        <f>0.992*10341.507</f>
        <v>10258.774943999999</v>
      </c>
      <c r="N69" s="697">
        <f>0.992*12855.018</f>
        <v>12752.177856</v>
      </c>
      <c r="O69" s="697">
        <f>0.992*11685.729</f>
        <v>11592.243167999999</v>
      </c>
      <c r="P69" s="697">
        <f>0.992*11904.651</f>
        <v>11809.413791999999</v>
      </c>
      <c r="Q69" s="697">
        <f>0.992*10923.594</f>
        <v>10836.205247999998</v>
      </c>
      <c r="R69" s="697">
        <f>0.992*12890.823</f>
        <v>12787.696416000001</v>
      </c>
      <c r="S69" s="698">
        <f>SUM(G69:R69)</f>
        <v>141184.24636800002</v>
      </c>
      <c r="T69" s="697">
        <f>SUM(G69:M69)</f>
        <v>81406.509888000015</v>
      </c>
      <c r="V69" s="403"/>
      <c r="W69" s="404"/>
    </row>
    <row r="70" spans="2:23" ht="10.95" customHeight="1" x14ac:dyDescent="0.3">
      <c r="B70" s="866"/>
      <c r="C70" s="863"/>
      <c r="D70" s="835"/>
      <c r="E70" s="841"/>
      <c r="F70" s="707" t="s">
        <v>706</v>
      </c>
      <c r="G70" s="708">
        <f>'Janeiro 25'!AI26</f>
        <v>11553</v>
      </c>
      <c r="H70" s="708">
        <f>'Fevereiro 25'!AF26</f>
        <v>12893.800000000001</v>
      </c>
      <c r="I70" s="708">
        <f>'Março 25'!AI26</f>
        <v>13093.9</v>
      </c>
      <c r="J70" s="708"/>
      <c r="K70" s="708"/>
      <c r="L70" s="708"/>
      <c r="M70" s="708"/>
      <c r="N70" s="708"/>
      <c r="O70" s="708"/>
      <c r="P70" s="708"/>
      <c r="Q70" s="708"/>
      <c r="R70" s="708"/>
      <c r="S70" s="708">
        <f>SUM(G70:R70)</f>
        <v>37540.700000000004</v>
      </c>
      <c r="T70" s="708">
        <f>SUM(G70:M70)</f>
        <v>37540.700000000004</v>
      </c>
      <c r="V70" s="405"/>
      <c r="W70" s="404"/>
    </row>
    <row r="71" spans="2:23" ht="10.95" customHeight="1" x14ac:dyDescent="0.3">
      <c r="B71" s="867"/>
      <c r="C71" s="863"/>
      <c r="D71" s="836"/>
      <c r="E71" s="842"/>
      <c r="F71" s="705" t="s">
        <v>673</v>
      </c>
      <c r="G71" s="706">
        <f>G70/G69</f>
        <v>0.89640391890754445</v>
      </c>
      <c r="H71" s="706">
        <f>H70/H69</f>
        <v>0.99339753748724735</v>
      </c>
      <c r="I71" s="706">
        <f>I70/I69</f>
        <v>1.0240264370077066</v>
      </c>
      <c r="J71" s="706">
        <f>J70/J69</f>
        <v>0</v>
      </c>
      <c r="K71" s="706">
        <f>K70/K69</f>
        <v>0</v>
      </c>
      <c r="L71" s="706">
        <f t="shared" ref="L71:T71" si="22">L70/L69</f>
        <v>0</v>
      </c>
      <c r="M71" s="706">
        <f t="shared" si="22"/>
        <v>0</v>
      </c>
      <c r="N71" s="706">
        <f t="shared" si="22"/>
        <v>0</v>
      </c>
      <c r="O71" s="706">
        <f t="shared" si="22"/>
        <v>0</v>
      </c>
      <c r="P71" s="706">
        <f t="shared" si="22"/>
        <v>0</v>
      </c>
      <c r="Q71" s="706">
        <f t="shared" si="22"/>
        <v>0</v>
      </c>
      <c r="R71" s="706">
        <f t="shared" si="22"/>
        <v>0</v>
      </c>
      <c r="S71" s="706">
        <f t="shared" si="22"/>
        <v>0.26589864638402572</v>
      </c>
      <c r="T71" s="706">
        <f t="shared" si="22"/>
        <v>0.46115108056651632</v>
      </c>
      <c r="V71" s="405"/>
      <c r="W71" s="404"/>
    </row>
    <row r="72" spans="2:23" ht="10.95" customHeight="1" x14ac:dyDescent="0.3">
      <c r="B72" s="695"/>
      <c r="C72" s="863"/>
      <c r="D72" s="834" t="s">
        <v>27</v>
      </c>
      <c r="E72" s="844">
        <v>100</v>
      </c>
      <c r="F72" s="696" t="s">
        <v>705</v>
      </c>
      <c r="G72" s="697">
        <f>12700*0.992</f>
        <v>12598.4</v>
      </c>
      <c r="H72" s="697">
        <f>0.992*12790</f>
        <v>12687.68</v>
      </c>
      <c r="I72" s="697">
        <f>0.992*12600</f>
        <v>12499.2</v>
      </c>
      <c r="J72" s="697">
        <f>0.992*11591</f>
        <v>11498.271999999999</v>
      </c>
      <c r="K72" s="697">
        <f>0.992*10790</f>
        <v>10703.68</v>
      </c>
      <c r="L72" s="697">
        <f>0.992*9638</f>
        <v>9560.8960000000006</v>
      </c>
      <c r="M72" s="697">
        <f>0.992*10109</f>
        <v>10028.128000000001</v>
      </c>
      <c r="N72" s="697">
        <f>0.992*12566</f>
        <v>12465.472</v>
      </c>
      <c r="O72" s="697">
        <f>0.992*11423</f>
        <v>11331.616</v>
      </c>
      <c r="P72" s="697">
        <f>0.992*11637</f>
        <v>11543.904</v>
      </c>
      <c r="Q72" s="697">
        <f>0.992*10678</f>
        <v>10592.575999999999</v>
      </c>
      <c r="R72" s="697">
        <f>0.992*12601</f>
        <v>12500.191999999999</v>
      </c>
      <c r="S72" s="698">
        <f>SUM(G72:R72)</f>
        <v>138010.01599999997</v>
      </c>
      <c r="T72" s="697">
        <f>SUM(G72:M72)</f>
        <v>79576.255999999994</v>
      </c>
    </row>
    <row r="73" spans="2:23" ht="10.95" customHeight="1" x14ac:dyDescent="0.3">
      <c r="B73" s="695"/>
      <c r="C73" s="863"/>
      <c r="D73" s="835"/>
      <c r="E73" s="845"/>
      <c r="F73" s="707" t="s">
        <v>706</v>
      </c>
      <c r="G73" s="708">
        <f>'Janeiro 25'!AI27</f>
        <v>12436.900000000003</v>
      </c>
      <c r="H73" s="708">
        <f>'Fevereiro 25'!AF27</f>
        <v>13065.399999999998</v>
      </c>
      <c r="I73" s="708">
        <f>'Março 25'!AI27</f>
        <v>12157.900000000001</v>
      </c>
      <c r="J73" s="708"/>
      <c r="K73" s="708"/>
      <c r="L73" s="708"/>
      <c r="M73" s="708"/>
      <c r="N73" s="708"/>
      <c r="O73" s="708"/>
      <c r="P73" s="708"/>
      <c r="Q73" s="708"/>
      <c r="R73" s="708"/>
      <c r="S73" s="708">
        <f>SUM(G73:R73)</f>
        <v>37660.200000000004</v>
      </c>
      <c r="T73" s="708">
        <f>SUM(G73:M73)</f>
        <v>37660.200000000004</v>
      </c>
    </row>
    <row r="74" spans="2:23" ht="10.95" customHeight="1" x14ac:dyDescent="0.3">
      <c r="B74" s="695"/>
      <c r="C74" s="863"/>
      <c r="D74" s="836"/>
      <c r="E74" s="846"/>
      <c r="F74" s="705" t="s">
        <v>673</v>
      </c>
      <c r="G74" s="706">
        <f>G73/G72</f>
        <v>0.987180911861824</v>
      </c>
      <c r="H74" s="706">
        <f>H73/H72</f>
        <v>1.0297706121213648</v>
      </c>
      <c r="I74" s="706">
        <f>I73/I72</f>
        <v>0.97269425243215568</v>
      </c>
      <c r="J74" s="706">
        <f>J73/J72</f>
        <v>0</v>
      </c>
      <c r="K74" s="706">
        <f>K73/K72</f>
        <v>0</v>
      </c>
      <c r="L74" s="706">
        <f t="shared" ref="L74:T74" si="23">L73/L72</f>
        <v>0</v>
      </c>
      <c r="M74" s="706">
        <f t="shared" si="23"/>
        <v>0</v>
      </c>
      <c r="N74" s="706">
        <f t="shared" si="23"/>
        <v>0</v>
      </c>
      <c r="O74" s="706">
        <f t="shared" si="23"/>
        <v>0</v>
      </c>
      <c r="P74" s="706">
        <f t="shared" si="23"/>
        <v>0</v>
      </c>
      <c r="Q74" s="706">
        <f t="shared" si="23"/>
        <v>0</v>
      </c>
      <c r="R74" s="706">
        <f t="shared" si="23"/>
        <v>0</v>
      </c>
      <c r="S74" s="706">
        <f t="shared" si="23"/>
        <v>0.27288019443458372</v>
      </c>
      <c r="T74" s="706">
        <f t="shared" si="23"/>
        <v>0.47325925964649562</v>
      </c>
    </row>
    <row r="75" spans="2:23" ht="10.95" customHeight="1" x14ac:dyDescent="0.3">
      <c r="B75" s="695"/>
      <c r="C75" s="863"/>
      <c r="D75" s="834" t="s">
        <v>708</v>
      </c>
      <c r="E75" s="844">
        <v>100</v>
      </c>
      <c r="F75" s="696" t="s">
        <v>705</v>
      </c>
      <c r="G75" s="697">
        <f>12700*0.992</f>
        <v>12598.4</v>
      </c>
      <c r="H75" s="697">
        <f>0.992*12790</f>
        <v>12687.68</v>
      </c>
      <c r="I75" s="697">
        <f>0.992*12600</f>
        <v>12499.2</v>
      </c>
      <c r="J75" s="697">
        <f>0.992*11591</f>
        <v>11498.271999999999</v>
      </c>
      <c r="K75" s="697">
        <f>0.992*10790</f>
        <v>10703.68</v>
      </c>
      <c r="L75" s="697">
        <f>0.992*9638</f>
        <v>9560.8960000000006</v>
      </c>
      <c r="M75" s="697">
        <f>0.992*10109</f>
        <v>10028.128000000001</v>
      </c>
      <c r="N75" s="697">
        <f>0.992*12566</f>
        <v>12465.472</v>
      </c>
      <c r="O75" s="697">
        <f>0.992*11423</f>
        <v>11331.616</v>
      </c>
      <c r="P75" s="697">
        <f>0.992*11637</f>
        <v>11543.904</v>
      </c>
      <c r="Q75" s="697">
        <f>0.992*10678</f>
        <v>10592.575999999999</v>
      </c>
      <c r="R75" s="697">
        <f>0.992*12601</f>
        <v>12500.191999999999</v>
      </c>
      <c r="S75" s="698">
        <f>SUM(G75:R75)</f>
        <v>138010.01599999997</v>
      </c>
      <c r="T75" s="697">
        <f>SUM(G75:M75)</f>
        <v>79576.255999999994</v>
      </c>
    </row>
    <row r="76" spans="2:23" ht="10.95" customHeight="1" x14ac:dyDescent="0.3">
      <c r="B76" s="695"/>
      <c r="C76" s="863"/>
      <c r="D76" s="835"/>
      <c r="E76" s="845"/>
      <c r="F76" s="707" t="s">
        <v>706</v>
      </c>
      <c r="G76" s="708">
        <f>'Janeiro 25'!AI28</f>
        <v>11542.499999999998</v>
      </c>
      <c r="H76" s="708">
        <f>'Fevereiro 25'!AF28</f>
        <v>11175.400000000003</v>
      </c>
      <c r="I76" s="708">
        <f>'Março 25'!AI28</f>
        <v>11211.399999999998</v>
      </c>
      <c r="J76" s="708"/>
      <c r="K76" s="708"/>
      <c r="L76" s="708"/>
      <c r="M76" s="708"/>
      <c r="N76" s="708"/>
      <c r="O76" s="708"/>
      <c r="P76" s="708"/>
      <c r="Q76" s="708"/>
      <c r="R76" s="708"/>
      <c r="S76" s="708">
        <f>SUM(G76:R76)</f>
        <v>33929.300000000003</v>
      </c>
      <c r="T76" s="708">
        <f>SUM(G76:M76)</f>
        <v>33929.300000000003</v>
      </c>
    </row>
    <row r="77" spans="2:23" ht="10.95" customHeight="1" x14ac:dyDescent="0.3">
      <c r="B77" s="695"/>
      <c r="C77" s="863"/>
      <c r="D77" s="836"/>
      <c r="E77" s="846"/>
      <c r="F77" s="705" t="s">
        <v>673</v>
      </c>
      <c r="G77" s="706">
        <f>G76/G75</f>
        <v>0.91618776987553963</v>
      </c>
      <c r="H77" s="706">
        <f>H76/H75</f>
        <v>0.88080720825241521</v>
      </c>
      <c r="I77" s="706">
        <f>I76/I75</f>
        <v>0.89696940604198649</v>
      </c>
      <c r="J77" s="706">
        <f>J76/J75</f>
        <v>0</v>
      </c>
      <c r="K77" s="706">
        <f>K76/K75</f>
        <v>0</v>
      </c>
      <c r="L77" s="706">
        <f t="shared" ref="L77:T77" si="24">L76/L75</f>
        <v>0</v>
      </c>
      <c r="M77" s="706">
        <f t="shared" si="24"/>
        <v>0</v>
      </c>
      <c r="N77" s="706">
        <f t="shared" si="24"/>
        <v>0</v>
      </c>
      <c r="O77" s="706">
        <f t="shared" si="24"/>
        <v>0</v>
      </c>
      <c r="P77" s="706">
        <f t="shared" si="24"/>
        <v>0</v>
      </c>
      <c r="Q77" s="706">
        <f t="shared" si="24"/>
        <v>0</v>
      </c>
      <c r="R77" s="706">
        <f t="shared" si="24"/>
        <v>0</v>
      </c>
      <c r="S77" s="706">
        <f t="shared" si="24"/>
        <v>0.24584664927507877</v>
      </c>
      <c r="T77" s="706">
        <f t="shared" si="24"/>
        <v>0.42637467135925577</v>
      </c>
    </row>
    <row r="78" spans="2:23" ht="10.95" customHeight="1" x14ac:dyDescent="0.3">
      <c r="B78" s="695"/>
      <c r="C78" s="863"/>
      <c r="D78" s="834" t="s">
        <v>709</v>
      </c>
      <c r="E78" s="844">
        <v>100</v>
      </c>
      <c r="F78" s="696" t="s">
        <v>705</v>
      </c>
      <c r="G78" s="697">
        <f>12700*0.992</f>
        <v>12598.4</v>
      </c>
      <c r="H78" s="697">
        <f>0.992*12790</f>
        <v>12687.68</v>
      </c>
      <c r="I78" s="697">
        <f>0.992*12600</f>
        <v>12499.2</v>
      </c>
      <c r="J78" s="697">
        <f>0.992*11591</f>
        <v>11498.271999999999</v>
      </c>
      <c r="K78" s="697">
        <f>0.992*10790</f>
        <v>10703.68</v>
      </c>
      <c r="L78" s="697">
        <f>0.992*9638</f>
        <v>9560.8960000000006</v>
      </c>
      <c r="M78" s="697">
        <f>0.992*10109</f>
        <v>10028.128000000001</v>
      </c>
      <c r="N78" s="697">
        <f>0.992*12566</f>
        <v>12465.472</v>
      </c>
      <c r="O78" s="697">
        <f>0.992*11423</f>
        <v>11331.616</v>
      </c>
      <c r="P78" s="697">
        <f>0.992*11637</f>
        <v>11543.904</v>
      </c>
      <c r="Q78" s="697">
        <f>0.992*10678</f>
        <v>10592.575999999999</v>
      </c>
      <c r="R78" s="697">
        <f>0.992*12601</f>
        <v>12500.191999999999</v>
      </c>
      <c r="S78" s="698">
        <f>SUM(G78:R78)</f>
        <v>138010.01599999997</v>
      </c>
      <c r="T78" s="697">
        <f>SUM(G78:M78)</f>
        <v>79576.255999999994</v>
      </c>
    </row>
    <row r="79" spans="2:23" ht="10.95" customHeight="1" x14ac:dyDescent="0.3">
      <c r="B79" s="695"/>
      <c r="C79" s="863"/>
      <c r="D79" s="835"/>
      <c r="E79" s="845"/>
      <c r="F79" s="707" t="s">
        <v>706</v>
      </c>
      <c r="G79" s="708">
        <f>'Janeiro 25'!AI29</f>
        <v>10897.4</v>
      </c>
      <c r="H79" s="708">
        <f>'Fevereiro 25'!AF29</f>
        <v>10938.500000000004</v>
      </c>
      <c r="I79" s="708">
        <f>'Março 25'!AI29</f>
        <v>9732.5999999999985</v>
      </c>
      <c r="J79" s="708"/>
      <c r="K79" s="708"/>
      <c r="L79" s="708"/>
      <c r="M79" s="708"/>
      <c r="N79" s="708"/>
      <c r="O79" s="708"/>
      <c r="P79" s="708"/>
      <c r="Q79" s="708"/>
      <c r="R79" s="708"/>
      <c r="S79" s="708">
        <f>SUM(G79:R79)</f>
        <v>31568.5</v>
      </c>
      <c r="T79" s="708">
        <f>SUM(G79:I79)</f>
        <v>31568.5</v>
      </c>
    </row>
    <row r="80" spans="2:23" ht="10.95" customHeight="1" x14ac:dyDescent="0.3">
      <c r="B80" s="695"/>
      <c r="C80" s="863"/>
      <c r="D80" s="836"/>
      <c r="E80" s="846"/>
      <c r="F80" s="705" t="s">
        <v>673</v>
      </c>
      <c r="G80" s="706">
        <f>G79/G78</f>
        <v>0.86498285496570992</v>
      </c>
      <c r="H80" s="706">
        <f>H79/H78</f>
        <v>0.86213555196852409</v>
      </c>
      <c r="I80" s="706">
        <f>I79/I78</f>
        <v>0.77865783410138234</v>
      </c>
      <c r="J80" s="706">
        <f>J79/J78</f>
        <v>0</v>
      </c>
      <c r="K80" s="706">
        <f>K79/K78</f>
        <v>0</v>
      </c>
      <c r="L80" s="706">
        <f t="shared" ref="L80:T80" si="25">L79/L78</f>
        <v>0</v>
      </c>
      <c r="M80" s="706">
        <f t="shared" si="25"/>
        <v>0</v>
      </c>
      <c r="N80" s="706">
        <f t="shared" si="25"/>
        <v>0</v>
      </c>
      <c r="O80" s="706">
        <f t="shared" si="25"/>
        <v>0</v>
      </c>
      <c r="P80" s="706">
        <f t="shared" si="25"/>
        <v>0</v>
      </c>
      <c r="Q80" s="706">
        <f t="shared" si="25"/>
        <v>0</v>
      </c>
      <c r="R80" s="706">
        <f t="shared" si="25"/>
        <v>0</v>
      </c>
      <c r="S80" s="706">
        <f t="shared" si="25"/>
        <v>0.22874064444713929</v>
      </c>
      <c r="T80" s="706">
        <f t="shared" si="25"/>
        <v>0.39670753044727314</v>
      </c>
    </row>
    <row r="81" spans="1:25" ht="10.95" customHeight="1" x14ac:dyDescent="0.3">
      <c r="B81" s="868" t="s">
        <v>712</v>
      </c>
      <c r="C81" s="864" t="s">
        <v>1042</v>
      </c>
      <c r="D81" s="847" t="s">
        <v>291</v>
      </c>
      <c r="E81" s="850">
        <v>80</v>
      </c>
      <c r="F81" s="699" t="s">
        <v>705</v>
      </c>
      <c r="G81" s="700">
        <f>0.992*12700</f>
        <v>12598.4</v>
      </c>
      <c r="H81" s="700">
        <f>0.992*12790</f>
        <v>12687.68</v>
      </c>
      <c r="I81" s="700">
        <f>0.992*12600</f>
        <v>12499.2</v>
      </c>
      <c r="J81" s="700">
        <f>0.992*11591</f>
        <v>11498.271999999999</v>
      </c>
      <c r="K81" s="700">
        <f>0.992*10790</f>
        <v>10703.68</v>
      </c>
      <c r="L81" s="700">
        <f>0.992*9638</f>
        <v>9560.8960000000006</v>
      </c>
      <c r="M81" s="700">
        <f>0.992*10109</f>
        <v>10028.128000000001</v>
      </c>
      <c r="N81" s="700">
        <f>0.992*12566</f>
        <v>12465.472</v>
      </c>
      <c r="O81" s="700">
        <f>0.992*11423</f>
        <v>11331.616</v>
      </c>
      <c r="P81" s="700">
        <f>0.992*11637</f>
        <v>11543.904</v>
      </c>
      <c r="Q81" s="700">
        <f>0.992*10678</f>
        <v>10592.575999999999</v>
      </c>
      <c r="R81" s="700">
        <f>0.992*12601</f>
        <v>12500.191999999999</v>
      </c>
      <c r="S81" s="701">
        <f>SUM(G81:R81)</f>
        <v>138010.01599999997</v>
      </c>
      <c r="T81" s="700">
        <f>SUM(G81:M81)</f>
        <v>79576.255999999994</v>
      </c>
      <c r="V81" s="405"/>
      <c r="W81" s="404"/>
    </row>
    <row r="82" spans="1:25" ht="10.95" customHeight="1" x14ac:dyDescent="0.3">
      <c r="B82" s="868"/>
      <c r="C82" s="854"/>
      <c r="D82" s="848"/>
      <c r="E82" s="851"/>
      <c r="F82" s="707" t="s">
        <v>706</v>
      </c>
      <c r="G82" s="708">
        <f>'Janeiro 25'!AI30</f>
        <v>11437.7</v>
      </c>
      <c r="H82" s="708">
        <f>'Fevereiro 25'!AF30</f>
        <v>13171.199999999999</v>
      </c>
      <c r="I82" s="708">
        <f>'Março 25'!AI30</f>
        <v>11595.9</v>
      </c>
      <c r="J82" s="708"/>
      <c r="K82" s="708"/>
      <c r="L82" s="708"/>
      <c r="M82" s="708"/>
      <c r="N82" s="708"/>
      <c r="O82" s="708"/>
      <c r="P82" s="708"/>
      <c r="Q82" s="708"/>
      <c r="R82" s="708"/>
      <c r="S82" s="708">
        <f>SUM(G82:R82)</f>
        <v>36204.800000000003</v>
      </c>
      <c r="T82" s="708">
        <f>SUM(G82:I82)</f>
        <v>36204.800000000003</v>
      </c>
      <c r="V82" s="405"/>
      <c r="W82" s="404"/>
    </row>
    <row r="83" spans="1:25" ht="10.95" customHeight="1" x14ac:dyDescent="0.3">
      <c r="B83" s="868"/>
      <c r="C83" s="854"/>
      <c r="D83" s="849"/>
      <c r="E83" s="852"/>
      <c r="F83" s="705" t="s">
        <v>673</v>
      </c>
      <c r="G83" s="706">
        <f t="shared" ref="G83:L83" si="26">G82/G81</f>
        <v>0.90786925323850654</v>
      </c>
      <c r="H83" s="706">
        <f t="shared" si="26"/>
        <v>1.0381094100733939</v>
      </c>
      <c r="I83" s="706">
        <f t="shared" si="26"/>
        <v>0.92773137480798762</v>
      </c>
      <c r="J83" s="706">
        <f t="shared" si="26"/>
        <v>0</v>
      </c>
      <c r="K83" s="706">
        <f t="shared" si="26"/>
        <v>0</v>
      </c>
      <c r="L83" s="706">
        <f t="shared" si="26"/>
        <v>0</v>
      </c>
      <c r="M83" s="706">
        <f t="shared" ref="M83:T83" si="27">M82/M81</f>
        <v>0</v>
      </c>
      <c r="N83" s="706">
        <f t="shared" si="27"/>
        <v>0</v>
      </c>
      <c r="O83" s="706">
        <f t="shared" si="27"/>
        <v>0</v>
      </c>
      <c r="P83" s="706">
        <f t="shared" si="27"/>
        <v>0</v>
      </c>
      <c r="Q83" s="706">
        <f t="shared" si="27"/>
        <v>0</v>
      </c>
      <c r="R83" s="706">
        <f t="shared" si="27"/>
        <v>0</v>
      </c>
      <c r="S83" s="706">
        <f t="shared" si="27"/>
        <v>0.26233458302040924</v>
      </c>
      <c r="T83" s="706">
        <f t="shared" si="27"/>
        <v>0.45496988448413567</v>
      </c>
      <c r="V83" s="405"/>
      <c r="W83" s="404"/>
    </row>
    <row r="84" spans="1:25" ht="10.95" customHeight="1" x14ac:dyDescent="0.3">
      <c r="B84" s="868"/>
      <c r="C84" s="854"/>
      <c r="D84" s="853" t="s">
        <v>947</v>
      </c>
      <c r="E84" s="854">
        <v>100</v>
      </c>
      <c r="F84" s="699" t="s">
        <v>705</v>
      </c>
      <c r="G84" s="700">
        <f>9652*0.992</f>
        <v>9574.7839999999997</v>
      </c>
      <c r="H84" s="700">
        <f>0.992*9720.4</f>
        <v>9642.6368000000002</v>
      </c>
      <c r="I84" s="700">
        <f>0.992*9576</f>
        <v>9499.3919999999998</v>
      </c>
      <c r="J84" s="700">
        <f>0.992*8809.16</f>
        <v>8738.6867199999997</v>
      </c>
      <c r="K84" s="700">
        <f>0.992*8200.4</f>
        <v>8134.7967999999992</v>
      </c>
      <c r="L84" s="700">
        <f>0.992*7324.88</f>
        <v>7266.2809600000001</v>
      </c>
      <c r="M84" s="700">
        <f>0.992*7682.84</f>
        <v>7621.3772799999997</v>
      </c>
      <c r="N84" s="700">
        <f>0.992*9550.16</f>
        <v>9473.7587199999998</v>
      </c>
      <c r="O84" s="700">
        <f>0.992*8681.48</f>
        <v>8612.0281599999998</v>
      </c>
      <c r="P84" s="700">
        <f>0.992*8844.12</f>
        <v>8773.367040000001</v>
      </c>
      <c r="Q84" s="700">
        <f>0.992*8115.28</f>
        <v>8050.3577599999999</v>
      </c>
      <c r="R84" s="700">
        <f>0.992*9576.76</f>
        <v>9500.1459200000008</v>
      </c>
      <c r="S84" s="701">
        <f>SUM(G84:R84)</f>
        <v>104887.61215999999</v>
      </c>
      <c r="T84" s="700">
        <f>SUM(G84:I84)</f>
        <v>28716.8128</v>
      </c>
      <c r="V84" s="405"/>
      <c r="W84" s="404"/>
    </row>
    <row r="85" spans="1:25" ht="10.95" customHeight="1" x14ac:dyDescent="0.3">
      <c r="B85" s="868"/>
      <c r="C85" s="854"/>
      <c r="D85" s="853"/>
      <c r="E85" s="854"/>
      <c r="F85" s="707" t="s">
        <v>706</v>
      </c>
      <c r="G85" s="708">
        <f>'Janeiro 25'!AI31</f>
        <v>7643.9999999999991</v>
      </c>
      <c r="H85" s="708">
        <f>'Fevereiro 25'!AF31</f>
        <v>10384.710000000001</v>
      </c>
      <c r="I85" s="708">
        <f>'Março 25'!AI31</f>
        <v>10686.119999999997</v>
      </c>
      <c r="J85" s="708"/>
      <c r="K85" s="708"/>
      <c r="L85" s="708"/>
      <c r="M85" s="708"/>
      <c r="N85" s="708"/>
      <c r="O85" s="708"/>
      <c r="P85" s="708"/>
      <c r="Q85" s="708"/>
      <c r="R85" s="708"/>
      <c r="S85" s="708">
        <f>SUM(G85:R85)</f>
        <v>28714.829999999994</v>
      </c>
      <c r="T85" s="708">
        <f>SUM(G85:M85)</f>
        <v>28714.829999999994</v>
      </c>
      <c r="V85" s="405"/>
      <c r="W85" s="404"/>
    </row>
    <row r="86" spans="1:25" s="393" customFormat="1" ht="10.95" customHeight="1" x14ac:dyDescent="0.3">
      <c r="A86"/>
      <c r="B86" s="868"/>
      <c r="C86" s="854"/>
      <c r="D86" s="853"/>
      <c r="E86" s="854"/>
      <c r="F86" s="705" t="s">
        <v>673</v>
      </c>
      <c r="G86" s="706">
        <f>G85/G84</f>
        <v>0.79834699143082488</v>
      </c>
      <c r="H86" s="706">
        <f>H85/H84</f>
        <v>1.0769574977665861</v>
      </c>
      <c r="I86" s="706">
        <f>I85/I84</f>
        <v>1.1249267321529628</v>
      </c>
      <c r="J86" s="706">
        <f>J85/J84</f>
        <v>0</v>
      </c>
      <c r="K86" s="706">
        <f>K85/K84</f>
        <v>0</v>
      </c>
      <c r="L86" s="706">
        <f t="shared" ref="L86:T86" si="28">L85/L84</f>
        <v>0</v>
      </c>
      <c r="M86" s="706">
        <f t="shared" si="28"/>
        <v>0</v>
      </c>
      <c r="N86" s="706">
        <f t="shared" si="28"/>
        <v>0</v>
      </c>
      <c r="O86" s="706">
        <f t="shared" si="28"/>
        <v>0</v>
      </c>
      <c r="P86" s="706">
        <f t="shared" si="28"/>
        <v>0</v>
      </c>
      <c r="Q86" s="706">
        <f t="shared" si="28"/>
        <v>0</v>
      </c>
      <c r="R86" s="706">
        <f t="shared" si="28"/>
        <v>0</v>
      </c>
      <c r="S86" s="706">
        <f t="shared" si="28"/>
        <v>0.27376760142272266</v>
      </c>
      <c r="T86" s="706">
        <f t="shared" si="28"/>
        <v>0.9999309533403371</v>
      </c>
      <c r="V86" s="405"/>
      <c r="W86" s="404"/>
    </row>
    <row r="87" spans="1:25" s="393" customFormat="1" ht="10.95" customHeight="1" x14ac:dyDescent="0.3">
      <c r="A87"/>
      <c r="B87" s="422"/>
      <c r="C87" s="422"/>
      <c r="D87" s="108"/>
      <c r="E87" s="15"/>
      <c r="F87" s="408"/>
      <c r="G87" s="423"/>
      <c r="H87" s="423"/>
      <c r="I87" s="409"/>
      <c r="J87" s="409"/>
      <c r="K87" s="409"/>
      <c r="L87" s="409"/>
      <c r="M87" s="409"/>
      <c r="N87" s="409"/>
      <c r="O87" s="409"/>
      <c r="P87" s="409"/>
      <c r="Q87" s="409"/>
      <c r="R87" s="409"/>
      <c r="S87" s="410"/>
      <c r="T87" s="423"/>
      <c r="V87" s="405"/>
      <c r="W87" s="404"/>
    </row>
    <row r="88" spans="1:25" s="393" customFormat="1" x14ac:dyDescent="0.3">
      <c r="A88"/>
      <c r="B88"/>
      <c r="C88"/>
      <c r="D88"/>
      <c r="E88" s="421" t="s">
        <v>672</v>
      </c>
      <c r="F88" s="421" t="s">
        <v>673</v>
      </c>
      <c r="G88" s="420">
        <v>45658</v>
      </c>
      <c r="H88" s="420">
        <v>45689</v>
      </c>
      <c r="I88" s="420">
        <v>45717</v>
      </c>
      <c r="J88" s="420">
        <v>45748</v>
      </c>
      <c r="K88" s="420">
        <v>45778</v>
      </c>
      <c r="L88" s="420">
        <v>45809</v>
      </c>
      <c r="M88" s="420">
        <v>45839</v>
      </c>
      <c r="N88" s="420">
        <v>45870</v>
      </c>
      <c r="O88" s="420">
        <v>45901</v>
      </c>
      <c r="P88" s="420">
        <v>45931</v>
      </c>
      <c r="Q88" s="420">
        <v>45962</v>
      </c>
      <c r="R88" s="420">
        <v>45992</v>
      </c>
      <c r="S88" s="420" t="s">
        <v>674</v>
      </c>
      <c r="T88" s="420" t="s">
        <v>704</v>
      </c>
      <c r="V88" s="406"/>
      <c r="W88" s="404"/>
    </row>
    <row r="89" spans="1:25" s="393" customFormat="1" x14ac:dyDescent="0.3">
      <c r="A89"/>
      <c r="B89"/>
      <c r="C89"/>
      <c r="D89" s="792" t="s">
        <v>667</v>
      </c>
      <c r="E89" s="843">
        <f>SUM(E3:E86)</f>
        <v>2632</v>
      </c>
      <c r="F89" s="415" t="s">
        <v>705</v>
      </c>
      <c r="G89" s="415">
        <f>SUM(G3,G6,G9,G12,G15,G18,G21,G24,G27,G30,G33,G36,G42,G45,G48,G51,G54,G57,G60,G63,G66,G69,G72,G75,G78,G81,G84)</f>
        <v>306617.44944000005</v>
      </c>
      <c r="H89" s="415">
        <f>SUM(H3,H6,H9,H12,H15,H18,H21,H24,H27,H30,H33,H36,H42,H45,H48,H51,H54,H57,H60,H63,H66,H69,H72,H75,H78,H81,H84)</f>
        <v>306893.83588799997</v>
      </c>
      <c r="I89" s="415">
        <f>SUM(I3,I6,I9,I12,I15,I18,I21,I24,I27,I30,I33,I36,I42,I45,I48,I51,I54,I57,I60,I63,I66,I69,I72,I75,I78,I81,I84)</f>
        <v>303501.46272000001</v>
      </c>
      <c r="J89" s="415">
        <f>SUM(J3,J6,J9,J12,J15,J18,J21,J24,J27,J30,J33,J36,J42,J45,J48,J51,J54,J57,J60,J63,J66,J69,J72,J75,J78,J81,J84)</f>
        <v>279151.50567520002</v>
      </c>
      <c r="K89" s="415">
        <f>SUM(K3,K6,K9,K12,K15,K18,K21,K24,K27,K30,K33,K36,K39,K42,K45,K48,K51,K54,K57,K60,K63,K66,K69,K72,K75,K78,K81,K84)</f>
        <v>271422.05348799995</v>
      </c>
      <c r="L89" s="415">
        <f t="shared" ref="L89:R89" si="29">SUM(L3,L6,L9,L12,L15,L18,L21,L24,L27,L30,L33,L36,L39,L42,L45,L48,L51,L54,L57,L60,L63,L66,L69,L72,L75,L78,L81,L84)</f>
        <v>242662.66535360005</v>
      </c>
      <c r="M89" s="415">
        <f t="shared" si="29"/>
        <v>258467.96496479996</v>
      </c>
      <c r="N89" s="415">
        <f t="shared" si="29"/>
        <v>316919.69779519999</v>
      </c>
      <c r="O89" s="415">
        <f t="shared" si="29"/>
        <v>290405.70070559997</v>
      </c>
      <c r="P89" s="415">
        <f t="shared" si="29"/>
        <v>295139.5905263999</v>
      </c>
      <c r="Q89" s="415">
        <f t="shared" si="29"/>
        <v>270788.89444160002</v>
      </c>
      <c r="R89" s="415">
        <f t="shared" si="29"/>
        <v>320186.08874719992</v>
      </c>
      <c r="S89" s="415">
        <f>SUM(S3,S6,S9,S12,S15,S18,S21,S24,S27,S30,S33,S36,S42,S45,S48,S51,S54,S57,S60,S63,S66,S69,S72,S75,S78,S81,S84)</f>
        <v>3374145.9817455993</v>
      </c>
      <c r="T89" s="416">
        <f>SUM(G89:I89)</f>
        <v>917012.74804800004</v>
      </c>
    </row>
    <row r="90" spans="1:25" x14ac:dyDescent="0.3">
      <c r="D90" s="792"/>
      <c r="E90" s="843"/>
      <c r="F90" s="709" t="s">
        <v>706</v>
      </c>
      <c r="G90" s="711">
        <f>SUM(G4,G7,G10,G13,G16,G19,G22,G25,G28,G31,G34,G37,G43,G46,G49,G52,G55,G58,G61,G64,G67,G70,G73,G76,G79,G82,G85)</f>
        <v>289458.30000000005</v>
      </c>
      <c r="H90" s="711">
        <f t="shared" ref="H90:S90" si="30">SUM(H4,H7,H10,H13,H16,H19,H22,H25,H28,H31,H34,H37,H43,H46,H49,H52,H55,H58,H61,H64,H67,H70,H73,H76,H79,H82,H85)</f>
        <v>312070.11000000004</v>
      </c>
      <c r="I90" s="711">
        <f t="shared" si="30"/>
        <v>289630.92000000004</v>
      </c>
      <c r="J90" s="711">
        <f t="shared" si="30"/>
        <v>41366.5</v>
      </c>
      <c r="K90" s="711">
        <f t="shared" si="30"/>
        <v>40504.600000000006</v>
      </c>
      <c r="L90" s="711">
        <f t="shared" si="30"/>
        <v>35944.199999999997</v>
      </c>
      <c r="M90" s="711">
        <f t="shared" si="30"/>
        <v>0</v>
      </c>
      <c r="N90" s="711">
        <f t="shared" si="30"/>
        <v>0</v>
      </c>
      <c r="O90" s="711">
        <f t="shared" si="30"/>
        <v>0</v>
      </c>
      <c r="P90" s="711">
        <f t="shared" si="30"/>
        <v>0</v>
      </c>
      <c r="Q90" s="711">
        <f t="shared" si="30"/>
        <v>0</v>
      </c>
      <c r="R90" s="711">
        <f t="shared" si="30"/>
        <v>0</v>
      </c>
      <c r="S90" s="711">
        <f t="shared" si="30"/>
        <v>1008974.63</v>
      </c>
      <c r="T90" s="710">
        <f>SUM(G90:R90)</f>
        <v>1008974.6300000001</v>
      </c>
    </row>
    <row r="91" spans="1:25" x14ac:dyDescent="0.3">
      <c r="D91" s="792"/>
      <c r="E91" s="843"/>
      <c r="F91" s="702" t="s">
        <v>713</v>
      </c>
      <c r="G91" s="703">
        <f>G90/G89</f>
        <v>0.94403727031407003</v>
      </c>
      <c r="H91" s="703">
        <f>H90/H89</f>
        <v>1.0168666604105048</v>
      </c>
      <c r="I91" s="703">
        <f t="shared" ref="I91:S91" si="31">I90/I89</f>
        <v>0.95429826731083511</v>
      </c>
      <c r="J91" s="703">
        <f t="shared" si="31"/>
        <v>0.14818655518244273</v>
      </c>
      <c r="K91" s="703">
        <f t="shared" si="31"/>
        <v>0.14923105723901978</v>
      </c>
      <c r="L91" s="703">
        <f t="shared" si="31"/>
        <v>0.14812414570499871</v>
      </c>
      <c r="M91" s="703">
        <f t="shared" si="31"/>
        <v>0</v>
      </c>
      <c r="N91" s="703">
        <f t="shared" si="31"/>
        <v>0</v>
      </c>
      <c r="O91" s="703">
        <f t="shared" si="31"/>
        <v>0</v>
      </c>
      <c r="P91" s="703">
        <f t="shared" si="31"/>
        <v>0</v>
      </c>
      <c r="Q91" s="703">
        <f t="shared" si="31"/>
        <v>0</v>
      </c>
      <c r="R91" s="703">
        <f t="shared" si="31"/>
        <v>0</v>
      </c>
      <c r="S91" s="703">
        <f t="shared" si="31"/>
        <v>0.29903111349023836</v>
      </c>
      <c r="T91" s="704">
        <f>T90/T89</f>
        <v>1.1002841914114661</v>
      </c>
      <c r="Y91" s="402"/>
    </row>
    <row r="92" spans="1:25" x14ac:dyDescent="0.3">
      <c r="G92" s="634"/>
      <c r="H92" s="414"/>
      <c r="Y92" s="402">
        <f>T90</f>
        <v>1008974.6300000001</v>
      </c>
    </row>
    <row r="93" spans="1:25" s="393" customFormat="1" x14ac:dyDescent="0.3">
      <c r="A93"/>
      <c r="B93"/>
      <c r="C93"/>
      <c r="D93"/>
      <c r="E93" s="31">
        <v>121</v>
      </c>
      <c r="F93" s="31"/>
      <c r="G93" s="407">
        <f>(G84*$E$93/$E$84)*0.91</f>
        <v>10542.794662400001</v>
      </c>
      <c r="H93" s="407">
        <f t="shared" ref="H93:R93" si="32">(H84*$E$93/$E$84)*0.91</f>
        <v>10617.507380479999</v>
      </c>
      <c r="I93" s="407">
        <f t="shared" si="32"/>
        <v>10459.7805312</v>
      </c>
      <c r="J93" s="407">
        <f t="shared" si="32"/>
        <v>9622.1679473919976</v>
      </c>
      <c r="K93" s="407">
        <f t="shared" si="32"/>
        <v>8957.22475648</v>
      </c>
      <c r="L93" s="407">
        <f t="shared" si="32"/>
        <v>8000.9019650559994</v>
      </c>
      <c r="M93" s="407">
        <f t="shared" si="32"/>
        <v>8391.8985230079998</v>
      </c>
      <c r="N93" s="407">
        <f t="shared" si="32"/>
        <v>10431.555726592</v>
      </c>
      <c r="O93" s="407">
        <f t="shared" si="32"/>
        <v>9482.7042069760009</v>
      </c>
      <c r="P93" s="407">
        <f t="shared" si="32"/>
        <v>9660.3544477440028</v>
      </c>
      <c r="Q93" s="407">
        <f t="shared" si="32"/>
        <v>8864.248929536001</v>
      </c>
      <c r="R93" s="407">
        <f t="shared" si="32"/>
        <v>10460.610672512001</v>
      </c>
      <c r="S93"/>
      <c r="T93" s="404">
        <f>AVERAGE(G93:R93)</f>
        <v>9624.3124791146674</v>
      </c>
      <c r="U93" s="393">
        <v>121</v>
      </c>
      <c r="X93" s="393" t="s">
        <v>842</v>
      </c>
      <c r="Y93" s="624" t="e">
        <f>Y92/Y91</f>
        <v>#DIV/0!</v>
      </c>
    </row>
    <row r="94" spans="1:25" s="393" customFormat="1" x14ac:dyDescent="0.3">
      <c r="A94"/>
      <c r="B94"/>
      <c r="C94"/>
      <c r="D94"/>
      <c r="E94" s="31">
        <v>110</v>
      </c>
      <c r="F94" s="31"/>
      <c r="G94" s="407">
        <f>(G84*$E$94/$E$84)*0.93</f>
        <v>9795.0040320000007</v>
      </c>
      <c r="H94" s="407">
        <f t="shared" ref="H94:R94" si="33">(H84*$E$94/$E$84)*0.93</f>
        <v>9864.4174464000007</v>
      </c>
      <c r="I94" s="407">
        <f t="shared" si="33"/>
        <v>9717.8780160000006</v>
      </c>
      <c r="J94" s="407">
        <f t="shared" si="33"/>
        <v>8939.6765145600002</v>
      </c>
      <c r="K94" s="407">
        <f t="shared" si="33"/>
        <v>8321.8971263999993</v>
      </c>
      <c r="L94" s="407">
        <f t="shared" si="33"/>
        <v>7433.4054220800008</v>
      </c>
      <c r="M94" s="407">
        <f t="shared" si="33"/>
        <v>7796.6689574399988</v>
      </c>
      <c r="N94" s="407">
        <f t="shared" si="33"/>
        <v>9691.6551705599995</v>
      </c>
      <c r="O94" s="407">
        <f t="shared" si="33"/>
        <v>8810.1048076799998</v>
      </c>
      <c r="P94" s="407">
        <f t="shared" si="33"/>
        <v>8975.1544819200008</v>
      </c>
      <c r="Q94" s="407">
        <f t="shared" si="33"/>
        <v>8235.5159884799996</v>
      </c>
      <c r="R94" s="407">
        <f t="shared" si="33"/>
        <v>9718.6492761600002</v>
      </c>
      <c r="S94"/>
      <c r="T94" s="404">
        <f>AVERAGE(G94:R94)</f>
        <v>8941.6689366400005</v>
      </c>
      <c r="U94" s="393">
        <v>110</v>
      </c>
    </row>
    <row r="95" spans="1:25" s="393" customFormat="1" x14ac:dyDescent="0.3">
      <c r="A95"/>
      <c r="B95"/>
      <c r="C95"/>
      <c r="D95"/>
      <c r="E95" s="31">
        <v>116</v>
      </c>
      <c r="F95" s="31"/>
      <c r="G95" s="407">
        <f>(G84*$E$95/$E$84)*0.92</f>
        <v>10218.2094848</v>
      </c>
      <c r="H95" s="407">
        <f t="shared" ref="H95:R95" si="34">(H84*$E$95/$E$84)*0.92</f>
        <v>10290.621992960001</v>
      </c>
      <c r="I95" s="407">
        <f t="shared" si="34"/>
        <v>10137.7511424</v>
      </c>
      <c r="J95" s="407">
        <f t="shared" si="34"/>
        <v>9325.9264675840004</v>
      </c>
      <c r="K95" s="407">
        <f t="shared" si="34"/>
        <v>8681.4551449599985</v>
      </c>
      <c r="L95" s="407">
        <f t="shared" si="34"/>
        <v>7754.5750405119998</v>
      </c>
      <c r="M95" s="407">
        <f t="shared" si="34"/>
        <v>8133.5338332160009</v>
      </c>
      <c r="N95" s="407">
        <f t="shared" si="34"/>
        <v>10110.395305984001</v>
      </c>
      <c r="O95" s="407">
        <f t="shared" si="34"/>
        <v>9190.7564523519995</v>
      </c>
      <c r="P95" s="407">
        <f t="shared" si="34"/>
        <v>9362.9373050880022</v>
      </c>
      <c r="Q95" s="407">
        <f t="shared" si="34"/>
        <v>8591.3418014719991</v>
      </c>
      <c r="R95" s="407">
        <f t="shared" si="34"/>
        <v>10138.555725824001</v>
      </c>
      <c r="S95"/>
      <c r="T95" s="404">
        <f>AVERAGE(G95:R95)</f>
        <v>9328.0049747626654</v>
      </c>
      <c r="U95" s="393">
        <v>116</v>
      </c>
    </row>
    <row r="96" spans="1:25" s="393" customFormat="1" x14ac:dyDescent="0.3">
      <c r="A96"/>
      <c r="B96"/>
      <c r="C96"/>
      <c r="D96" s="240">
        <f>G89*(0.005-1)</f>
        <v>-305084.36219280004</v>
      </c>
      <c r="E96" s="31">
        <v>29</v>
      </c>
      <c r="F96" s="31"/>
      <c r="G96" s="407">
        <f>(G81*$E$96/$E$81)*0.95</f>
        <v>4338.5739999999996</v>
      </c>
      <c r="H96" s="407">
        <f t="shared" ref="H96:R96" si="35">(H81*$E$96/$E$81)*0.95</f>
        <v>4369.3198000000002</v>
      </c>
      <c r="I96" s="407">
        <f t="shared" si="35"/>
        <v>4304.4120000000003</v>
      </c>
      <c r="J96" s="407">
        <f t="shared" si="35"/>
        <v>3959.7174199999995</v>
      </c>
      <c r="K96" s="407">
        <f t="shared" si="35"/>
        <v>3686.0798</v>
      </c>
      <c r="L96" s="407">
        <f t="shared" si="35"/>
        <v>3292.5335599999999</v>
      </c>
      <c r="M96" s="407">
        <f t="shared" si="35"/>
        <v>3453.4365799999996</v>
      </c>
      <c r="N96" s="407">
        <f t="shared" si="35"/>
        <v>4292.7969199999998</v>
      </c>
      <c r="O96" s="407">
        <f t="shared" si="35"/>
        <v>3902.3252599999996</v>
      </c>
      <c r="P96" s="407">
        <f t="shared" si="35"/>
        <v>3975.4319399999999</v>
      </c>
      <c r="Q96" s="407">
        <f t="shared" si="35"/>
        <v>3647.8183599999998</v>
      </c>
      <c r="R96" s="407">
        <f t="shared" si="35"/>
        <v>4304.7536199999995</v>
      </c>
      <c r="S96"/>
      <c r="T96" s="404">
        <f>AVERAGE(G96:R96)</f>
        <v>3960.5999383333328</v>
      </c>
      <c r="U96" s="393">
        <v>106</v>
      </c>
    </row>
    <row r="97" spans="1:21" s="393" customFormat="1" x14ac:dyDescent="0.3">
      <c r="A97"/>
      <c r="B97"/>
      <c r="C97"/>
      <c r="D97"/>
      <c r="E97" s="31"/>
      <c r="F97" s="31"/>
      <c r="G97" s="407"/>
      <c r="H97" s="407"/>
      <c r="I97" s="407"/>
      <c r="J97" s="407"/>
      <c r="K97" s="407"/>
      <c r="L97" s="407"/>
      <c r="M97" s="407"/>
      <c r="N97" s="407"/>
      <c r="O97" s="407"/>
      <c r="P97" s="407"/>
      <c r="Q97" s="407"/>
      <c r="R97" s="407"/>
      <c r="S97"/>
      <c r="T97" s="402">
        <f>AVERAGE(G84:R84)</f>
        <v>8740.6343466666658</v>
      </c>
      <c r="U97" s="393">
        <v>100</v>
      </c>
    </row>
    <row r="98" spans="1:21" s="393" customFormat="1" x14ac:dyDescent="0.3">
      <c r="A98"/>
      <c r="B98"/>
      <c r="C98"/>
      <c r="D98"/>
      <c r="E98" s="31"/>
      <c r="F98" s="31"/>
      <c r="G98" s="407">
        <f t="shared" ref="G98:R98" si="36">SUM(G3:G36)</f>
        <v>146001.72068012049</v>
      </c>
      <c r="H98" s="407">
        <f t="shared" si="36"/>
        <v>149670.83912918583</v>
      </c>
      <c r="I98" s="407">
        <f t="shared" si="36"/>
        <v>144680.60134110012</v>
      </c>
      <c r="J98" s="407">
        <f t="shared" si="36"/>
        <v>117010.06206863839</v>
      </c>
      <c r="K98" s="407">
        <f t="shared" si="36"/>
        <v>111865.53219709445</v>
      </c>
      <c r="L98" s="407">
        <f t="shared" si="36"/>
        <v>99906.80968396891</v>
      </c>
      <c r="M98" s="407">
        <f t="shared" si="36"/>
        <v>71026.733307999995</v>
      </c>
      <c r="N98" s="407">
        <f t="shared" si="36"/>
        <v>83920.734792000003</v>
      </c>
      <c r="O98" s="407">
        <f t="shared" si="36"/>
        <v>78600.261075999995</v>
      </c>
      <c r="P98" s="407">
        <f t="shared" si="36"/>
        <v>79366.159643999999</v>
      </c>
      <c r="Q98" s="407">
        <f t="shared" si="36"/>
        <v>72797.256135999996</v>
      </c>
      <c r="R98" s="407">
        <f t="shared" si="36"/>
        <v>86538.155211999998</v>
      </c>
      <c r="S98" s="407">
        <f>SUM(G98:R98)</f>
        <v>1241384.865268108</v>
      </c>
    </row>
    <row r="99" spans="1:21" s="393" customFormat="1" x14ac:dyDescent="0.3">
      <c r="A99"/>
      <c r="B99"/>
      <c r="C99"/>
      <c r="D99" t="s">
        <v>391</v>
      </c>
      <c r="E99" s="31"/>
      <c r="F99" s="31"/>
      <c r="G99" s="407">
        <f t="shared" ref="G99:R99" si="37">SUM(G42:G69)</f>
        <v>312344.13255350682</v>
      </c>
      <c r="H99" s="407">
        <f t="shared" si="37"/>
        <v>325020.99572421069</v>
      </c>
      <c r="I99" s="407">
        <f t="shared" si="37"/>
        <v>307988.08688444196</v>
      </c>
      <c r="J99" s="407">
        <f t="shared" si="37"/>
        <v>148783.17946319998</v>
      </c>
      <c r="K99" s="407">
        <f t="shared" si="37"/>
        <v>138501.46720800002</v>
      </c>
      <c r="L99" s="407">
        <f t="shared" si="37"/>
        <v>123714.28553760001</v>
      </c>
      <c r="M99" s="407">
        <f t="shared" si="37"/>
        <v>129760.08637680001</v>
      </c>
      <c r="N99" s="407">
        <f t="shared" si="37"/>
        <v>161298.37228320001</v>
      </c>
      <c r="O99" s="407">
        <f t="shared" si="37"/>
        <v>146626.71546959996</v>
      </c>
      <c r="P99" s="407">
        <f t="shared" si="37"/>
        <v>149373.63984239998</v>
      </c>
      <c r="Q99" s="407">
        <f t="shared" si="37"/>
        <v>137063.82454559999</v>
      </c>
      <c r="R99" s="407">
        <f t="shared" si="37"/>
        <v>161747.63561519998</v>
      </c>
      <c r="S99" s="407">
        <f>SUM(G99:R99)</f>
        <v>2242222.4215037595</v>
      </c>
    </row>
    <row r="100" spans="1:21" s="393" customFormat="1" x14ac:dyDescent="0.3">
      <c r="A100"/>
      <c r="B100"/>
      <c r="C100"/>
      <c r="D100" t="s">
        <v>383</v>
      </c>
      <c r="E100" s="31"/>
      <c r="F100" s="31"/>
      <c r="G100" s="407">
        <f t="shared" ref="G100:R100" si="38">SUM(G81:G84)</f>
        <v>33611.79186925324</v>
      </c>
      <c r="H100" s="407">
        <f t="shared" si="38"/>
        <v>35502.554909410072</v>
      </c>
      <c r="I100" s="407">
        <f t="shared" si="38"/>
        <v>33595.419731374801</v>
      </c>
      <c r="J100" s="407">
        <f t="shared" si="38"/>
        <v>20236.958719999999</v>
      </c>
      <c r="K100" s="407">
        <f t="shared" si="38"/>
        <v>18838.4768</v>
      </c>
      <c r="L100" s="407">
        <f t="shared" si="38"/>
        <v>16827.176960000001</v>
      </c>
      <c r="M100" s="407">
        <f t="shared" si="38"/>
        <v>17649.505280000001</v>
      </c>
      <c r="N100" s="407">
        <f t="shared" si="38"/>
        <v>21939.23072</v>
      </c>
      <c r="O100" s="407">
        <f t="shared" si="38"/>
        <v>19943.64416</v>
      </c>
      <c r="P100" s="407">
        <f t="shared" si="38"/>
        <v>20317.27104</v>
      </c>
      <c r="Q100" s="407">
        <f t="shared" si="38"/>
        <v>18642.93376</v>
      </c>
      <c r="R100" s="407">
        <f t="shared" si="38"/>
        <v>22000.337919999998</v>
      </c>
      <c r="S100" s="407">
        <f>SUM(G100:R100)</f>
        <v>279105.30187003815</v>
      </c>
    </row>
    <row r="101" spans="1:21" s="393" customFormat="1" x14ac:dyDescent="0.3">
      <c r="A101"/>
      <c r="B101"/>
      <c r="C101"/>
      <c r="D101" t="s">
        <v>712</v>
      </c>
      <c r="E101" s="31"/>
      <c r="F101" s="31"/>
      <c r="G101" s="407"/>
      <c r="H101" s="407"/>
      <c r="I101" s="407"/>
      <c r="J101" s="407"/>
      <c r="K101" s="407"/>
      <c r="L101" s="407"/>
      <c r="M101" s="407"/>
      <c r="N101" s="407"/>
      <c r="O101" s="407"/>
      <c r="P101" s="407"/>
      <c r="Q101" s="407"/>
      <c r="R101" s="407"/>
      <c r="S101"/>
    </row>
    <row r="102" spans="1:21" x14ac:dyDescent="0.3">
      <c r="U102" s="393">
        <v>257786</v>
      </c>
    </row>
    <row r="103" spans="1:21" x14ac:dyDescent="0.3">
      <c r="E103">
        <f>960+500+700</f>
        <v>2160</v>
      </c>
    </row>
    <row r="104" spans="1:21" x14ac:dyDescent="0.3">
      <c r="D104" t="s">
        <v>714</v>
      </c>
      <c r="E104">
        <v>337</v>
      </c>
    </row>
    <row r="105" spans="1:21" x14ac:dyDescent="0.3">
      <c r="D105" t="s">
        <v>715</v>
      </c>
      <c r="E105">
        <f>SUM(E103:E104)</f>
        <v>2497</v>
      </c>
    </row>
    <row r="106" spans="1:21" x14ac:dyDescent="0.3">
      <c r="D106" t="s">
        <v>667</v>
      </c>
    </row>
    <row r="107" spans="1:21" x14ac:dyDescent="0.3">
      <c r="E107">
        <f>E105-E113-E114-E110</f>
        <v>2206</v>
      </c>
    </row>
    <row r="108" spans="1:21" x14ac:dyDescent="0.3">
      <c r="D108" s="4" t="s">
        <v>716</v>
      </c>
    </row>
    <row r="109" spans="1:21" x14ac:dyDescent="0.3">
      <c r="E109">
        <v>100</v>
      </c>
    </row>
    <row r="110" spans="1:21" x14ac:dyDescent="0.3">
      <c r="D110" s="4" t="s">
        <v>717</v>
      </c>
      <c r="E110">
        <v>100</v>
      </c>
    </row>
    <row r="111" spans="1:21" x14ac:dyDescent="0.3">
      <c r="D111" t="s">
        <v>718</v>
      </c>
    </row>
    <row r="112" spans="1:21" x14ac:dyDescent="0.3">
      <c r="E112" s="240"/>
      <c r="F112" s="240"/>
    </row>
    <row r="113" spans="4:18" x14ac:dyDescent="0.3">
      <c r="D113" s="4" t="s">
        <v>719</v>
      </c>
      <c r="E113">
        <v>100</v>
      </c>
    </row>
    <row r="114" spans="4:18" x14ac:dyDescent="0.3">
      <c r="D114" t="s">
        <v>720</v>
      </c>
      <c r="E114">
        <v>91</v>
      </c>
    </row>
    <row r="115" spans="4:18" x14ac:dyDescent="0.3">
      <c r="D115" t="s">
        <v>721</v>
      </c>
    </row>
    <row r="116" spans="4:18" x14ac:dyDescent="0.3">
      <c r="E116">
        <v>1000</v>
      </c>
    </row>
    <row r="117" spans="4:18" x14ac:dyDescent="0.3">
      <c r="D117" t="s">
        <v>722</v>
      </c>
      <c r="E117">
        <v>450</v>
      </c>
    </row>
    <row r="118" spans="4:18" x14ac:dyDescent="0.3">
      <c r="D118" t="s">
        <v>723</v>
      </c>
      <c r="E118">
        <f>SUM(E116:E117)</f>
        <v>1450</v>
      </c>
    </row>
    <row r="120" spans="4:18" x14ac:dyDescent="0.3">
      <c r="E120" s="4">
        <f>E105+E118</f>
        <v>3947</v>
      </c>
      <c r="F120" s="4"/>
    </row>
    <row r="121" spans="4:18" x14ac:dyDescent="0.3">
      <c r="D121" s="4" t="s">
        <v>724</v>
      </c>
    </row>
    <row r="123" spans="4:18" x14ac:dyDescent="0.3">
      <c r="F123" t="s">
        <v>673</v>
      </c>
      <c r="G123" s="620">
        <v>45292</v>
      </c>
      <c r="H123" s="620">
        <v>45323</v>
      </c>
      <c r="I123" s="620">
        <v>45352</v>
      </c>
      <c r="J123" s="620">
        <v>45383</v>
      </c>
      <c r="K123" s="620">
        <v>45413</v>
      </c>
      <c r="L123" s="620">
        <v>45444</v>
      </c>
      <c r="M123" s="620">
        <v>45474</v>
      </c>
      <c r="N123" s="620">
        <v>45505</v>
      </c>
      <c r="O123" s="620">
        <v>45536</v>
      </c>
      <c r="P123" s="620">
        <v>45566</v>
      </c>
      <c r="Q123" s="620">
        <v>45597</v>
      </c>
      <c r="R123" s="620">
        <v>45627</v>
      </c>
    </row>
    <row r="124" spans="4:18" x14ac:dyDescent="0.3">
      <c r="F124" t="s">
        <v>705</v>
      </c>
      <c r="G124">
        <v>306617.44944000005</v>
      </c>
      <c r="H124">
        <v>306893.83588799997</v>
      </c>
      <c r="I124">
        <v>303501.46272000001</v>
      </c>
      <c r="J124">
        <v>279151.50567520002</v>
      </c>
      <c r="K124">
        <v>260804.69348799996</v>
      </c>
      <c r="L124">
        <v>233178.87335360004</v>
      </c>
      <c r="M124">
        <v>245572.92456479996</v>
      </c>
      <c r="N124">
        <v>300890.5081952</v>
      </c>
      <c r="O124">
        <v>275834.52190559998</v>
      </c>
      <c r="P124">
        <v>280295.4333264</v>
      </c>
      <c r="Q124">
        <v>257168.03764160004</v>
      </c>
      <c r="R124">
        <v>304112.25314719998</v>
      </c>
    </row>
    <row r="125" spans="4:18" x14ac:dyDescent="0.3">
      <c r="F125" t="s">
        <v>706</v>
      </c>
      <c r="G125">
        <v>22781.799999999996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8" spans="4:18" x14ac:dyDescent="0.3">
      <c r="F128" t="s">
        <v>360</v>
      </c>
      <c r="G128" s="620">
        <v>45292</v>
      </c>
      <c r="H128" s="620">
        <v>45323</v>
      </c>
      <c r="I128" s="620">
        <v>45352</v>
      </c>
      <c r="J128" s="620">
        <v>45383</v>
      </c>
      <c r="K128" s="620">
        <v>45413</v>
      </c>
      <c r="L128" s="620">
        <v>45444</v>
      </c>
      <c r="M128" s="620">
        <v>45474</v>
      </c>
      <c r="N128" s="620">
        <v>45505</v>
      </c>
      <c r="O128" s="620">
        <v>45536</v>
      </c>
      <c r="P128" s="620">
        <v>45566</v>
      </c>
      <c r="Q128" s="620">
        <v>45597</v>
      </c>
      <c r="R128" s="620">
        <v>45627</v>
      </c>
    </row>
    <row r="129" spans="6:18" x14ac:dyDescent="0.3">
      <c r="F129" t="s">
        <v>836</v>
      </c>
      <c r="G129" s="633">
        <f>G124</f>
        <v>306617.44944000005</v>
      </c>
      <c r="H129" s="633">
        <f>H124+G129</f>
        <v>613511.28532800009</v>
      </c>
      <c r="I129" s="633">
        <f t="shared" ref="I129:R130" si="39">I124+H129</f>
        <v>917012.74804800004</v>
      </c>
      <c r="J129" s="633">
        <f t="shared" si="39"/>
        <v>1196164.2537231999</v>
      </c>
      <c r="K129" s="633">
        <f t="shared" si="39"/>
        <v>1456968.9472111999</v>
      </c>
      <c r="L129" s="633">
        <f t="shared" si="39"/>
        <v>1690147.8205647999</v>
      </c>
      <c r="M129" s="633">
        <f t="shared" si="39"/>
        <v>1935720.7451295999</v>
      </c>
      <c r="N129" s="633">
        <f t="shared" si="39"/>
        <v>2236611.2533248002</v>
      </c>
      <c r="O129" s="633">
        <f t="shared" si="39"/>
        <v>2512445.7752304003</v>
      </c>
      <c r="P129" s="633">
        <f t="shared" si="39"/>
        <v>2792741.2085568001</v>
      </c>
      <c r="Q129" s="633">
        <f t="shared" si="39"/>
        <v>3049909.2461984004</v>
      </c>
      <c r="R129" s="633">
        <f t="shared" si="39"/>
        <v>3354021.4993456006</v>
      </c>
    </row>
    <row r="130" spans="6:18" x14ac:dyDescent="0.3">
      <c r="F130" t="s">
        <v>837</v>
      </c>
      <c r="G130" s="633">
        <f>G125</f>
        <v>22781.799999999996</v>
      </c>
      <c r="H130" s="633">
        <f>H125+G130</f>
        <v>22781.799999999996</v>
      </c>
      <c r="I130" s="633">
        <f t="shared" si="39"/>
        <v>22781.799999999996</v>
      </c>
      <c r="J130" s="633">
        <f t="shared" si="39"/>
        <v>22781.799999999996</v>
      </c>
      <c r="K130" s="633">
        <f t="shared" si="39"/>
        <v>22781.799999999996</v>
      </c>
      <c r="L130" s="633">
        <f t="shared" si="39"/>
        <v>22781.799999999996</v>
      </c>
      <c r="M130" s="633">
        <f t="shared" si="39"/>
        <v>22781.799999999996</v>
      </c>
      <c r="N130" s="633">
        <f t="shared" si="39"/>
        <v>22781.799999999996</v>
      </c>
      <c r="O130" s="633">
        <f t="shared" si="39"/>
        <v>22781.799999999996</v>
      </c>
      <c r="P130" s="633">
        <f t="shared" si="39"/>
        <v>22781.799999999996</v>
      </c>
      <c r="Q130" s="633">
        <f t="shared" si="39"/>
        <v>22781.799999999996</v>
      </c>
      <c r="R130" s="633"/>
    </row>
    <row r="131" spans="6:18" x14ac:dyDescent="0.3">
      <c r="F131" t="s">
        <v>838</v>
      </c>
      <c r="G131" s="10">
        <f>G130/G129</f>
        <v>7.4300402803585436E-2</v>
      </c>
      <c r="H131" s="10">
        <f t="shared" ref="H131:Q131" si="40">H130/H129</f>
        <v>3.7133465259437268E-2</v>
      </c>
      <c r="I131" s="10">
        <f t="shared" si="40"/>
        <v>2.4843493232230951E-2</v>
      </c>
      <c r="J131" s="10">
        <f t="shared" si="40"/>
        <v>1.9045712099395214E-2</v>
      </c>
      <c r="K131" s="10">
        <f t="shared" si="40"/>
        <v>1.5636434835215183E-2</v>
      </c>
      <c r="L131" s="10">
        <f t="shared" si="40"/>
        <v>1.3479176035849312E-2</v>
      </c>
      <c r="M131" s="10">
        <f t="shared" si="40"/>
        <v>1.1769156298665753E-2</v>
      </c>
      <c r="N131" s="10">
        <f t="shared" si="40"/>
        <v>1.0185855930991163E-2</v>
      </c>
      <c r="O131" s="10">
        <f t="shared" si="40"/>
        <v>9.067578781042876E-3</v>
      </c>
      <c r="P131" s="10">
        <f t="shared" si="40"/>
        <v>8.1575048666155878E-3</v>
      </c>
      <c r="Q131" s="10">
        <f t="shared" si="40"/>
        <v>7.4696648854049247E-3</v>
      </c>
    </row>
    <row r="164" spans="9:17" x14ac:dyDescent="0.3">
      <c r="I164">
        <v>278424.48</v>
      </c>
      <c r="J164">
        <v>261357.16999999998</v>
      </c>
      <c r="K164">
        <v>308885.90000000002</v>
      </c>
      <c r="L164">
        <v>306987.06</v>
      </c>
      <c r="M164">
        <v>269566.98000000004</v>
      </c>
      <c r="N164">
        <v>265221.89999999997</v>
      </c>
      <c r="O164">
        <v>264673.2</v>
      </c>
      <c r="P164">
        <v>289458.30000000005</v>
      </c>
      <c r="Q164">
        <f>AVERAGE(I164:P164)</f>
        <v>280571.87374999997</v>
      </c>
    </row>
  </sheetData>
  <mergeCells count="65">
    <mergeCell ref="C3:C26"/>
    <mergeCell ref="C42:C80"/>
    <mergeCell ref="C81:C86"/>
    <mergeCell ref="B3:B38"/>
    <mergeCell ref="B42:B71"/>
    <mergeCell ref="B81:B86"/>
    <mergeCell ref="C27:C41"/>
    <mergeCell ref="D3:D5"/>
    <mergeCell ref="E3:E5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51:D53"/>
    <mergeCell ref="E51:E53"/>
    <mergeCell ref="D54:D56"/>
    <mergeCell ref="E54:E56"/>
    <mergeCell ref="D21:D23"/>
    <mergeCell ref="E21:E23"/>
    <mergeCell ref="D27:D29"/>
    <mergeCell ref="E27:E29"/>
    <mergeCell ref="D30:D32"/>
    <mergeCell ref="E30:E32"/>
    <mergeCell ref="D24:D26"/>
    <mergeCell ref="E24:E26"/>
    <mergeCell ref="D39:D41"/>
    <mergeCell ref="E39:E41"/>
    <mergeCell ref="D81:D83"/>
    <mergeCell ref="E81:E83"/>
    <mergeCell ref="D84:D86"/>
    <mergeCell ref="E84:E86"/>
    <mergeCell ref="D33:D35"/>
    <mergeCell ref="E33:E35"/>
    <mergeCell ref="D60:D62"/>
    <mergeCell ref="E60:E62"/>
    <mergeCell ref="D36:D38"/>
    <mergeCell ref="E36:E38"/>
    <mergeCell ref="D42:D44"/>
    <mergeCell ref="E42:E44"/>
    <mergeCell ref="D45:D47"/>
    <mergeCell ref="E45:E47"/>
    <mergeCell ref="D48:D50"/>
    <mergeCell ref="E48:E50"/>
    <mergeCell ref="D57:D59"/>
    <mergeCell ref="E57:E59"/>
    <mergeCell ref="D63:D65"/>
    <mergeCell ref="E63:E65"/>
    <mergeCell ref="D89:D91"/>
    <mergeCell ref="E89:E91"/>
    <mergeCell ref="D66:D68"/>
    <mergeCell ref="E66:E68"/>
    <mergeCell ref="D69:D71"/>
    <mergeCell ref="E69:E71"/>
    <mergeCell ref="D72:D74"/>
    <mergeCell ref="E72:E74"/>
    <mergeCell ref="D75:D77"/>
    <mergeCell ref="E75:E77"/>
    <mergeCell ref="D78:D80"/>
    <mergeCell ref="E78:E80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 T42:T86 T8:T38" formula="1"/>
  </ignoredError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07419-1488-466B-ACBD-CA6F386D586A}">
  <dimension ref="A1:AA26"/>
  <sheetViews>
    <sheetView workbookViewId="0">
      <selection activeCell="J3" sqref="J3"/>
    </sheetView>
  </sheetViews>
  <sheetFormatPr defaultRowHeight="14.4" x14ac:dyDescent="0.3"/>
  <cols>
    <col min="1" max="1" width="19.88671875" style="2" bestFit="1" customWidth="1"/>
    <col min="2" max="2" width="17.5546875" style="2" bestFit="1" customWidth="1"/>
    <col min="3" max="3" width="10.5546875" style="2" bestFit="1" customWidth="1"/>
    <col min="4" max="4" width="9.44140625" style="2" bestFit="1" customWidth="1"/>
    <col min="5" max="8" width="9.109375" style="2"/>
    <col min="9" max="9" width="18.88671875" style="2" bestFit="1" customWidth="1"/>
    <col min="10" max="10" width="19.88671875" style="2" bestFit="1" customWidth="1"/>
    <col min="11" max="11" width="9.109375" style="2"/>
    <col min="12" max="12" width="12" style="2" bestFit="1" customWidth="1"/>
    <col min="13" max="15" width="9.109375" style="2"/>
    <col min="16" max="16" width="9.5546875" style="2" bestFit="1" customWidth="1"/>
  </cols>
  <sheetData>
    <row r="1" spans="1:27" ht="105.6" x14ac:dyDescent="0.3">
      <c r="A1" s="441" t="s">
        <v>360</v>
      </c>
      <c r="B1" s="442" t="s">
        <v>358</v>
      </c>
      <c r="C1" s="442" t="s">
        <v>362</v>
      </c>
      <c r="D1" s="442" t="s">
        <v>363</v>
      </c>
      <c r="E1" s="442" t="s">
        <v>364</v>
      </c>
      <c r="F1" s="442" t="s">
        <v>365</v>
      </c>
      <c r="G1" s="442" t="s">
        <v>366</v>
      </c>
      <c r="H1" s="442" t="s">
        <v>367</v>
      </c>
      <c r="I1" s="442" t="s">
        <v>368</v>
      </c>
      <c r="J1" s="442" t="s">
        <v>369</v>
      </c>
      <c r="K1" s="442" t="s">
        <v>370</v>
      </c>
      <c r="L1" s="442" t="s">
        <v>371</v>
      </c>
      <c r="M1" s="442" t="s">
        <v>372</v>
      </c>
      <c r="N1" s="443" t="s">
        <v>373</v>
      </c>
      <c r="O1" s="443" t="s">
        <v>374</v>
      </c>
      <c r="P1" s="444" t="s">
        <v>375</v>
      </c>
      <c r="Q1" s="444" t="s">
        <v>690</v>
      </c>
      <c r="AA1" s="328" t="s">
        <v>7</v>
      </c>
    </row>
    <row r="2" spans="1:27" x14ac:dyDescent="0.3">
      <c r="A2" s="445" t="s">
        <v>691</v>
      </c>
      <c r="B2" s="446" t="s">
        <v>23</v>
      </c>
      <c r="C2" s="446" t="s">
        <v>378</v>
      </c>
      <c r="D2" s="446" t="s">
        <v>406</v>
      </c>
      <c r="E2" s="446">
        <v>1</v>
      </c>
      <c r="F2" s="446">
        <v>3</v>
      </c>
      <c r="G2" s="446" t="s">
        <v>388</v>
      </c>
      <c r="H2" s="446">
        <v>19</v>
      </c>
      <c r="I2" s="446" t="s">
        <v>381</v>
      </c>
      <c r="J2" s="446" t="s">
        <v>382</v>
      </c>
      <c r="K2" s="446" t="s">
        <v>383</v>
      </c>
      <c r="L2" s="446">
        <v>2358794746</v>
      </c>
      <c r="M2" s="446" t="s">
        <v>384</v>
      </c>
      <c r="N2" s="447">
        <v>24</v>
      </c>
      <c r="O2" s="447"/>
      <c r="P2" s="448" t="s">
        <v>385</v>
      </c>
      <c r="AA2" s="325" t="s">
        <v>8</v>
      </c>
    </row>
    <row r="3" spans="1:27" x14ac:dyDescent="0.3">
      <c r="A3" s="445" t="s">
        <v>692</v>
      </c>
      <c r="B3" s="446" t="s">
        <v>288</v>
      </c>
      <c r="C3" s="446" t="s">
        <v>378</v>
      </c>
      <c r="D3" s="446" t="s">
        <v>406</v>
      </c>
      <c r="E3" s="447">
        <v>1</v>
      </c>
      <c r="F3" s="447">
        <v>4</v>
      </c>
      <c r="G3" s="446" t="s">
        <v>388</v>
      </c>
      <c r="H3" s="446">
        <v>28</v>
      </c>
      <c r="I3" s="446" t="s">
        <v>393</v>
      </c>
      <c r="J3" s="446" t="s">
        <v>394</v>
      </c>
      <c r="K3" s="446" t="s">
        <v>383</v>
      </c>
      <c r="L3" s="447">
        <v>2359232451</v>
      </c>
      <c r="M3" s="446" t="s">
        <v>384</v>
      </c>
      <c r="N3" s="447">
        <v>4</v>
      </c>
      <c r="O3" s="447"/>
      <c r="P3" s="448" t="s">
        <v>385</v>
      </c>
      <c r="AA3" s="326" t="s">
        <v>9</v>
      </c>
    </row>
    <row r="4" spans="1:27" x14ac:dyDescent="0.3">
      <c r="A4" s="445" t="s">
        <v>693</v>
      </c>
      <c r="B4" s="446" t="s">
        <v>112</v>
      </c>
      <c r="C4" s="446" t="s">
        <v>386</v>
      </c>
      <c r="D4" s="446" t="s">
        <v>406</v>
      </c>
      <c r="E4" s="447">
        <v>1</v>
      </c>
      <c r="F4" s="447">
        <v>5</v>
      </c>
      <c r="G4" s="446" t="s">
        <v>388</v>
      </c>
      <c r="H4" s="446">
        <v>28</v>
      </c>
      <c r="I4" s="446" t="s">
        <v>393</v>
      </c>
      <c r="J4" s="446" t="s">
        <v>394</v>
      </c>
      <c r="K4" s="446" t="s">
        <v>383</v>
      </c>
      <c r="L4" s="447">
        <v>2359235829</v>
      </c>
      <c r="M4" s="446" t="s">
        <v>384</v>
      </c>
      <c r="N4" s="447">
        <v>4</v>
      </c>
      <c r="O4" s="447"/>
      <c r="P4" s="448" t="s">
        <v>385</v>
      </c>
      <c r="AA4" s="326" t="s">
        <v>10</v>
      </c>
    </row>
    <row r="5" spans="1:27" x14ac:dyDescent="0.3">
      <c r="A5" s="445" t="s">
        <v>694</v>
      </c>
      <c r="B5" s="446" t="s">
        <v>289</v>
      </c>
      <c r="C5" s="446" t="s">
        <v>378</v>
      </c>
      <c r="D5" s="446" t="s">
        <v>406</v>
      </c>
      <c r="E5" s="447">
        <v>1</v>
      </c>
      <c r="F5" s="447">
        <v>6</v>
      </c>
      <c r="G5" s="446" t="s">
        <v>388</v>
      </c>
      <c r="H5" s="446">
        <v>30</v>
      </c>
      <c r="I5" s="446" t="s">
        <v>393</v>
      </c>
      <c r="J5" s="446" t="s">
        <v>395</v>
      </c>
      <c r="K5" s="446" t="s">
        <v>383</v>
      </c>
      <c r="L5" s="447">
        <v>2359239341</v>
      </c>
      <c r="M5" s="446" t="s">
        <v>384</v>
      </c>
      <c r="N5" s="447">
        <v>4</v>
      </c>
      <c r="O5" s="447"/>
      <c r="P5" s="448" t="s">
        <v>385</v>
      </c>
      <c r="AA5" s="326" t="s">
        <v>11</v>
      </c>
    </row>
    <row r="6" spans="1:27" x14ac:dyDescent="0.3">
      <c r="A6" s="445" t="s">
        <v>695</v>
      </c>
      <c r="B6" s="446" t="s">
        <v>9</v>
      </c>
      <c r="C6" s="446" t="s">
        <v>386</v>
      </c>
      <c r="D6" s="446" t="s">
        <v>387</v>
      </c>
      <c r="E6" s="447">
        <v>1</v>
      </c>
      <c r="F6" s="447">
        <v>7</v>
      </c>
      <c r="G6" s="446" t="s">
        <v>388</v>
      </c>
      <c r="H6" s="446">
        <v>9</v>
      </c>
      <c r="I6" s="446" t="s">
        <v>389</v>
      </c>
      <c r="J6" s="446" t="s">
        <v>390</v>
      </c>
      <c r="K6" s="446" t="s">
        <v>391</v>
      </c>
      <c r="L6" s="447">
        <v>2871084585</v>
      </c>
      <c r="M6" s="446" t="s">
        <v>384</v>
      </c>
      <c r="N6" s="447">
        <v>20</v>
      </c>
      <c r="O6" s="447"/>
      <c r="P6" s="448" t="s">
        <v>385</v>
      </c>
      <c r="AA6" s="326" t="s">
        <v>12</v>
      </c>
    </row>
    <row r="7" spans="1:27" x14ac:dyDescent="0.3">
      <c r="A7" s="445" t="s">
        <v>696</v>
      </c>
      <c r="B7" s="446" t="s">
        <v>10</v>
      </c>
      <c r="C7" s="446" t="s">
        <v>386</v>
      </c>
      <c r="D7" s="446" t="s">
        <v>387</v>
      </c>
      <c r="E7" s="447">
        <v>1</v>
      </c>
      <c r="F7" s="447">
        <v>8</v>
      </c>
      <c r="G7" s="446" t="s">
        <v>388</v>
      </c>
      <c r="H7" s="446">
        <v>9</v>
      </c>
      <c r="I7" s="446" t="s">
        <v>389</v>
      </c>
      <c r="J7" s="446" t="s">
        <v>390</v>
      </c>
      <c r="K7" s="446" t="s">
        <v>391</v>
      </c>
      <c r="L7" s="447">
        <v>2871090604</v>
      </c>
      <c r="M7" s="446" t="s">
        <v>384</v>
      </c>
      <c r="N7" s="447" t="s">
        <v>392</v>
      </c>
      <c r="O7" s="447"/>
      <c r="P7" s="448" t="s">
        <v>385</v>
      </c>
      <c r="AA7" s="327" t="s">
        <v>13</v>
      </c>
    </row>
    <row r="8" spans="1:27" x14ac:dyDescent="0.3">
      <c r="A8" s="445" t="s">
        <v>697</v>
      </c>
      <c r="B8" s="446" t="s">
        <v>14</v>
      </c>
      <c r="C8" s="446" t="s">
        <v>386</v>
      </c>
      <c r="D8" s="446" t="s">
        <v>387</v>
      </c>
      <c r="E8" s="447">
        <v>1</v>
      </c>
      <c r="F8" s="447">
        <v>9</v>
      </c>
      <c r="G8" s="446" t="s">
        <v>388</v>
      </c>
      <c r="H8" s="446">
        <v>8</v>
      </c>
      <c r="I8" s="446" t="s">
        <v>396</v>
      </c>
      <c r="J8" s="446" t="s">
        <v>397</v>
      </c>
      <c r="K8" s="446" t="s">
        <v>391</v>
      </c>
      <c r="L8" s="447">
        <v>2873775392</v>
      </c>
      <c r="M8" s="446" t="s">
        <v>384</v>
      </c>
      <c r="N8" s="447">
        <v>4</v>
      </c>
      <c r="O8" s="447"/>
      <c r="P8" s="448" t="s">
        <v>385</v>
      </c>
      <c r="AA8" s="326" t="s">
        <v>14</v>
      </c>
    </row>
    <row r="9" spans="1:27" x14ac:dyDescent="0.3">
      <c r="A9" s="445" t="s">
        <v>698</v>
      </c>
      <c r="B9" s="446" t="s">
        <v>17</v>
      </c>
      <c r="C9" s="446" t="s">
        <v>378</v>
      </c>
      <c r="D9" s="446" t="s">
        <v>405</v>
      </c>
      <c r="E9" s="447">
        <v>1</v>
      </c>
      <c r="F9" s="447">
        <v>10</v>
      </c>
      <c r="G9" s="446" t="s">
        <v>388</v>
      </c>
      <c r="H9" s="446">
        <v>8</v>
      </c>
      <c r="I9" s="446" t="s">
        <v>396</v>
      </c>
      <c r="J9" s="446" t="s">
        <v>397</v>
      </c>
      <c r="K9" s="446" t="s">
        <v>391</v>
      </c>
      <c r="L9" s="447">
        <v>2873775392</v>
      </c>
      <c r="M9" s="446" t="s">
        <v>384</v>
      </c>
      <c r="N9" s="447">
        <v>4</v>
      </c>
      <c r="O9" s="447"/>
      <c r="P9" s="448" t="s">
        <v>385</v>
      </c>
      <c r="AA9" s="328" t="s">
        <v>17</v>
      </c>
    </row>
    <row r="10" spans="1:27" x14ac:dyDescent="0.3">
      <c r="A10" s="445" t="s">
        <v>699</v>
      </c>
      <c r="B10" s="446" t="s">
        <v>11</v>
      </c>
      <c r="C10" s="446" t="s">
        <v>378</v>
      </c>
      <c r="D10" s="446" t="s">
        <v>387</v>
      </c>
      <c r="E10" s="447">
        <v>1</v>
      </c>
      <c r="F10" s="447">
        <v>11</v>
      </c>
      <c r="G10" s="446" t="s">
        <v>388</v>
      </c>
      <c r="H10" s="446">
        <v>8</v>
      </c>
      <c r="I10" s="446" t="s">
        <v>396</v>
      </c>
      <c r="J10" s="446" t="s">
        <v>397</v>
      </c>
      <c r="K10" s="446" t="s">
        <v>391</v>
      </c>
      <c r="L10" s="447">
        <v>2873775392</v>
      </c>
      <c r="M10" s="446" t="s">
        <v>384</v>
      </c>
      <c r="N10" s="447" t="s">
        <v>398</v>
      </c>
      <c r="O10" s="447"/>
      <c r="P10" s="448" t="s">
        <v>385</v>
      </c>
      <c r="AA10" s="326" t="s">
        <v>18</v>
      </c>
    </row>
    <row r="11" spans="1:27" x14ac:dyDescent="0.3">
      <c r="A11" s="445" t="s">
        <v>699</v>
      </c>
      <c r="B11" s="446" t="s">
        <v>12</v>
      </c>
      <c r="C11" s="446" t="s">
        <v>399</v>
      </c>
      <c r="D11" s="446" t="s">
        <v>387</v>
      </c>
      <c r="E11" s="447">
        <v>1</v>
      </c>
      <c r="F11" s="447">
        <v>12</v>
      </c>
      <c r="G11" s="446" t="s">
        <v>388</v>
      </c>
      <c r="H11" s="446">
        <v>8</v>
      </c>
      <c r="I11" s="446" t="s">
        <v>396</v>
      </c>
      <c r="J11" s="446" t="s">
        <v>397</v>
      </c>
      <c r="K11" s="446" t="s">
        <v>391</v>
      </c>
      <c r="L11" s="447">
        <v>2873775392</v>
      </c>
      <c r="M11" s="446" t="s">
        <v>384</v>
      </c>
      <c r="N11" s="447" t="s">
        <v>398</v>
      </c>
      <c r="O11" s="447"/>
      <c r="P11" s="448" t="s">
        <v>385</v>
      </c>
      <c r="AA11" s="326" t="s">
        <v>110</v>
      </c>
    </row>
    <row r="12" spans="1:27" x14ac:dyDescent="0.3">
      <c r="A12" s="445" t="s">
        <v>700</v>
      </c>
      <c r="B12" s="446" t="s">
        <v>28</v>
      </c>
      <c r="C12" s="446" t="s">
        <v>378</v>
      </c>
      <c r="D12" s="446" t="s">
        <v>406</v>
      </c>
      <c r="E12" s="447">
        <v>1</v>
      </c>
      <c r="F12" s="447">
        <v>13</v>
      </c>
      <c r="G12" s="446" t="s">
        <v>388</v>
      </c>
      <c r="H12" s="446" t="s">
        <v>403</v>
      </c>
      <c r="I12" s="446" t="s">
        <v>397</v>
      </c>
      <c r="J12" s="446" t="s">
        <v>404</v>
      </c>
      <c r="K12" s="446" t="s">
        <v>383</v>
      </c>
      <c r="L12" s="447">
        <v>3672351703</v>
      </c>
      <c r="M12" s="446" t="s">
        <v>384</v>
      </c>
      <c r="N12" s="447">
        <v>3</v>
      </c>
      <c r="O12" s="447"/>
      <c r="P12" s="448" t="s">
        <v>385</v>
      </c>
      <c r="AA12" s="326" t="s">
        <v>20</v>
      </c>
    </row>
    <row r="13" spans="1:27" x14ac:dyDescent="0.3">
      <c r="A13" s="445" t="s">
        <v>700</v>
      </c>
      <c r="B13" s="446" t="s">
        <v>29</v>
      </c>
      <c r="C13" s="446" t="s">
        <v>378</v>
      </c>
      <c r="D13" s="446" t="s">
        <v>406</v>
      </c>
      <c r="E13" s="447">
        <v>1</v>
      </c>
      <c r="F13" s="447">
        <v>13</v>
      </c>
      <c r="G13" s="446" t="s">
        <v>388</v>
      </c>
      <c r="H13" s="446" t="s">
        <v>403</v>
      </c>
      <c r="I13" s="446" t="s">
        <v>397</v>
      </c>
      <c r="J13" s="446" t="s">
        <v>404</v>
      </c>
      <c r="K13" s="446" t="s">
        <v>383</v>
      </c>
      <c r="L13" s="447">
        <v>3672351703</v>
      </c>
      <c r="M13" s="446" t="s">
        <v>384</v>
      </c>
      <c r="N13" s="447">
        <v>3</v>
      </c>
      <c r="O13" s="447"/>
      <c r="P13" s="448" t="s">
        <v>385</v>
      </c>
      <c r="AA13" s="326" t="s">
        <v>22</v>
      </c>
    </row>
    <row r="14" spans="1:27" x14ac:dyDescent="0.3">
      <c r="A14" s="445" t="s">
        <v>700</v>
      </c>
      <c r="B14" s="446" t="s">
        <v>30</v>
      </c>
      <c r="C14" s="446" t="s">
        <v>378</v>
      </c>
      <c r="D14" s="446" t="s">
        <v>406</v>
      </c>
      <c r="E14" s="447">
        <v>1</v>
      </c>
      <c r="F14" s="447">
        <v>13</v>
      </c>
      <c r="G14" s="446" t="s">
        <v>388</v>
      </c>
      <c r="H14" s="446" t="s">
        <v>403</v>
      </c>
      <c r="I14" s="446" t="s">
        <v>397</v>
      </c>
      <c r="J14" s="446" t="s">
        <v>404</v>
      </c>
      <c r="K14" s="446" t="s">
        <v>383</v>
      </c>
      <c r="L14" s="447">
        <v>3672351703</v>
      </c>
      <c r="M14" s="446" t="s">
        <v>384</v>
      </c>
      <c r="N14" s="447">
        <v>3</v>
      </c>
      <c r="O14" s="447"/>
      <c r="P14" s="448" t="s">
        <v>385</v>
      </c>
      <c r="AA14" s="326" t="s">
        <v>23</v>
      </c>
    </row>
    <row r="15" spans="1:27" x14ac:dyDescent="0.3">
      <c r="A15" s="445" t="s">
        <v>701</v>
      </c>
      <c r="B15" s="446" t="s">
        <v>18</v>
      </c>
      <c r="C15" s="446" t="s">
        <v>378</v>
      </c>
      <c r="D15" s="446" t="s">
        <v>405</v>
      </c>
      <c r="E15" s="447">
        <v>1</v>
      </c>
      <c r="F15" s="447">
        <v>14</v>
      </c>
      <c r="G15" s="446" t="s">
        <v>388</v>
      </c>
      <c r="H15" s="446">
        <v>18</v>
      </c>
      <c r="I15" s="446" t="s">
        <v>401</v>
      </c>
      <c r="J15" s="446" t="s">
        <v>402</v>
      </c>
      <c r="K15" s="446" t="s">
        <v>391</v>
      </c>
      <c r="L15" s="447">
        <v>2874238058</v>
      </c>
      <c r="M15" s="446" t="s">
        <v>384</v>
      </c>
      <c r="N15" s="447">
        <v>21</v>
      </c>
      <c r="O15" s="447"/>
      <c r="P15" s="448" t="s">
        <v>385</v>
      </c>
      <c r="AA15" s="326" t="s">
        <v>24</v>
      </c>
    </row>
    <row r="16" spans="1:27" x14ac:dyDescent="0.3">
      <c r="A16" s="449">
        <v>45294.398611111108</v>
      </c>
      <c r="B16" s="446" t="s">
        <v>11</v>
      </c>
      <c r="C16" s="446" t="s">
        <v>378</v>
      </c>
      <c r="D16" s="446" t="s">
        <v>387</v>
      </c>
      <c r="E16" s="447">
        <v>1</v>
      </c>
      <c r="F16" s="447">
        <v>15</v>
      </c>
      <c r="G16" s="446" t="s">
        <v>388</v>
      </c>
      <c r="H16" s="446">
        <v>17</v>
      </c>
      <c r="I16" s="450">
        <v>45294.25</v>
      </c>
      <c r="J16" s="450">
        <v>45325.451388888891</v>
      </c>
      <c r="K16" s="446" t="s">
        <v>391</v>
      </c>
      <c r="L16" s="447">
        <v>2876682565</v>
      </c>
      <c r="M16" s="446" t="s">
        <v>384</v>
      </c>
      <c r="N16" s="447" t="s">
        <v>403</v>
      </c>
      <c r="O16" s="447"/>
      <c r="P16" s="448" t="s">
        <v>385</v>
      </c>
      <c r="AA16" s="326" t="s">
        <v>25</v>
      </c>
    </row>
    <row r="17" spans="1:27" x14ac:dyDescent="0.3">
      <c r="A17" s="449">
        <v>45294.398611111108</v>
      </c>
      <c r="B17" s="446" t="s">
        <v>12</v>
      </c>
      <c r="C17" s="446" t="s">
        <v>399</v>
      </c>
      <c r="D17" s="446" t="s">
        <v>387</v>
      </c>
      <c r="E17" s="447">
        <v>1</v>
      </c>
      <c r="F17" s="447">
        <v>15</v>
      </c>
      <c r="G17" s="446" t="s">
        <v>388</v>
      </c>
      <c r="H17" s="446">
        <v>17</v>
      </c>
      <c r="I17" s="450">
        <v>45294.25</v>
      </c>
      <c r="J17" s="450">
        <v>45325.451388888891</v>
      </c>
      <c r="K17" s="446" t="s">
        <v>391</v>
      </c>
      <c r="L17" s="447">
        <v>2876682565</v>
      </c>
      <c r="M17" s="446" t="s">
        <v>384</v>
      </c>
      <c r="N17" s="447" t="s">
        <v>403</v>
      </c>
      <c r="O17" s="447"/>
      <c r="P17" s="448" t="s">
        <v>385</v>
      </c>
      <c r="AA17" s="326" t="s">
        <v>26</v>
      </c>
    </row>
    <row r="18" spans="1:27" x14ac:dyDescent="0.3">
      <c r="A18" s="449">
        <v>45294.393750000003</v>
      </c>
      <c r="B18" s="446" t="s">
        <v>14</v>
      </c>
      <c r="C18" s="446" t="s">
        <v>386</v>
      </c>
      <c r="D18" s="446" t="s">
        <v>387</v>
      </c>
      <c r="E18" s="447">
        <v>1</v>
      </c>
      <c r="F18" s="447">
        <v>16</v>
      </c>
      <c r="G18" s="446" t="s">
        <v>388</v>
      </c>
      <c r="H18" s="446">
        <v>9</v>
      </c>
      <c r="I18" s="450">
        <v>45294.25</v>
      </c>
      <c r="J18" s="450">
        <v>45294.625</v>
      </c>
      <c r="K18" s="446" t="s">
        <v>391</v>
      </c>
      <c r="L18" s="447">
        <v>2876677057</v>
      </c>
      <c r="M18" s="446" t="s">
        <v>384</v>
      </c>
      <c r="N18" s="447" t="s">
        <v>403</v>
      </c>
      <c r="O18" s="447"/>
      <c r="P18" s="448" t="s">
        <v>385</v>
      </c>
      <c r="AA18" s="326" t="s">
        <v>28</v>
      </c>
    </row>
    <row r="19" spans="1:27" x14ac:dyDescent="0.3">
      <c r="A19" s="449">
        <v>45294.393750000003</v>
      </c>
      <c r="B19" s="446" t="s">
        <v>17</v>
      </c>
      <c r="C19" s="446" t="s">
        <v>378</v>
      </c>
      <c r="D19" s="446" t="s">
        <v>405</v>
      </c>
      <c r="E19" s="447">
        <v>1</v>
      </c>
      <c r="F19" s="447">
        <v>16</v>
      </c>
      <c r="G19" s="446" t="s">
        <v>388</v>
      </c>
      <c r="H19" s="446">
        <v>9</v>
      </c>
      <c r="I19" s="450">
        <v>45294.25</v>
      </c>
      <c r="J19" s="450">
        <v>45294.625</v>
      </c>
      <c r="K19" s="446" t="s">
        <v>391</v>
      </c>
      <c r="L19" s="447">
        <v>2876677057</v>
      </c>
      <c r="M19" s="446" t="s">
        <v>384</v>
      </c>
      <c r="N19" s="447" t="s">
        <v>403</v>
      </c>
      <c r="O19" s="447"/>
      <c r="P19" s="448" t="s">
        <v>385</v>
      </c>
      <c r="AA19" s="326" t="s">
        <v>29</v>
      </c>
    </row>
    <row r="20" spans="1:27" x14ac:dyDescent="0.3">
      <c r="A20" s="449">
        <v>45325.536805555559</v>
      </c>
      <c r="B20" s="446" t="s">
        <v>32</v>
      </c>
      <c r="C20" s="446" t="s">
        <v>378</v>
      </c>
      <c r="D20" s="446" t="s">
        <v>406</v>
      </c>
      <c r="E20" s="447">
        <v>1</v>
      </c>
      <c r="F20" s="447">
        <v>17</v>
      </c>
      <c r="G20" s="446" t="s">
        <v>388</v>
      </c>
      <c r="H20" s="446" t="s">
        <v>407</v>
      </c>
      <c r="I20" s="450">
        <v>45294.645833333336</v>
      </c>
      <c r="J20" s="450">
        <v>45325.75</v>
      </c>
      <c r="K20" s="446" t="s">
        <v>383</v>
      </c>
      <c r="L20" s="447">
        <v>3673446561</v>
      </c>
      <c r="M20" s="446" t="s">
        <v>384</v>
      </c>
      <c r="N20" s="447" t="s">
        <v>408</v>
      </c>
      <c r="O20" s="447"/>
      <c r="P20" s="448" t="s">
        <v>385</v>
      </c>
      <c r="AA20" s="326" t="s">
        <v>30</v>
      </c>
    </row>
    <row r="21" spans="1:27" x14ac:dyDescent="0.3">
      <c r="A21" s="449">
        <v>45325.548611111109</v>
      </c>
      <c r="B21" s="446" t="s">
        <v>22</v>
      </c>
      <c r="C21" s="446" t="s">
        <v>378</v>
      </c>
      <c r="D21" s="446" t="s">
        <v>406</v>
      </c>
      <c r="E21" s="447">
        <v>1</v>
      </c>
      <c r="F21" s="447">
        <v>18</v>
      </c>
      <c r="G21" s="446" t="s">
        <v>388</v>
      </c>
      <c r="H21" s="446">
        <v>8</v>
      </c>
      <c r="I21" s="450">
        <v>45294.680555555555</v>
      </c>
      <c r="J21" s="450">
        <v>45325.479166666664</v>
      </c>
      <c r="K21" s="446" t="s">
        <v>383</v>
      </c>
      <c r="L21" s="447">
        <v>2361105496</v>
      </c>
      <c r="M21" s="446" t="s">
        <v>384</v>
      </c>
      <c r="N21" s="447">
        <v>21</v>
      </c>
      <c r="O21" s="447"/>
      <c r="P21" s="448" t="s">
        <v>385</v>
      </c>
      <c r="AA21" s="326" t="s">
        <v>111</v>
      </c>
    </row>
    <row r="22" spans="1:27" x14ac:dyDescent="0.3">
      <c r="A22" s="451">
        <v>45325.548611111109</v>
      </c>
      <c r="B22" s="452" t="s">
        <v>23</v>
      </c>
      <c r="C22" s="452" t="s">
        <v>378</v>
      </c>
      <c r="D22" s="452" t="s">
        <v>406</v>
      </c>
      <c r="E22" s="453">
        <v>1</v>
      </c>
      <c r="F22" s="453">
        <v>18</v>
      </c>
      <c r="G22" s="452" t="s">
        <v>388</v>
      </c>
      <c r="H22" s="452">
        <v>8</v>
      </c>
      <c r="I22" s="454">
        <v>45294.680555555555</v>
      </c>
      <c r="J22" s="454">
        <v>45325.479166666664</v>
      </c>
      <c r="K22" s="452" t="s">
        <v>383</v>
      </c>
      <c r="L22" s="453">
        <v>2361105496</v>
      </c>
      <c r="M22" s="452" t="s">
        <v>384</v>
      </c>
      <c r="N22" s="453">
        <v>21</v>
      </c>
      <c r="O22" s="453"/>
      <c r="P22" s="455" t="s">
        <v>385</v>
      </c>
      <c r="AA22" s="326" t="s">
        <v>32</v>
      </c>
    </row>
    <row r="23" spans="1:27" x14ac:dyDescent="0.3">
      <c r="AA23" s="326" t="s">
        <v>288</v>
      </c>
    </row>
    <row r="24" spans="1:27" x14ac:dyDescent="0.3">
      <c r="AA24" s="326" t="s">
        <v>112</v>
      </c>
    </row>
    <row r="25" spans="1:27" x14ac:dyDescent="0.3">
      <c r="AA25" s="326" t="s">
        <v>289</v>
      </c>
    </row>
    <row r="26" spans="1:27" x14ac:dyDescent="0.3">
      <c r="AA26" s="326" t="s">
        <v>291</v>
      </c>
    </row>
  </sheetData>
  <dataValidations count="7">
    <dataValidation type="list" allowBlank="1" showInputMessage="1" showErrorMessage="1" sqref="B2:B1048576" xr:uid="{9E92FC6D-2F86-4D44-B371-8B1B88BE7A9E}">
      <formula1>$AA$1:$AA$26</formula1>
    </dataValidation>
    <dataValidation type="list" allowBlank="1" showInputMessage="1" showErrorMessage="1" sqref="C2:C1048576" xr:uid="{6692F942-443D-4468-9CDF-AD2B1B1AB39B}">
      <formula1>"PHB,CANADIAN,GROWATT,REFULOG,FRONIUS"</formula1>
    </dataValidation>
    <dataValidation type="list" allowBlank="1" showInputMessage="1" showErrorMessage="1" sqref="D2:D1048576" xr:uid="{DC4ABDCB-2D47-48F1-9A92-83F040D70895}">
      <formula1>"GSM01,PRIME01,PRIME02,PRIME03"</formula1>
    </dataValidation>
    <dataValidation type="list" allowBlank="1" showInputMessage="1" showErrorMessage="1" sqref="G2:G1048576" xr:uid="{51A2C900-FF55-483E-ADE8-9A2DFEF5C01E}">
      <formula1>"SIM,NÃO"</formula1>
    </dataValidation>
    <dataValidation type="list" allowBlank="1" showInputMessage="1" showErrorMessage="1" sqref="K2:K1048576" xr:uid="{03DFEB67-13B8-448F-AFCD-DCD6AEB6E6C9}">
      <formula1>"LIGHT,CEMIG,ENEL,ENERGISA"</formula1>
    </dataValidation>
    <dataValidation type="list" allowBlank="1" showInputMessage="1" showErrorMessage="1" sqref="M2:M1048576" xr:uid="{34815CBC-B265-46DF-B984-8131DAFAB368}">
      <formula1>"EXTERNA,INTERNA"</formula1>
    </dataValidation>
    <dataValidation type="list" allowBlank="1" showInputMessage="1" showErrorMessage="1" sqref="P2:P1048576" xr:uid="{DC22D7AE-4168-493D-9BEF-36B74D5DFF33}">
      <formula1>"Concluída,Em andamento"</formula1>
    </dataValidation>
  </dataValidations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8E890-94C6-4C25-B760-E52BF422818B}">
  <dimension ref="A1:AC128"/>
  <sheetViews>
    <sheetView showGridLines="0" topLeftCell="C1" zoomScaleNormal="100" workbookViewId="0">
      <pane xSplit="5" ySplit="2" topLeftCell="I63" activePane="bottomRight" state="frozen"/>
      <selection activeCell="C1" sqref="C1"/>
      <selection pane="topRight" activeCell="E1" sqref="E1"/>
      <selection pane="bottomLeft" activeCell="C3" sqref="C3"/>
      <selection pane="bottomRight" activeCell="F85" sqref="F85"/>
    </sheetView>
  </sheetViews>
  <sheetFormatPr defaultRowHeight="14.4" x14ac:dyDescent="0.3"/>
  <cols>
    <col min="1" max="1" width="3.88671875" customWidth="1"/>
    <col min="2" max="3" width="18.6640625" customWidth="1"/>
    <col min="4" max="4" width="35.5546875" customWidth="1"/>
    <col min="5" max="5" width="12.88671875" customWidth="1"/>
    <col min="6" max="6" width="15.88671875" customWidth="1"/>
    <col min="7" max="7" width="15.109375" bestFit="1" customWidth="1"/>
    <col min="8" max="8" width="5.6640625" customWidth="1"/>
    <col min="9" max="9" width="13.33203125" customWidth="1"/>
    <col min="10" max="20" width="8.33203125" customWidth="1"/>
    <col min="21" max="21" width="12.5546875" customWidth="1"/>
    <col min="22" max="22" width="15.88671875" style="393" customWidth="1"/>
    <col min="23" max="23" width="8.88671875" style="393"/>
    <col min="24" max="24" width="10.44140625" style="393" bestFit="1" customWidth="1"/>
    <col min="25" max="26" width="8.88671875" style="393"/>
    <col min="27" max="27" width="9.109375" style="393" bestFit="1" customWidth="1"/>
    <col min="28" max="29" width="8.88671875" style="393"/>
  </cols>
  <sheetData>
    <row r="1" spans="2:29" x14ac:dyDescent="0.3">
      <c r="V1"/>
      <c r="W1"/>
      <c r="X1"/>
      <c r="Y1"/>
      <c r="Z1"/>
      <c r="AA1"/>
      <c r="AB1"/>
      <c r="AC1"/>
    </row>
    <row r="2" spans="2:29" x14ac:dyDescent="0.3">
      <c r="B2" s="143" t="s">
        <v>702</v>
      </c>
      <c r="C2" s="143"/>
      <c r="D2" s="143" t="s">
        <v>703</v>
      </c>
      <c r="E2" s="143"/>
      <c r="F2" s="143"/>
      <c r="G2" s="143" t="s">
        <v>672</v>
      </c>
      <c r="H2" s="143" t="s">
        <v>673</v>
      </c>
      <c r="I2" s="396">
        <v>45292</v>
      </c>
      <c r="J2" s="396">
        <v>45323</v>
      </c>
      <c r="K2" s="396">
        <v>45352</v>
      </c>
      <c r="L2" s="396">
        <v>45383</v>
      </c>
      <c r="M2" s="396">
        <v>45413</v>
      </c>
      <c r="N2" s="396">
        <v>45444</v>
      </c>
      <c r="O2" s="396">
        <v>45474</v>
      </c>
      <c r="P2" s="396">
        <v>45505</v>
      </c>
      <c r="Q2" s="396">
        <v>45536</v>
      </c>
      <c r="R2" s="396">
        <v>45566</v>
      </c>
      <c r="S2" s="396">
        <v>45597</v>
      </c>
      <c r="T2" s="396">
        <v>45627</v>
      </c>
      <c r="U2" s="397" t="s">
        <v>674</v>
      </c>
      <c r="V2" s="397" t="s">
        <v>704</v>
      </c>
      <c r="W2" s="393" t="s">
        <v>843</v>
      </c>
    </row>
    <row r="3" spans="2:29" ht="10.95" customHeight="1" x14ac:dyDescent="0.3">
      <c r="B3" s="751" t="s">
        <v>391</v>
      </c>
      <c r="C3" s="882" t="s">
        <v>1044</v>
      </c>
      <c r="D3" s="872" t="s">
        <v>7</v>
      </c>
      <c r="E3" s="887" t="s">
        <v>705</v>
      </c>
      <c r="F3" s="890">
        <f>U3+U6+U9+U12+U15+U18+U21+U24</f>
        <v>516738</v>
      </c>
      <c r="G3" s="778">
        <v>12</v>
      </c>
      <c r="H3" s="398" t="s">
        <v>705</v>
      </c>
      <c r="I3" s="399">
        <v>1901</v>
      </c>
      <c r="J3" s="399">
        <v>1600</v>
      </c>
      <c r="K3" s="399">
        <v>1657</v>
      </c>
      <c r="L3" s="399">
        <v>1505</v>
      </c>
      <c r="M3" s="399">
        <v>1374</v>
      </c>
      <c r="N3" s="399">
        <v>1201</v>
      </c>
      <c r="O3" s="399">
        <v>1468</v>
      </c>
      <c r="P3" s="399">
        <v>1360</v>
      </c>
      <c r="Q3" s="399">
        <v>1559</v>
      </c>
      <c r="R3" s="399">
        <v>1554</v>
      </c>
      <c r="S3" s="399">
        <v>1474</v>
      </c>
      <c r="T3" s="399">
        <v>1744</v>
      </c>
      <c r="U3" s="400">
        <f>SUM(I3:T3)</f>
        <v>18397</v>
      </c>
      <c r="V3" s="399">
        <f>SUM(I3:T3)</f>
        <v>18397</v>
      </c>
    </row>
    <row r="4" spans="2:29" ht="10.95" customHeight="1" x14ac:dyDescent="0.3">
      <c r="B4" s="793"/>
      <c r="C4" s="883"/>
      <c r="D4" s="873"/>
      <c r="E4" s="887"/>
      <c r="F4" s="873"/>
      <c r="G4" s="779"/>
      <c r="H4" s="411" t="s">
        <v>706</v>
      </c>
      <c r="I4" s="412">
        <f>'Janeiro 24'!AI5</f>
        <v>1339.2000000000003</v>
      </c>
      <c r="J4" s="412">
        <f>'Fevereiro 24'!AI5</f>
        <v>1341.1999999999998</v>
      </c>
      <c r="K4" s="412">
        <f>'Março 24'!AI5</f>
        <v>1303</v>
      </c>
      <c r="L4" s="412">
        <f>'Abril 24'!AH5</f>
        <v>1331.5999999999997</v>
      </c>
      <c r="M4" s="412">
        <f>'Maio 24'!AI5</f>
        <v>1314.1999999999996</v>
      </c>
      <c r="N4" s="412">
        <f>'Junho 24'!AH5</f>
        <v>1264</v>
      </c>
      <c r="O4" s="412">
        <f>'Julho 24'!AI5</f>
        <v>1297.4999999999998</v>
      </c>
      <c r="P4" s="412">
        <f>'Agosto 24'!AI5</f>
        <v>1503.9</v>
      </c>
      <c r="Q4" s="412">
        <f>'Setembro 24'!AH5</f>
        <v>1458.8000000000002</v>
      </c>
      <c r="R4" s="412">
        <f>'Outubro 24'!AI5</f>
        <v>1245.8000000000006</v>
      </c>
      <c r="S4" s="412">
        <f>'Novembro 24'!AH5</f>
        <v>1224.4999999999998</v>
      </c>
      <c r="T4" s="412">
        <f>'Dezembro 24'!AI5</f>
        <v>1252.8999999999999</v>
      </c>
      <c r="U4" s="413">
        <f>SUM(I4:T4)</f>
        <v>15876.599999999999</v>
      </c>
      <c r="V4" s="412">
        <f>SUM(I4:T4)</f>
        <v>15876.599999999999</v>
      </c>
    </row>
    <row r="5" spans="2:29" ht="10.95" customHeight="1" x14ac:dyDescent="0.3">
      <c r="B5" s="793"/>
      <c r="C5" s="883"/>
      <c r="D5" s="874"/>
      <c r="E5" s="887"/>
      <c r="F5" s="873"/>
      <c r="G5" s="780"/>
      <c r="H5" s="408" t="s">
        <v>673</v>
      </c>
      <c r="I5" s="423">
        <f>I4/I3</f>
        <v>0.70447133087848512</v>
      </c>
      <c r="J5" s="423">
        <f>J4/J3</f>
        <v>0.83824999999999994</v>
      </c>
      <c r="K5" s="423">
        <f t="shared" ref="K5:U5" si="0">K4/K3</f>
        <v>0.78636089318044655</v>
      </c>
      <c r="L5" s="423">
        <f t="shared" si="0"/>
        <v>0.88478405315614594</v>
      </c>
      <c r="M5" s="423">
        <f t="shared" si="0"/>
        <v>0.95647743813682651</v>
      </c>
      <c r="N5" s="423">
        <f t="shared" si="0"/>
        <v>1.0524562864279767</v>
      </c>
      <c r="O5" s="423">
        <f t="shared" si="0"/>
        <v>0.8838555858310625</v>
      </c>
      <c r="P5" s="423">
        <f t="shared" si="0"/>
        <v>1.1058088235294119</v>
      </c>
      <c r="Q5" s="423">
        <f t="shared" si="0"/>
        <v>0.93572803078896738</v>
      </c>
      <c r="R5" s="423">
        <f t="shared" si="0"/>
        <v>0.80167310167310213</v>
      </c>
      <c r="S5" s="423">
        <f t="shared" si="0"/>
        <v>0.83073270013568501</v>
      </c>
      <c r="T5" s="423">
        <f t="shared" si="0"/>
        <v>0.71840596330275219</v>
      </c>
      <c r="U5" s="423">
        <f t="shared" si="0"/>
        <v>0.86299940207642545</v>
      </c>
      <c r="V5" s="423">
        <f>V4/V3</f>
        <v>0.86299940207642545</v>
      </c>
    </row>
    <row r="6" spans="2:29" ht="10.95" customHeight="1" x14ac:dyDescent="0.3">
      <c r="B6" s="793"/>
      <c r="C6" s="883"/>
      <c r="D6" s="872" t="s">
        <v>8</v>
      </c>
      <c r="E6" s="887"/>
      <c r="F6" s="873"/>
      <c r="G6" s="778">
        <v>67</v>
      </c>
      <c r="H6" s="398" t="s">
        <v>705</v>
      </c>
      <c r="I6" s="399">
        <v>10839</v>
      </c>
      <c r="J6" s="399">
        <v>8440</v>
      </c>
      <c r="K6" s="399">
        <v>9548</v>
      </c>
      <c r="L6" s="399">
        <v>8709</v>
      </c>
      <c r="M6" s="399">
        <v>7759</v>
      </c>
      <c r="N6" s="399">
        <v>7965</v>
      </c>
      <c r="O6" s="399">
        <v>8049</v>
      </c>
      <c r="P6" s="399">
        <v>8771</v>
      </c>
      <c r="Q6" s="399">
        <v>9016</v>
      </c>
      <c r="R6" s="399">
        <v>8952</v>
      </c>
      <c r="S6" s="399">
        <v>8363</v>
      </c>
      <c r="T6" s="399">
        <v>9863</v>
      </c>
      <c r="U6" s="400">
        <f>SUM(I6:T6)</f>
        <v>106274</v>
      </c>
      <c r="V6" s="399">
        <f>SUM(I6:T6)</f>
        <v>106274</v>
      </c>
    </row>
    <row r="7" spans="2:29" ht="10.95" customHeight="1" x14ac:dyDescent="0.3">
      <c r="B7" s="793"/>
      <c r="C7" s="883"/>
      <c r="D7" s="873"/>
      <c r="E7" s="887"/>
      <c r="F7" s="873"/>
      <c r="G7" s="779"/>
      <c r="H7" s="398" t="s">
        <v>706</v>
      </c>
      <c r="I7" s="412">
        <f>'Janeiro 24'!AI6</f>
        <v>6203.8</v>
      </c>
      <c r="J7" s="412">
        <f>'Fevereiro 24'!AI6</f>
        <v>7771.579999999999</v>
      </c>
      <c r="K7" s="412">
        <f>'Março 24'!AI6</f>
        <v>7234.33</v>
      </c>
      <c r="L7" s="412">
        <f>'Abril 24'!AH6</f>
        <v>7551.5399999999991</v>
      </c>
      <c r="M7" s="412">
        <f>'Maio 24'!AI6</f>
        <v>7993.1</v>
      </c>
      <c r="N7" s="412">
        <f>'Junho 24'!AH6</f>
        <v>8195.4</v>
      </c>
      <c r="O7" s="412">
        <f>'Julho 24'!AI6</f>
        <v>7446.6</v>
      </c>
      <c r="P7" s="412">
        <f>'Agosto 24'!AI6</f>
        <v>8898.4000000000015</v>
      </c>
      <c r="Q7" s="412">
        <f>'Setembro 24'!AH6</f>
        <v>8414.2000000000007</v>
      </c>
      <c r="R7" s="412">
        <f>'Outubro 24'!AI6</f>
        <v>7065.2</v>
      </c>
      <c r="S7" s="412">
        <f>'Novembro 24'!AH6</f>
        <v>5668.5000000000018</v>
      </c>
      <c r="T7" s="412">
        <f>'Dezembro 24'!AI6</f>
        <v>2754.2</v>
      </c>
      <c r="U7" s="413">
        <f>SUM(I7:T7)</f>
        <v>85196.849999999991</v>
      </c>
      <c r="V7" s="412">
        <f>SUM(I7:T7)</f>
        <v>85196.849999999991</v>
      </c>
    </row>
    <row r="8" spans="2:29" ht="10.95" customHeight="1" x14ac:dyDescent="0.3">
      <c r="B8" s="793"/>
      <c r="C8" s="883"/>
      <c r="D8" s="874"/>
      <c r="E8" s="887"/>
      <c r="F8" s="873"/>
      <c r="G8" s="780"/>
      <c r="H8" s="408" t="s">
        <v>673</v>
      </c>
      <c r="I8" s="423">
        <f>I7/I6</f>
        <v>0.57235907371528738</v>
      </c>
      <c r="J8" s="423">
        <f>J7/J6</f>
        <v>0.9208033175355449</v>
      </c>
      <c r="K8" s="423">
        <f t="shared" ref="K8:V8" si="1">K7/K6</f>
        <v>0.75768014243820692</v>
      </c>
      <c r="L8" s="423">
        <f t="shared" si="1"/>
        <v>0.86709610747502575</v>
      </c>
      <c r="M8" s="423">
        <f t="shared" si="1"/>
        <v>1.03017141384199</v>
      </c>
      <c r="N8" s="423">
        <f t="shared" si="1"/>
        <v>1.0289265536723164</v>
      </c>
      <c r="O8" s="423">
        <f t="shared" si="1"/>
        <v>0.92515840477077904</v>
      </c>
      <c r="P8" s="423">
        <f t="shared" si="1"/>
        <v>1.0145251396648047</v>
      </c>
      <c r="Q8" s="423">
        <f t="shared" si="1"/>
        <v>0.9332519964507543</v>
      </c>
      <c r="R8" s="423">
        <f t="shared" si="1"/>
        <v>0.78923145665773009</v>
      </c>
      <c r="S8" s="423">
        <f t="shared" si="1"/>
        <v>0.67780700705488484</v>
      </c>
      <c r="T8" s="423">
        <f t="shared" si="1"/>
        <v>0.27924566561898001</v>
      </c>
      <c r="U8" s="423">
        <f t="shared" si="1"/>
        <v>0.80167162240999668</v>
      </c>
      <c r="V8" s="423">
        <f t="shared" si="1"/>
        <v>0.80167162240999668</v>
      </c>
    </row>
    <row r="9" spans="2:29" ht="10.95" customHeight="1" x14ac:dyDescent="0.3">
      <c r="B9" s="793"/>
      <c r="C9" s="883"/>
      <c r="D9" s="872" t="s">
        <v>9</v>
      </c>
      <c r="E9" s="887"/>
      <c r="F9" s="873"/>
      <c r="G9" s="778">
        <v>49</v>
      </c>
      <c r="H9" s="398" t="s">
        <v>705</v>
      </c>
      <c r="I9" s="399">
        <v>6949</v>
      </c>
      <c r="J9" s="399">
        <v>6369</v>
      </c>
      <c r="K9" s="399">
        <v>6721</v>
      </c>
      <c r="L9" s="399">
        <v>6135</v>
      </c>
      <c r="M9" s="399">
        <v>6117</v>
      </c>
      <c r="N9" s="399">
        <v>5685</v>
      </c>
      <c r="O9" s="399">
        <v>6153</v>
      </c>
      <c r="P9" s="399">
        <v>5773</v>
      </c>
      <c r="Q9" s="399">
        <v>6346</v>
      </c>
      <c r="R9" s="399">
        <v>6213</v>
      </c>
      <c r="S9" s="399">
        <v>5511</v>
      </c>
      <c r="T9" s="399">
        <v>6986</v>
      </c>
      <c r="U9" s="400">
        <f>SUM(I9:T9)</f>
        <v>74958</v>
      </c>
      <c r="V9" s="399">
        <f>SUM(I9:T9)</f>
        <v>74958</v>
      </c>
    </row>
    <row r="10" spans="2:29" ht="10.95" customHeight="1" x14ac:dyDescent="0.3">
      <c r="B10" s="793"/>
      <c r="C10" s="883"/>
      <c r="D10" s="873"/>
      <c r="E10" s="887"/>
      <c r="F10" s="873"/>
      <c r="G10" s="779"/>
      <c r="H10" s="398" t="s">
        <v>706</v>
      </c>
      <c r="I10" s="412">
        <f>'Janeiro 24'!AI7</f>
        <v>5524.7999999999993</v>
      </c>
      <c r="J10" s="412">
        <f>'Fevereiro 24'!AI7</f>
        <v>5627.9000000000005</v>
      </c>
      <c r="K10" s="412">
        <f>'Março 24'!AI7</f>
        <v>5593.9999999999973</v>
      </c>
      <c r="L10" s="412">
        <f>'Abril 24'!AH7</f>
        <v>5122.8</v>
      </c>
      <c r="M10" s="412">
        <f>'Maio 24'!AI7</f>
        <v>6009.800000000002</v>
      </c>
      <c r="N10" s="412">
        <f>'Junho 24'!AH7</f>
        <v>5989.2999999999993</v>
      </c>
      <c r="O10" s="412">
        <f>'Julho 24'!AI7</f>
        <v>5703.7000000000007</v>
      </c>
      <c r="P10" s="412">
        <f>'Agosto 24'!AI7</f>
        <v>6313.8</v>
      </c>
      <c r="Q10" s="412">
        <f>'Setembro 24'!AH7</f>
        <v>6373.1000000000013</v>
      </c>
      <c r="R10" s="412">
        <f>'Outubro 24'!AI7</f>
        <v>5286.9</v>
      </c>
      <c r="S10" s="412">
        <f>'Novembro 24'!AH7</f>
        <v>5333.4</v>
      </c>
      <c r="T10" s="412">
        <f>'Dezembro 24'!AI7</f>
        <v>5193.1000000000004</v>
      </c>
      <c r="U10" s="413">
        <f>SUM(I10:T10)</f>
        <v>68072.600000000006</v>
      </c>
      <c r="V10" s="412">
        <f>SUM(I10:T10)</f>
        <v>68072.600000000006</v>
      </c>
    </row>
    <row r="11" spans="2:29" ht="10.95" customHeight="1" x14ac:dyDescent="0.3">
      <c r="B11" s="793"/>
      <c r="C11" s="883"/>
      <c r="D11" s="874"/>
      <c r="E11" s="887"/>
      <c r="F11" s="874"/>
      <c r="G11" s="780"/>
      <c r="H11" s="408" t="s">
        <v>673</v>
      </c>
      <c r="I11" s="423">
        <f>I10/I9</f>
        <v>0.79504964743128492</v>
      </c>
      <c r="J11" s="423">
        <f>J10/J9</f>
        <v>0.88363950384675782</v>
      </c>
      <c r="K11" s="423">
        <f>K10/K9</f>
        <v>0.83231661955066172</v>
      </c>
      <c r="L11" s="423">
        <f>L10/L9</f>
        <v>0.83501222493887528</v>
      </c>
      <c r="M11" s="423">
        <f t="shared" ref="M11:V11" si="2">M10/M9</f>
        <v>0.98247506947850283</v>
      </c>
      <c r="N11" s="423">
        <f t="shared" si="2"/>
        <v>1.0535268249780121</v>
      </c>
      <c r="O11" s="423">
        <f t="shared" si="2"/>
        <v>0.92697870957256634</v>
      </c>
      <c r="P11" s="423">
        <f t="shared" si="2"/>
        <v>1.0936774640568163</v>
      </c>
      <c r="Q11" s="423">
        <f t="shared" si="2"/>
        <v>1.0042704065553105</v>
      </c>
      <c r="R11" s="423">
        <f t="shared" si="2"/>
        <v>0.85094157411878313</v>
      </c>
      <c r="S11" s="423">
        <f t="shared" si="2"/>
        <v>0.96777354382144798</v>
      </c>
      <c r="T11" s="423">
        <f t="shared" si="2"/>
        <v>0.74335814486115093</v>
      </c>
      <c r="U11" s="423">
        <f t="shared" si="2"/>
        <v>0.90814322687371607</v>
      </c>
      <c r="V11" s="423">
        <f t="shared" si="2"/>
        <v>0.90814322687371607</v>
      </c>
    </row>
    <row r="12" spans="2:29" ht="10.95" customHeight="1" x14ac:dyDescent="0.3">
      <c r="B12" s="793"/>
      <c r="C12" s="883"/>
      <c r="D12" s="872" t="s">
        <v>10</v>
      </c>
      <c r="E12" s="873" t="s">
        <v>706</v>
      </c>
      <c r="F12" s="890">
        <f>U4+U7+U10+U13+U16+U19+U22+U25</f>
        <v>444720.15</v>
      </c>
      <c r="G12" s="778">
        <v>33</v>
      </c>
      <c r="H12" s="398" t="s">
        <v>705</v>
      </c>
      <c r="I12" s="399">
        <v>4954</v>
      </c>
      <c r="J12" s="399">
        <v>4429</v>
      </c>
      <c r="K12" s="399">
        <v>4654</v>
      </c>
      <c r="L12" s="399">
        <v>4267</v>
      </c>
      <c r="M12" s="399">
        <v>4210</v>
      </c>
      <c r="N12" s="399">
        <v>3907</v>
      </c>
      <c r="O12" s="399">
        <v>4232</v>
      </c>
      <c r="P12" s="399">
        <v>4308</v>
      </c>
      <c r="Q12" s="399">
        <v>4396</v>
      </c>
      <c r="R12" s="399">
        <v>4296</v>
      </c>
      <c r="S12" s="399">
        <v>4168</v>
      </c>
      <c r="T12" s="399">
        <v>4842</v>
      </c>
      <c r="U12" s="400">
        <f>SUM(I12:T12)</f>
        <v>52663</v>
      </c>
      <c r="V12" s="399">
        <f>SUM(I12:T12)</f>
        <v>52663</v>
      </c>
    </row>
    <row r="13" spans="2:29" ht="10.95" customHeight="1" x14ac:dyDescent="0.3">
      <c r="B13" s="793"/>
      <c r="C13" s="883"/>
      <c r="D13" s="873"/>
      <c r="E13" s="873"/>
      <c r="F13" s="873"/>
      <c r="G13" s="779"/>
      <c r="H13" s="398" t="s">
        <v>706</v>
      </c>
      <c r="I13" s="412">
        <f>'Janeiro 24'!AI8</f>
        <v>3465.9000000000005</v>
      </c>
      <c r="J13" s="412">
        <f>'Fevereiro 24'!AI8</f>
        <v>3196.8000000000006</v>
      </c>
      <c r="K13" s="412">
        <f>'Março 24'!AI8</f>
        <v>3167.6</v>
      </c>
      <c r="L13" s="412">
        <f>'Abril 24'!AH8</f>
        <v>2888.2000000000003</v>
      </c>
      <c r="M13" s="412">
        <f>'Maio 24'!AI8</f>
        <v>3422.3999999999996</v>
      </c>
      <c r="N13" s="412">
        <f>'Junho 24'!AH8</f>
        <v>3313.5</v>
      </c>
      <c r="O13" s="412">
        <f>'Julho 24'!AI8</f>
        <v>3228.5999999999995</v>
      </c>
      <c r="P13" s="412">
        <f>'Agosto 24'!AI8</f>
        <v>3590.2999999999997</v>
      </c>
      <c r="Q13" s="412">
        <f>'Setembro 24'!AH8</f>
        <v>3633.5</v>
      </c>
      <c r="R13" s="412">
        <f>'Outubro 24'!AI8</f>
        <v>3005.6</v>
      </c>
      <c r="S13" s="412">
        <f>'Novembro 24'!AH8</f>
        <v>2975.2000000000003</v>
      </c>
      <c r="T13" s="412">
        <f>'Dezembro 24'!AI8</f>
        <v>2916.5</v>
      </c>
      <c r="U13" s="413">
        <f>SUM(I13:T13)</f>
        <v>38804.1</v>
      </c>
      <c r="V13" s="412">
        <f>SUM(I13:T13)</f>
        <v>38804.1</v>
      </c>
    </row>
    <row r="14" spans="2:29" ht="10.95" customHeight="1" x14ac:dyDescent="0.3">
      <c r="B14" s="793"/>
      <c r="C14" s="883"/>
      <c r="D14" s="874"/>
      <c r="E14" s="873"/>
      <c r="F14" s="873"/>
      <c r="G14" s="780"/>
      <c r="H14" s="408" t="s">
        <v>673</v>
      </c>
      <c r="I14" s="423">
        <f>I13/I12</f>
        <v>0.6996164715381511</v>
      </c>
      <c r="J14" s="423">
        <f>J13/J12</f>
        <v>0.72178821404380233</v>
      </c>
      <c r="K14" s="423">
        <f>K13/K12</f>
        <v>0.68061882251826389</v>
      </c>
      <c r="L14" s="423">
        <f>L13/L12</f>
        <v>0.67686899460979622</v>
      </c>
      <c r="M14" s="423">
        <f t="shared" ref="M14:V14" si="3">M13/M12</f>
        <v>0.81292161520190021</v>
      </c>
      <c r="N14" s="423">
        <f t="shared" si="3"/>
        <v>0.8480931661121065</v>
      </c>
      <c r="O14" s="423">
        <f t="shared" si="3"/>
        <v>0.7629017013232513</v>
      </c>
      <c r="P14" s="423">
        <f t="shared" si="3"/>
        <v>0.83340297121634166</v>
      </c>
      <c r="Q14" s="423">
        <f t="shared" si="3"/>
        <v>0.82654686078252959</v>
      </c>
      <c r="R14" s="423">
        <f t="shared" si="3"/>
        <v>0.69962756052141528</v>
      </c>
      <c r="S14" s="423">
        <f t="shared" si="3"/>
        <v>0.71381957773512483</v>
      </c>
      <c r="T14" s="423">
        <f t="shared" si="3"/>
        <v>0.60233374638579096</v>
      </c>
      <c r="U14" s="423">
        <f t="shared" si="3"/>
        <v>0.73683800770939745</v>
      </c>
      <c r="V14" s="423">
        <f t="shared" si="3"/>
        <v>0.73683800770939745</v>
      </c>
    </row>
    <row r="15" spans="2:29" ht="10.95" customHeight="1" x14ac:dyDescent="0.3">
      <c r="B15" s="793"/>
      <c r="C15" s="883"/>
      <c r="D15" s="872" t="s">
        <v>707</v>
      </c>
      <c r="E15" s="873"/>
      <c r="F15" s="873"/>
      <c r="G15" s="778">
        <v>12</v>
      </c>
      <c r="H15" s="398" t="s">
        <v>705</v>
      </c>
      <c r="I15" s="399">
        <v>1733</v>
      </c>
      <c r="J15" s="399">
        <v>1572</v>
      </c>
      <c r="K15" s="399">
        <v>1675</v>
      </c>
      <c r="L15" s="399">
        <v>1556</v>
      </c>
      <c r="M15" s="399">
        <v>1555</v>
      </c>
      <c r="N15" s="399">
        <v>1460</v>
      </c>
      <c r="O15" s="399">
        <v>1577</v>
      </c>
      <c r="P15" s="399">
        <v>1574</v>
      </c>
      <c r="Q15" s="399">
        <v>1586</v>
      </c>
      <c r="R15" s="399">
        <v>1525</v>
      </c>
      <c r="S15" s="399">
        <v>1450</v>
      </c>
      <c r="T15" s="399">
        <v>1681</v>
      </c>
      <c r="U15" s="400">
        <f>SUM(I15:T15)</f>
        <v>18944</v>
      </c>
      <c r="V15" s="399">
        <f>SUM(I15:T15)</f>
        <v>18944</v>
      </c>
    </row>
    <row r="16" spans="2:29" ht="10.95" customHeight="1" x14ac:dyDescent="0.3">
      <c r="B16" s="793"/>
      <c r="C16" s="883"/>
      <c r="D16" s="873"/>
      <c r="E16" s="873"/>
      <c r="F16" s="873"/>
      <c r="G16" s="779"/>
      <c r="H16" s="398" t="s">
        <v>706</v>
      </c>
      <c r="I16" s="412">
        <f>'Janeiro 24'!AI9</f>
        <v>1231.1999999999996</v>
      </c>
      <c r="J16" s="412">
        <f>'Fevereiro 24'!AI9</f>
        <v>1214.9999999999998</v>
      </c>
      <c r="K16" s="412">
        <f>'Março 24'!AI9</f>
        <v>1249.0999999999999</v>
      </c>
      <c r="L16" s="412">
        <f>'Abril 24'!AH9</f>
        <v>1190.5000000000002</v>
      </c>
      <c r="M16" s="412">
        <f>'Maio 24'!AI9</f>
        <v>1416.8999999999994</v>
      </c>
      <c r="N16" s="412">
        <f>'Junho 24'!AH9</f>
        <v>1416.1000000000001</v>
      </c>
      <c r="O16" s="412">
        <f>'Julho 24'!AI9</f>
        <v>1388.7</v>
      </c>
      <c r="P16" s="412">
        <f>'Agosto 24'!AI9</f>
        <v>1606.8</v>
      </c>
      <c r="Q16" s="412">
        <f>'Setembro 24'!AH9</f>
        <v>1491.9</v>
      </c>
      <c r="R16" s="412">
        <f>'Outubro 24'!AI9</f>
        <v>1199.7</v>
      </c>
      <c r="S16" s="412">
        <f>'Novembro 24'!AH9</f>
        <v>1150.4000000000001</v>
      </c>
      <c r="T16" s="412">
        <f>'Dezembro 24'!AI9</f>
        <v>1204.3</v>
      </c>
      <c r="U16" s="413">
        <f>SUM(I16:T16)</f>
        <v>15760.599999999999</v>
      </c>
      <c r="V16" s="412">
        <f>SUM(I16:T16)</f>
        <v>15760.599999999999</v>
      </c>
    </row>
    <row r="17" spans="2:22" ht="10.95" customHeight="1" x14ac:dyDescent="0.3">
      <c r="B17" s="793"/>
      <c r="C17" s="883"/>
      <c r="D17" s="874"/>
      <c r="E17" s="873"/>
      <c r="F17" s="873"/>
      <c r="G17" s="780"/>
      <c r="H17" s="408" t="s">
        <v>673</v>
      </c>
      <c r="I17" s="423">
        <f>I16/I15</f>
        <v>0.71044431621465642</v>
      </c>
      <c r="J17" s="423">
        <f>J16/J15</f>
        <v>0.77290076335877844</v>
      </c>
      <c r="K17" s="423">
        <f>K16/K15</f>
        <v>0.74573134328358204</v>
      </c>
      <c r="L17" s="423">
        <f>L16/L15</f>
        <v>0.76510282776349625</v>
      </c>
      <c r="M17" s="423">
        <f t="shared" ref="M17:V17" si="4">M16/M15</f>
        <v>0.91118971061093212</v>
      </c>
      <c r="N17" s="423">
        <f t="shared" si="4"/>
        <v>0.96993150684931517</v>
      </c>
      <c r="O17" s="423">
        <f t="shared" si="4"/>
        <v>0.88059606848446426</v>
      </c>
      <c r="P17" s="423">
        <f t="shared" si="4"/>
        <v>1.0208386277001271</v>
      </c>
      <c r="Q17" s="423">
        <f t="shared" si="4"/>
        <v>0.94066834804539723</v>
      </c>
      <c r="R17" s="423">
        <f t="shared" si="4"/>
        <v>0.78668852459016392</v>
      </c>
      <c r="S17" s="423">
        <f t="shared" si="4"/>
        <v>0.79337931034482767</v>
      </c>
      <c r="T17" s="423">
        <f t="shared" si="4"/>
        <v>0.71641879833432476</v>
      </c>
      <c r="U17" s="423">
        <f t="shared" si="4"/>
        <v>0.83195734797297294</v>
      </c>
      <c r="V17" s="423">
        <f t="shared" si="4"/>
        <v>0.83195734797297294</v>
      </c>
    </row>
    <row r="18" spans="2:22" ht="10.95" customHeight="1" x14ac:dyDescent="0.3">
      <c r="B18" s="793"/>
      <c r="C18" s="883"/>
      <c r="D18" s="872" t="s">
        <v>12</v>
      </c>
      <c r="E18" s="873"/>
      <c r="F18" s="873"/>
      <c r="G18" s="778">
        <v>25</v>
      </c>
      <c r="H18" s="398" t="s">
        <v>705</v>
      </c>
      <c r="I18" s="399">
        <v>3553</v>
      </c>
      <c r="J18" s="399">
        <v>3307</v>
      </c>
      <c r="K18" s="399">
        <v>3510</v>
      </c>
      <c r="L18" s="399">
        <v>3248</v>
      </c>
      <c r="M18" s="399">
        <v>3267</v>
      </c>
      <c r="N18" s="399">
        <v>2730</v>
      </c>
      <c r="O18" s="399">
        <v>3312</v>
      </c>
      <c r="P18" s="399">
        <v>3312</v>
      </c>
      <c r="Q18" s="399">
        <v>3330</v>
      </c>
      <c r="R18" s="399">
        <v>3227</v>
      </c>
      <c r="S18" s="399">
        <v>2798</v>
      </c>
      <c r="T18" s="399">
        <v>3568</v>
      </c>
      <c r="U18" s="400">
        <f>SUM(I18:T18)</f>
        <v>39162</v>
      </c>
      <c r="V18" s="399">
        <f>SUM(I18:T18)</f>
        <v>39162</v>
      </c>
    </row>
    <row r="19" spans="2:22" ht="10.95" customHeight="1" x14ac:dyDescent="0.3">
      <c r="B19" s="793"/>
      <c r="C19" s="883"/>
      <c r="D19" s="873"/>
      <c r="E19" s="873"/>
      <c r="F19" s="874"/>
      <c r="G19" s="779"/>
      <c r="H19" s="398" t="s">
        <v>706</v>
      </c>
      <c r="I19" s="412">
        <f>'Janeiro 24'!AI10</f>
        <v>2379.3000000000002</v>
      </c>
      <c r="J19" s="412">
        <f>'Fevereiro 24'!AI10</f>
        <v>2486.1</v>
      </c>
      <c r="K19" s="412">
        <f>'Março 24'!AI10</f>
        <v>2105.8000000000002</v>
      </c>
      <c r="L19" s="412">
        <f>'Abril 24'!AH10</f>
        <v>1344.8999999999999</v>
      </c>
      <c r="M19" s="412">
        <f>'Maio 24'!AI10</f>
        <v>1566.4</v>
      </c>
      <c r="N19" s="412">
        <f>'Junho 24'!AH10</f>
        <v>1789.1999999999998</v>
      </c>
      <c r="O19" s="412">
        <f>'Julho 24'!AI10</f>
        <v>2094.2999999999997</v>
      </c>
      <c r="P19" s="412">
        <f>'Agosto 24'!AI10</f>
        <v>2649.2999999999997</v>
      </c>
      <c r="Q19" s="412">
        <f>'Setembro 24'!AH10</f>
        <v>2952.7000000000003</v>
      </c>
      <c r="R19" s="412">
        <f>'Outubro 24'!AI10</f>
        <v>2493.900000000001</v>
      </c>
      <c r="S19" s="412">
        <f>'Novembro 24'!AH10</f>
        <v>2366.7999999999997</v>
      </c>
      <c r="T19" s="412">
        <f>'Dezembro 24'!AI10</f>
        <v>2149.0000000000005</v>
      </c>
      <c r="U19" s="413">
        <f>SUM(I19:T19)</f>
        <v>26377.7</v>
      </c>
      <c r="V19" s="412">
        <f>SUM(I19:T19)</f>
        <v>26377.7</v>
      </c>
    </row>
    <row r="20" spans="2:22" ht="10.95" customHeight="1" x14ac:dyDescent="0.3">
      <c r="B20" s="793"/>
      <c r="C20" s="883"/>
      <c r="D20" s="874"/>
      <c r="E20" s="887" t="s">
        <v>673</v>
      </c>
      <c r="F20" s="889">
        <f>F12/F3</f>
        <v>0.86062985497486155</v>
      </c>
      <c r="G20" s="780"/>
      <c r="H20" s="408" t="s">
        <v>673</v>
      </c>
      <c r="I20" s="423">
        <f>I19/I18</f>
        <v>0.66965944272445821</v>
      </c>
      <c r="J20" s="423">
        <f>J19/J18</f>
        <v>0.75176897490172356</v>
      </c>
      <c r="K20" s="423">
        <f>K19/K18</f>
        <v>0.59994301994302002</v>
      </c>
      <c r="L20" s="423">
        <f>L19/L18</f>
        <v>0.41407019704433495</v>
      </c>
      <c r="M20" s="423">
        <f t="shared" ref="M20:V20" si="5">M19/M18</f>
        <v>0.47946127946127948</v>
      </c>
      <c r="N20" s="423">
        <f t="shared" si="5"/>
        <v>0.65538461538461534</v>
      </c>
      <c r="O20" s="423">
        <f t="shared" si="5"/>
        <v>0.63233695652173905</v>
      </c>
      <c r="P20" s="423">
        <f t="shared" si="5"/>
        <v>0.79990942028985501</v>
      </c>
      <c r="Q20" s="423">
        <f t="shared" si="5"/>
        <v>0.88669669669669682</v>
      </c>
      <c r="R20" s="423">
        <f t="shared" si="5"/>
        <v>0.77282305546947661</v>
      </c>
      <c r="S20" s="423">
        <f t="shared" si="5"/>
        <v>0.84588992137240882</v>
      </c>
      <c r="T20" s="423">
        <f t="shared" si="5"/>
        <v>0.60229820627802699</v>
      </c>
      <c r="U20" s="423">
        <f t="shared" si="5"/>
        <v>0.6735534446657474</v>
      </c>
      <c r="V20" s="423">
        <f t="shared" si="5"/>
        <v>0.6735534446657474</v>
      </c>
    </row>
    <row r="21" spans="2:22" ht="10.95" customHeight="1" x14ac:dyDescent="0.3">
      <c r="B21" s="793"/>
      <c r="C21" s="883"/>
      <c r="D21" s="872" t="s">
        <v>13</v>
      </c>
      <c r="E21" s="887"/>
      <c r="F21" s="889"/>
      <c r="G21" s="778">
        <v>78</v>
      </c>
      <c r="H21" s="398" t="s">
        <v>705</v>
      </c>
      <c r="I21" s="399">
        <v>10745</v>
      </c>
      <c r="J21" s="399">
        <v>9580</v>
      </c>
      <c r="K21" s="399">
        <v>9833</v>
      </c>
      <c r="L21" s="399">
        <v>8927</v>
      </c>
      <c r="M21" s="399">
        <v>8545</v>
      </c>
      <c r="N21" s="399">
        <v>7978</v>
      </c>
      <c r="O21" s="399">
        <v>8747</v>
      </c>
      <c r="P21" s="399">
        <v>8942</v>
      </c>
      <c r="Q21" s="399">
        <v>9235</v>
      </c>
      <c r="R21" s="399">
        <v>9302</v>
      </c>
      <c r="S21" s="399">
        <v>8745</v>
      </c>
      <c r="T21" s="399">
        <v>10368</v>
      </c>
      <c r="U21" s="400">
        <f>SUM(I21:T21)</f>
        <v>110947</v>
      </c>
      <c r="V21" s="399">
        <f>SUM(I21:T21)</f>
        <v>110947</v>
      </c>
    </row>
    <row r="22" spans="2:22" ht="10.95" customHeight="1" x14ac:dyDescent="0.3">
      <c r="B22" s="793"/>
      <c r="C22" s="883"/>
      <c r="D22" s="873"/>
      <c r="E22" s="887"/>
      <c r="F22" s="889"/>
      <c r="G22" s="779"/>
      <c r="H22" s="398" t="s">
        <v>706</v>
      </c>
      <c r="I22" s="412">
        <f>'Janeiro 24'!AI11</f>
        <v>9426.8000000000011</v>
      </c>
      <c r="J22" s="412">
        <f>'Fevereiro 24'!AI11</f>
        <v>9423.7000000000007</v>
      </c>
      <c r="K22" s="412">
        <f>'Março 24'!AI11</f>
        <v>9061.6000000000022</v>
      </c>
      <c r="L22" s="412">
        <f>'Abril 24'!AH11</f>
        <v>9279.2000000000007</v>
      </c>
      <c r="M22" s="412">
        <f>'Maio 24'!AI11</f>
        <v>8820</v>
      </c>
      <c r="N22" s="412">
        <f>'Junho 24'!AH11</f>
        <v>8548</v>
      </c>
      <c r="O22" s="412">
        <f>'Julho 24'!AI11</f>
        <v>8335.7999999999993</v>
      </c>
      <c r="P22" s="412">
        <f>'Agosto 24'!AI11</f>
        <v>9608.5</v>
      </c>
      <c r="Q22" s="412">
        <f>'Setembro 24'!AH11</f>
        <v>9794.8999999999978</v>
      </c>
      <c r="R22" s="412">
        <f>'Outubro 24'!AI11</f>
        <v>8480.7000000000007</v>
      </c>
      <c r="S22" s="412">
        <f>'Novembro 24'!AH11</f>
        <v>8677</v>
      </c>
      <c r="T22" s="412">
        <f>'Dezembro 24'!AI11</f>
        <v>9067.1</v>
      </c>
      <c r="U22" s="413">
        <f>SUM(I22:T22)</f>
        <v>108523.3</v>
      </c>
      <c r="V22" s="412">
        <f>SUM(I22:T22)</f>
        <v>108523.3</v>
      </c>
    </row>
    <row r="23" spans="2:22" ht="10.95" customHeight="1" x14ac:dyDescent="0.3">
      <c r="B23" s="793"/>
      <c r="C23" s="883"/>
      <c r="D23" s="874"/>
      <c r="E23" s="887"/>
      <c r="F23" s="889"/>
      <c r="G23" s="780"/>
      <c r="H23" s="408" t="s">
        <v>673</v>
      </c>
      <c r="I23" s="423">
        <f>I22/I21</f>
        <v>0.87731968357375534</v>
      </c>
      <c r="J23" s="423">
        <f>J22/J21</f>
        <v>0.98368475991649273</v>
      </c>
      <c r="K23" s="423">
        <f>K22/K21</f>
        <v>0.92154988304688312</v>
      </c>
      <c r="L23" s="423">
        <f>L22/L21</f>
        <v>1.039453343788507</v>
      </c>
      <c r="M23" s="423">
        <f>M22/M21</f>
        <v>1.0321825629022821</v>
      </c>
      <c r="N23" s="423">
        <f t="shared" ref="N23:V23" si="6">N22/N21</f>
        <v>1.0714464778139885</v>
      </c>
      <c r="O23" s="423">
        <f t="shared" si="6"/>
        <v>0.95298959643306269</v>
      </c>
      <c r="P23" s="423">
        <f t="shared" si="6"/>
        <v>1.074535898009394</v>
      </c>
      <c r="Q23" s="423">
        <f t="shared" si="6"/>
        <v>1.0606280454791552</v>
      </c>
      <c r="R23" s="423">
        <f t="shared" si="6"/>
        <v>0.91170715975059136</v>
      </c>
      <c r="S23" s="423">
        <f t="shared" si="6"/>
        <v>0.99222412807318472</v>
      </c>
      <c r="T23" s="423">
        <f t="shared" si="6"/>
        <v>0.87452739197530871</v>
      </c>
      <c r="U23" s="423">
        <f t="shared" si="6"/>
        <v>0.97815443409916447</v>
      </c>
      <c r="V23" s="423">
        <f t="shared" si="6"/>
        <v>0.97815443409916447</v>
      </c>
    </row>
    <row r="24" spans="2:22" ht="10.95" customHeight="1" x14ac:dyDescent="0.3">
      <c r="B24" s="793"/>
      <c r="C24" s="883"/>
      <c r="D24" s="872" t="s">
        <v>14</v>
      </c>
      <c r="E24" s="887"/>
      <c r="F24" s="889"/>
      <c r="G24" s="778">
        <v>60</v>
      </c>
      <c r="H24" s="398" t="s">
        <v>705</v>
      </c>
      <c r="I24" s="399">
        <v>9737</v>
      </c>
      <c r="J24" s="399">
        <v>7239</v>
      </c>
      <c r="K24" s="399">
        <v>8589</v>
      </c>
      <c r="L24" s="399">
        <v>7851</v>
      </c>
      <c r="M24" s="399">
        <v>7653</v>
      </c>
      <c r="N24" s="399">
        <v>7159</v>
      </c>
      <c r="O24" s="399">
        <v>7144</v>
      </c>
      <c r="P24" s="399">
        <v>7888</v>
      </c>
      <c r="Q24" s="399">
        <v>8110</v>
      </c>
      <c r="R24" s="399">
        <v>7492</v>
      </c>
      <c r="S24" s="399">
        <v>7597</v>
      </c>
      <c r="T24" s="399">
        <v>8934</v>
      </c>
      <c r="U24" s="400">
        <f>SUM(I24:T24)</f>
        <v>95393</v>
      </c>
      <c r="V24" s="399">
        <f>SUM(I24:T24)</f>
        <v>95393</v>
      </c>
    </row>
    <row r="25" spans="2:22" ht="10.95" customHeight="1" x14ac:dyDescent="0.3">
      <c r="B25" s="793"/>
      <c r="C25" s="883"/>
      <c r="D25" s="873"/>
      <c r="E25" s="887"/>
      <c r="F25" s="889"/>
      <c r="G25" s="779"/>
      <c r="H25" s="398" t="s">
        <v>706</v>
      </c>
      <c r="I25" s="412">
        <f>'Janeiro 24'!AI12</f>
        <v>7022.4999999999991</v>
      </c>
      <c r="J25" s="412">
        <f>'Fevereiro 24'!AI12</f>
        <v>6967.199999999998</v>
      </c>
      <c r="K25" s="412">
        <f>'Março 24'!AI12</f>
        <v>6440.6000000000013</v>
      </c>
      <c r="L25" s="412">
        <f>'Abril 24'!AH12</f>
        <v>6816.6999999999989</v>
      </c>
      <c r="M25" s="412">
        <f>'Maio 24'!AI12</f>
        <v>6907.5999999999995</v>
      </c>
      <c r="N25" s="412">
        <f>'Junho 24'!AH12</f>
        <v>6732.3000000000011</v>
      </c>
      <c r="O25" s="412">
        <f>'Julho 24'!AI12</f>
        <v>6456.5</v>
      </c>
      <c r="P25" s="412">
        <f>'Agosto 24'!AI12</f>
        <v>8216</v>
      </c>
      <c r="Q25" s="412">
        <f>'Setembro 24'!AH12</f>
        <v>8740</v>
      </c>
      <c r="R25" s="412">
        <f>'Outubro 24'!AI12</f>
        <v>7532</v>
      </c>
      <c r="S25" s="412">
        <f>'Novembro 24'!AH12</f>
        <v>7232</v>
      </c>
      <c r="T25" s="412">
        <f>'Dezembro 24'!AI12</f>
        <v>7045</v>
      </c>
      <c r="U25" s="413">
        <f>SUM(I25:T25)</f>
        <v>86108.4</v>
      </c>
      <c r="V25" s="412">
        <f>SUM(I25:T25)</f>
        <v>86108.4</v>
      </c>
    </row>
    <row r="26" spans="2:22" ht="10.95" customHeight="1" x14ac:dyDescent="0.3">
      <c r="B26" s="793"/>
      <c r="C26" s="883"/>
      <c r="D26" s="874"/>
      <c r="E26" s="887"/>
      <c r="F26" s="889"/>
      <c r="G26" s="780"/>
      <c r="H26" s="408" t="s">
        <v>673</v>
      </c>
      <c r="I26" s="423">
        <f>I25/I24</f>
        <v>0.72121803430214637</v>
      </c>
      <c r="J26" s="423">
        <f>J25/J24</f>
        <v>0.96245337753833371</v>
      </c>
      <c r="K26" s="423">
        <f>K25/K24</f>
        <v>0.74986610781231822</v>
      </c>
      <c r="L26" s="423">
        <f>L25/L24</f>
        <v>0.8682588205324161</v>
      </c>
      <c r="M26" s="423">
        <f>M25/M24</f>
        <v>0.90260028746896637</v>
      </c>
      <c r="N26" s="423">
        <f t="shared" ref="N26:V26" si="7">N25/N24</f>
        <v>0.94039670345020265</v>
      </c>
      <c r="O26" s="423">
        <f t="shared" si="7"/>
        <v>0.90376539753639418</v>
      </c>
      <c r="P26" s="423">
        <f t="shared" si="7"/>
        <v>1.04158215010142</v>
      </c>
      <c r="Q26" s="423">
        <f t="shared" si="7"/>
        <v>1.0776818742293466</v>
      </c>
      <c r="R26" s="423">
        <f t="shared" si="7"/>
        <v>1.00533902829685</v>
      </c>
      <c r="S26" s="423">
        <f t="shared" si="7"/>
        <v>0.95195471896801365</v>
      </c>
      <c r="T26" s="423">
        <f t="shared" si="7"/>
        <v>0.78856055518244905</v>
      </c>
      <c r="U26" s="423">
        <f t="shared" si="7"/>
        <v>0.90267000723323509</v>
      </c>
      <c r="V26" s="423">
        <f t="shared" si="7"/>
        <v>0.90267000723323509</v>
      </c>
    </row>
    <row r="27" spans="2:22" ht="10.95" customHeight="1" x14ac:dyDescent="0.3">
      <c r="B27" s="793"/>
      <c r="C27" s="884" t="s">
        <v>1045</v>
      </c>
      <c r="D27" s="872" t="s">
        <v>17</v>
      </c>
      <c r="E27" s="887" t="s">
        <v>705</v>
      </c>
      <c r="F27" s="891">
        <f>V27+V30+V33+V36</f>
        <v>463268</v>
      </c>
      <c r="G27" s="784">
        <v>100</v>
      </c>
      <c r="H27" s="398" t="s">
        <v>705</v>
      </c>
      <c r="I27" s="399">
        <v>12700</v>
      </c>
      <c r="J27" s="399">
        <v>12790</v>
      </c>
      <c r="K27" s="399">
        <v>12600</v>
      </c>
      <c r="L27" s="399">
        <v>11591</v>
      </c>
      <c r="M27" s="399">
        <v>10790</v>
      </c>
      <c r="N27" s="399">
        <v>9638</v>
      </c>
      <c r="O27" s="399">
        <v>10109</v>
      </c>
      <c r="P27" s="399">
        <v>12566</v>
      </c>
      <c r="Q27" s="399">
        <v>11423</v>
      </c>
      <c r="R27" s="399">
        <v>11637</v>
      </c>
      <c r="S27" s="399">
        <v>10678</v>
      </c>
      <c r="T27" s="399">
        <v>12601</v>
      </c>
      <c r="U27" s="400">
        <f>SUM(I27:T27)</f>
        <v>139123</v>
      </c>
      <c r="V27" s="399">
        <f>SUM(I27:T27)</f>
        <v>139123</v>
      </c>
    </row>
    <row r="28" spans="2:22" ht="10.95" customHeight="1" x14ac:dyDescent="0.3">
      <c r="B28" s="793"/>
      <c r="C28" s="884"/>
      <c r="D28" s="873"/>
      <c r="E28" s="887"/>
      <c r="F28" s="887"/>
      <c r="G28" s="785"/>
      <c r="H28" s="398" t="s">
        <v>706</v>
      </c>
      <c r="I28" s="412">
        <f>'Janeiro 24'!AI13</f>
        <v>11392.4</v>
      </c>
      <c r="J28" s="412">
        <f>'Fevereiro 24'!AI13</f>
        <v>11339.400000000003</v>
      </c>
      <c r="K28" s="412">
        <f>'Março 24'!AI13</f>
        <v>10442.200000000004</v>
      </c>
      <c r="L28" s="412">
        <f>'Abril 24'!AH13</f>
        <v>11044.700000000003</v>
      </c>
      <c r="M28" s="412">
        <f>'Maio 24'!AI13</f>
        <v>7153.9999999999991</v>
      </c>
      <c r="N28" s="412">
        <f>'Junho 24'!AH13</f>
        <v>11854.2</v>
      </c>
      <c r="O28" s="412">
        <f>'Julho 24'!AI13</f>
        <v>11264.1</v>
      </c>
      <c r="P28" s="412">
        <f>'Agosto 24'!AI13</f>
        <v>13008.300000000001</v>
      </c>
      <c r="Q28" s="412">
        <f>'Setembro 24'!AH13</f>
        <v>12469.1</v>
      </c>
      <c r="R28" s="412">
        <f>'Outubro 24'!AI13</f>
        <v>10407</v>
      </c>
      <c r="S28" s="412">
        <f>'Novembro 24'!AH13</f>
        <v>10417.5</v>
      </c>
      <c r="T28" s="412">
        <f>'Dezembro 24'!AI13</f>
        <v>11143.100000000002</v>
      </c>
      <c r="U28" s="413">
        <f>SUM(I28:T28)</f>
        <v>131936.00000000003</v>
      </c>
      <c r="V28" s="412">
        <f>SUM(I28:T28)</f>
        <v>131936.00000000003</v>
      </c>
    </row>
    <row r="29" spans="2:22" ht="10.95" customHeight="1" x14ac:dyDescent="0.3">
      <c r="B29" s="793"/>
      <c r="C29" s="884"/>
      <c r="D29" s="874"/>
      <c r="E29" s="887"/>
      <c r="F29" s="887"/>
      <c r="G29" s="786"/>
      <c r="H29" s="408" t="s">
        <v>673</v>
      </c>
      <c r="I29" s="423">
        <f>I28/I27</f>
        <v>0.89703937007874013</v>
      </c>
      <c r="J29" s="423">
        <f>J28/J27</f>
        <v>0.88658326817826449</v>
      </c>
      <c r="K29" s="423">
        <f>K28/K27</f>
        <v>0.82874603174603212</v>
      </c>
      <c r="L29" s="423">
        <f>L28/L27</f>
        <v>0.95286860495211823</v>
      </c>
      <c r="M29" s="423">
        <f>M28/M27</f>
        <v>0.66302131603336412</v>
      </c>
      <c r="N29" s="423">
        <f t="shared" ref="N29:V29" si="8">N28/N27</f>
        <v>1.2299439717783773</v>
      </c>
      <c r="O29" s="423">
        <f t="shared" si="8"/>
        <v>1.1142645167672371</v>
      </c>
      <c r="P29" s="423">
        <f t="shared" si="8"/>
        <v>1.0351981537482096</v>
      </c>
      <c r="Q29" s="423">
        <f t="shared" si="8"/>
        <v>1.0915783944673028</v>
      </c>
      <c r="R29" s="423">
        <f t="shared" si="8"/>
        <v>0.89430265532353703</v>
      </c>
      <c r="S29" s="423">
        <f t="shared" si="8"/>
        <v>0.97560404570144221</v>
      </c>
      <c r="T29" s="423">
        <f t="shared" si="8"/>
        <v>0.88430283310848368</v>
      </c>
      <c r="U29" s="423">
        <f t="shared" si="8"/>
        <v>0.94834067695492497</v>
      </c>
      <c r="V29" s="423">
        <f t="shared" si="8"/>
        <v>0.94834067695492497</v>
      </c>
    </row>
    <row r="30" spans="2:22" ht="10.95" customHeight="1" x14ac:dyDescent="0.3">
      <c r="B30" s="793"/>
      <c r="C30" s="884"/>
      <c r="D30" s="872" t="s">
        <v>18</v>
      </c>
      <c r="E30" s="887"/>
      <c r="F30" s="887"/>
      <c r="G30" s="784">
        <v>100</v>
      </c>
      <c r="H30" s="398" t="s">
        <v>705</v>
      </c>
      <c r="I30" s="399">
        <v>12700</v>
      </c>
      <c r="J30" s="399">
        <v>12790</v>
      </c>
      <c r="K30" s="399">
        <v>12600</v>
      </c>
      <c r="L30" s="399">
        <v>11591</v>
      </c>
      <c r="M30" s="399">
        <v>10790</v>
      </c>
      <c r="N30" s="399">
        <v>9638</v>
      </c>
      <c r="O30" s="399">
        <v>10109</v>
      </c>
      <c r="P30" s="399">
        <v>12566</v>
      </c>
      <c r="Q30" s="399">
        <v>11423</v>
      </c>
      <c r="R30" s="399">
        <v>11637</v>
      </c>
      <c r="S30" s="399">
        <v>10678</v>
      </c>
      <c r="T30" s="399">
        <v>12601</v>
      </c>
      <c r="U30" s="400">
        <f>SUM(I30:T30)</f>
        <v>139123</v>
      </c>
      <c r="V30" s="399">
        <f>SUM(I30:T30)</f>
        <v>139123</v>
      </c>
    </row>
    <row r="31" spans="2:22" ht="10.95" customHeight="1" x14ac:dyDescent="0.3">
      <c r="B31" s="793"/>
      <c r="C31" s="884"/>
      <c r="D31" s="873"/>
      <c r="E31" s="873" t="s">
        <v>706</v>
      </c>
      <c r="F31" s="892">
        <f>V28+V31+V34+V37</f>
        <v>462310.40000000002</v>
      </c>
      <c r="G31" s="785"/>
      <c r="H31" s="398" t="s">
        <v>706</v>
      </c>
      <c r="I31" s="412">
        <f>'Janeiro 24'!AI14</f>
        <v>12707.199999999999</v>
      </c>
      <c r="J31" s="412">
        <f>'Fevereiro 24'!AI14</f>
        <v>11693.300000000001</v>
      </c>
      <c r="K31" s="412">
        <f>'Março 24'!AI14</f>
        <v>12057.199999999995</v>
      </c>
      <c r="L31" s="412">
        <f>'Abril 24'!AH14</f>
        <v>12230.400000000003</v>
      </c>
      <c r="M31" s="412">
        <f>'Maio 24'!AI14</f>
        <v>12521.1</v>
      </c>
      <c r="N31" s="412">
        <f>'Junho 24'!AH14</f>
        <v>12175.600000000002</v>
      </c>
      <c r="O31" s="412">
        <f>'Julho 24'!AI14</f>
        <v>11624.8</v>
      </c>
      <c r="P31" s="412">
        <f>'Agosto 24'!AI14</f>
        <v>13220.899999999996</v>
      </c>
      <c r="Q31" s="412">
        <f>'Setembro 24'!AH14</f>
        <v>13226.1</v>
      </c>
      <c r="R31" s="412">
        <f>'Outubro 24'!AI14</f>
        <v>11406.300000000003</v>
      </c>
      <c r="S31" s="412">
        <f>'Novembro 24'!AH14</f>
        <v>11864.000000000002</v>
      </c>
      <c r="T31" s="412">
        <f>'Dezembro 24'!AI14</f>
        <v>12444</v>
      </c>
      <c r="U31" s="413">
        <f>SUM(I31:T31)</f>
        <v>147170.90000000002</v>
      </c>
      <c r="V31" s="412">
        <f>SUM(I31:T31)</f>
        <v>147170.90000000002</v>
      </c>
    </row>
    <row r="32" spans="2:22" ht="10.95" customHeight="1" x14ac:dyDescent="0.3">
      <c r="B32" s="793"/>
      <c r="C32" s="884"/>
      <c r="D32" s="874"/>
      <c r="E32" s="873"/>
      <c r="F32" s="873"/>
      <c r="G32" s="786"/>
      <c r="H32" s="408" t="s">
        <v>673</v>
      </c>
      <c r="I32" s="423">
        <f>I31/I30</f>
        <v>1.0005669291338581</v>
      </c>
      <c r="J32" s="423">
        <f>J31/J30</f>
        <v>0.91425332290852235</v>
      </c>
      <c r="K32" s="423">
        <f>K31/K30</f>
        <v>0.95692063492063451</v>
      </c>
      <c r="L32" s="423">
        <f>L31/L30</f>
        <v>1.0551634889138126</v>
      </c>
      <c r="M32" s="423">
        <f>M31/M30</f>
        <v>1.1604355885078776</v>
      </c>
      <c r="N32" s="423">
        <f t="shared" ref="N32:V32" si="9">N31/N30</f>
        <v>1.2632911392405066</v>
      </c>
      <c r="O32" s="423">
        <f t="shared" si="9"/>
        <v>1.1499455930359086</v>
      </c>
      <c r="P32" s="423">
        <f t="shared" si="9"/>
        <v>1.0521168231736429</v>
      </c>
      <c r="Q32" s="423">
        <f t="shared" si="9"/>
        <v>1.1578482009979865</v>
      </c>
      <c r="R32" s="423">
        <f t="shared" si="9"/>
        <v>0.98017530291312216</v>
      </c>
      <c r="S32" s="423">
        <f t="shared" si="9"/>
        <v>1.1110694886682901</v>
      </c>
      <c r="T32" s="423">
        <f t="shared" si="9"/>
        <v>0.98754067137528767</v>
      </c>
      <c r="U32" s="423">
        <f t="shared" si="9"/>
        <v>1.0578473724689665</v>
      </c>
      <c r="V32" s="423">
        <f t="shared" si="9"/>
        <v>1.0578473724689665</v>
      </c>
    </row>
    <row r="33" spans="1:29" ht="10.95" customHeight="1" x14ac:dyDescent="0.3">
      <c r="B33" s="793"/>
      <c r="C33" s="884"/>
      <c r="D33" s="872" t="s">
        <v>110</v>
      </c>
      <c r="E33" s="873"/>
      <c r="F33" s="873"/>
      <c r="G33" s="778">
        <v>29</v>
      </c>
      <c r="H33" s="398" t="s">
        <v>705</v>
      </c>
      <c r="I33" s="399">
        <v>4603</v>
      </c>
      <c r="J33" s="399">
        <v>3930</v>
      </c>
      <c r="K33" s="399">
        <v>4103</v>
      </c>
      <c r="L33" s="399">
        <v>3333</v>
      </c>
      <c r="M33" s="399">
        <v>3713</v>
      </c>
      <c r="N33" s="399">
        <v>3283</v>
      </c>
      <c r="O33" s="399">
        <v>3842</v>
      </c>
      <c r="P33" s="399">
        <v>3840</v>
      </c>
      <c r="Q33" s="399">
        <v>3863</v>
      </c>
      <c r="R33" s="399">
        <v>3830</v>
      </c>
      <c r="S33" s="399">
        <v>3355</v>
      </c>
      <c r="T33" s="399">
        <v>4204</v>
      </c>
      <c r="U33" s="400">
        <f>SUM(I33:T33)</f>
        <v>45899</v>
      </c>
      <c r="V33" s="399">
        <f>SUM(I33:T33)</f>
        <v>45899</v>
      </c>
    </row>
    <row r="34" spans="1:29" ht="10.95" customHeight="1" x14ac:dyDescent="0.3">
      <c r="B34" s="793"/>
      <c r="C34" s="884"/>
      <c r="D34" s="873"/>
      <c r="E34" s="873"/>
      <c r="F34" s="873"/>
      <c r="G34" s="779"/>
      <c r="H34" s="398" t="s">
        <v>706</v>
      </c>
      <c r="I34" s="412">
        <f>'Janeiro 24'!AI15</f>
        <v>3583.1000000000004</v>
      </c>
      <c r="J34" s="412">
        <f>'Fevereiro 24'!AI15</f>
        <v>3563.1000000000004</v>
      </c>
      <c r="K34" s="412">
        <f>'Março 24'!AI15</f>
        <v>3427.1000000000004</v>
      </c>
      <c r="L34" s="412">
        <f>'Abril 24'!AH15</f>
        <v>3454.7000000000003</v>
      </c>
      <c r="M34" s="412">
        <f>'Maio 24'!AI15</f>
        <v>3344.1999999999994</v>
      </c>
      <c r="N34" s="412">
        <f>'Junho 24'!AH15</f>
        <v>3235.9</v>
      </c>
      <c r="O34" s="412">
        <f>'Julho 24'!AI15</f>
        <v>3147.1000000000004</v>
      </c>
      <c r="P34" s="412">
        <f>'Agosto 24'!AI15</f>
        <v>3643.1</v>
      </c>
      <c r="Q34" s="412">
        <f>'Setembro 24'!AH15</f>
        <v>3629.9999999999982</v>
      </c>
      <c r="R34" s="412">
        <f>'Outubro 24'!AI15</f>
        <v>3181.7999999999997</v>
      </c>
      <c r="S34" s="412">
        <f>'Novembro 24'!AH15</f>
        <v>3272.2000000000003</v>
      </c>
      <c r="T34" s="412">
        <f>'Dezembro 24'!AI15</f>
        <v>3448.4000000000005</v>
      </c>
      <c r="U34" s="413">
        <f>SUM(I34:T34)</f>
        <v>40930.700000000004</v>
      </c>
      <c r="V34" s="412">
        <f>SUM(I34:T34)</f>
        <v>40930.700000000004</v>
      </c>
      <c r="W34" s="402">
        <f>AVERAGE(I34:T34)</f>
        <v>3410.8916666666669</v>
      </c>
      <c r="X34" s="393">
        <f>W34*0.22</f>
        <v>750.39616666666677</v>
      </c>
    </row>
    <row r="35" spans="1:29" ht="10.95" customHeight="1" x14ac:dyDescent="0.3">
      <c r="B35" s="793"/>
      <c r="C35" s="884"/>
      <c r="D35" s="874"/>
      <c r="E35" s="887" t="s">
        <v>673</v>
      </c>
      <c r="F35" s="889">
        <f>F31/F27</f>
        <v>0.99793294594057869</v>
      </c>
      <c r="G35" s="780"/>
      <c r="H35" s="408" t="s">
        <v>673</v>
      </c>
      <c r="I35" s="423">
        <f>I34/I33</f>
        <v>0.77842711275255272</v>
      </c>
      <c r="J35" s="423">
        <f>J34/J33</f>
        <v>0.9066412213740459</v>
      </c>
      <c r="K35" s="423">
        <f>K34/K33</f>
        <v>0.83526687789422382</v>
      </c>
      <c r="L35" s="423">
        <f>L34/L33</f>
        <v>1.0365136513651365</v>
      </c>
      <c r="M35" s="423">
        <f>M34/M33</f>
        <v>0.90067330999192008</v>
      </c>
      <c r="N35" s="423">
        <f t="shared" ref="N35:V35" si="10">N34/N33</f>
        <v>0.98565336582394159</v>
      </c>
      <c r="O35" s="423">
        <f t="shared" si="10"/>
        <v>0.81913066111400323</v>
      </c>
      <c r="P35" s="423">
        <f t="shared" si="10"/>
        <v>0.94872395833333334</v>
      </c>
      <c r="Q35" s="423">
        <f t="shared" si="10"/>
        <v>0.93968418327724523</v>
      </c>
      <c r="R35" s="423">
        <f t="shared" si="10"/>
        <v>0.83075718015665789</v>
      </c>
      <c r="S35" s="423">
        <f t="shared" si="10"/>
        <v>0.97532041728763053</v>
      </c>
      <c r="T35" s="423">
        <f t="shared" si="10"/>
        <v>0.8202664129400572</v>
      </c>
      <c r="U35" s="423">
        <f t="shared" si="10"/>
        <v>0.89175581167345708</v>
      </c>
      <c r="V35" s="423">
        <f t="shared" si="10"/>
        <v>0.89175581167345708</v>
      </c>
    </row>
    <row r="36" spans="1:29" ht="10.95" customHeight="1" x14ac:dyDescent="0.3">
      <c r="B36" s="793"/>
      <c r="C36" s="884"/>
      <c r="D36" s="872" t="s">
        <v>20</v>
      </c>
      <c r="E36" s="887"/>
      <c r="F36" s="889"/>
      <c r="G36" s="784">
        <v>100</v>
      </c>
      <c r="H36" s="398" t="s">
        <v>705</v>
      </c>
      <c r="I36" s="399">
        <v>12700</v>
      </c>
      <c r="J36" s="399">
        <v>12790</v>
      </c>
      <c r="K36" s="399">
        <v>12600</v>
      </c>
      <c r="L36" s="399">
        <v>11591</v>
      </c>
      <c r="M36" s="399">
        <v>10790</v>
      </c>
      <c r="N36" s="399">
        <v>9638</v>
      </c>
      <c r="O36" s="399">
        <v>10109</v>
      </c>
      <c r="P36" s="399">
        <v>12566</v>
      </c>
      <c r="Q36" s="399">
        <v>11423</v>
      </c>
      <c r="R36" s="399">
        <v>11637</v>
      </c>
      <c r="S36" s="399">
        <v>10678</v>
      </c>
      <c r="T36" s="399">
        <v>12601</v>
      </c>
      <c r="U36" s="400">
        <f>SUM(I36:T36)</f>
        <v>139123</v>
      </c>
      <c r="V36" s="399">
        <f>SUM(I36:T36)</f>
        <v>139123</v>
      </c>
    </row>
    <row r="37" spans="1:29" ht="10.95" customHeight="1" x14ac:dyDescent="0.3">
      <c r="B37" s="793"/>
      <c r="C37" s="884"/>
      <c r="D37" s="873"/>
      <c r="E37" s="887"/>
      <c r="F37" s="889"/>
      <c r="G37" s="785"/>
      <c r="H37" s="398" t="s">
        <v>706</v>
      </c>
      <c r="I37" s="412">
        <f>'Janeiro 24'!AI16</f>
        <v>11543.4</v>
      </c>
      <c r="J37" s="412">
        <f>'Fevereiro 24'!AI16</f>
        <v>11699.100000000004</v>
      </c>
      <c r="K37" s="412">
        <f>'Março 24'!AI16</f>
        <v>10591.299999999997</v>
      </c>
      <c r="L37" s="412">
        <f>'Abril 24'!AH16</f>
        <v>12280.300000000001</v>
      </c>
      <c r="M37" s="412">
        <f>'Maio 24'!AI16</f>
        <v>12933.299999999997</v>
      </c>
      <c r="N37" s="412">
        <f>'Junho 24'!AH16</f>
        <v>12716.3</v>
      </c>
      <c r="O37" s="412">
        <f>'Julho 24'!AI16</f>
        <v>12174.099999999999</v>
      </c>
      <c r="P37" s="412">
        <f>'Agosto 24'!AI16</f>
        <v>13926.4</v>
      </c>
      <c r="Q37" s="412">
        <f>'Setembro 24'!AH16</f>
        <v>11260.8</v>
      </c>
      <c r="R37" s="412">
        <f>'Outubro 24'!AI16</f>
        <v>10826.900000000001</v>
      </c>
      <c r="S37" s="412">
        <f>'Novembro 24'!AH16</f>
        <v>10957.3</v>
      </c>
      <c r="T37" s="412">
        <f>'Dezembro 24'!AI16</f>
        <v>11363.600000000002</v>
      </c>
      <c r="U37" s="413">
        <f>SUM(I37:T37)</f>
        <v>142272.79999999999</v>
      </c>
      <c r="V37" s="412">
        <f>SUM(I37:T37)</f>
        <v>142272.79999999999</v>
      </c>
    </row>
    <row r="38" spans="1:29" ht="10.95" customHeight="1" x14ac:dyDescent="0.3">
      <c r="B38" s="794"/>
      <c r="C38" s="884"/>
      <c r="D38" s="874"/>
      <c r="E38" s="887"/>
      <c r="F38" s="889"/>
      <c r="G38" s="786"/>
      <c r="H38" s="408" t="s">
        <v>673</v>
      </c>
      <c r="I38" s="423">
        <f>I37/I36</f>
        <v>0.90892913385826768</v>
      </c>
      <c r="J38" s="423">
        <f>J37/J36</f>
        <v>0.91470680218921063</v>
      </c>
      <c r="K38" s="423">
        <f>K37/K36</f>
        <v>0.84057936507936493</v>
      </c>
      <c r="L38" s="423">
        <f>L37/L36</f>
        <v>1.0594685531878183</v>
      </c>
      <c r="M38" s="423">
        <f>M37/M36</f>
        <v>1.1986376274328079</v>
      </c>
      <c r="N38" s="423">
        <f t="shared" ref="N38:V38" si="11">N37/N36</f>
        <v>1.3193919900394271</v>
      </c>
      <c r="O38" s="423">
        <f t="shared" si="11"/>
        <v>1.2042833119002867</v>
      </c>
      <c r="P38" s="423">
        <f t="shared" si="11"/>
        <v>1.1082603851663217</v>
      </c>
      <c r="Q38" s="423">
        <f t="shared" si="11"/>
        <v>0.98580057778166852</v>
      </c>
      <c r="R38" s="423">
        <f t="shared" si="11"/>
        <v>0.93038583827446952</v>
      </c>
      <c r="S38" s="423">
        <f t="shared" si="11"/>
        <v>1.0261565836298931</v>
      </c>
      <c r="T38" s="423">
        <f t="shared" si="11"/>
        <v>0.90180144432981524</v>
      </c>
      <c r="U38" s="423">
        <f t="shared" si="11"/>
        <v>1.022640397346233</v>
      </c>
      <c r="V38" s="423">
        <f t="shared" si="11"/>
        <v>1.022640397346233</v>
      </c>
    </row>
    <row r="39" spans="1:29" ht="10.95" customHeight="1" x14ac:dyDescent="0.3">
      <c r="B39" s="751" t="s">
        <v>383</v>
      </c>
      <c r="C39" s="882" t="s">
        <v>1046</v>
      </c>
      <c r="D39" s="872" t="s">
        <v>22</v>
      </c>
      <c r="E39" s="872" t="s">
        <v>705</v>
      </c>
      <c r="F39" s="890">
        <f>U39+U42+U45+U48+U51+U54+U57+U60+U63+U66+U69+U72+U75</f>
        <v>2211216.4377000001</v>
      </c>
      <c r="G39" s="784">
        <v>110</v>
      </c>
      <c r="H39" s="398" t="s">
        <v>705</v>
      </c>
      <c r="I39" s="399">
        <v>12700</v>
      </c>
      <c r="J39" s="399">
        <v>12790</v>
      </c>
      <c r="K39" s="399">
        <v>12600</v>
      </c>
      <c r="L39" s="399">
        <v>11591</v>
      </c>
      <c r="M39" s="399">
        <v>10790</v>
      </c>
      <c r="N39" s="399">
        <v>9638</v>
      </c>
      <c r="O39" s="399">
        <v>10109</v>
      </c>
      <c r="P39" s="399">
        <v>12566</v>
      </c>
      <c r="Q39" s="399">
        <v>11685.728999999999</v>
      </c>
      <c r="R39" s="399">
        <v>11904.651000000002</v>
      </c>
      <c r="S39" s="399">
        <v>10923.593999999999</v>
      </c>
      <c r="T39" s="399">
        <v>12890.823</v>
      </c>
      <c r="U39" s="400">
        <f>SUM(I39:T39)</f>
        <v>140188.79699999999</v>
      </c>
      <c r="V39" s="399">
        <f>SUM(I39:T39)</f>
        <v>140188.79699999999</v>
      </c>
    </row>
    <row r="40" spans="1:29" ht="10.95" customHeight="1" x14ac:dyDescent="0.3">
      <c r="B40" s="793"/>
      <c r="C40" s="883"/>
      <c r="D40" s="873"/>
      <c r="E40" s="873"/>
      <c r="F40" s="873"/>
      <c r="G40" s="785"/>
      <c r="H40" s="398" t="s">
        <v>706</v>
      </c>
      <c r="I40" s="412">
        <f>'Janeiro 24'!AI17</f>
        <v>12191.599999999997</v>
      </c>
      <c r="J40" s="412">
        <f>'Fevereiro 24'!AI17</f>
        <v>11256.099999999999</v>
      </c>
      <c r="K40" s="412">
        <f>'Março 24'!AI17</f>
        <v>11201.400000000003</v>
      </c>
      <c r="L40" s="412">
        <f>'Abril 24'!AH17</f>
        <v>11851.4</v>
      </c>
      <c r="M40" s="412">
        <f>'Maio 24'!AI17</f>
        <v>11772.699999999999</v>
      </c>
      <c r="N40" s="412">
        <f>'Junho 24'!AH17</f>
        <v>11744.400000000001</v>
      </c>
      <c r="O40" s="412">
        <f>'Julho 24'!AI17</f>
        <v>11292.799999999997</v>
      </c>
      <c r="P40" s="412">
        <f>'Agosto 24'!AI17</f>
        <v>13246.5</v>
      </c>
      <c r="Q40" s="412">
        <f>'Setembro 24'!AH17</f>
        <v>13892.000000000002</v>
      </c>
      <c r="R40" s="412">
        <f>'Outubro 24'!AI17</f>
        <v>12194.5</v>
      </c>
      <c r="S40" s="412">
        <f>'Novembro 24'!AH17</f>
        <v>12266.599999999999</v>
      </c>
      <c r="T40" s="412">
        <f>'Dezembro 24'!AI17</f>
        <v>11614.500000000002</v>
      </c>
      <c r="U40" s="413">
        <f>SUM(I40:T40)</f>
        <v>144524.5</v>
      </c>
      <c r="V40" s="412">
        <f>SUM(I40:T40)</f>
        <v>144524.5</v>
      </c>
    </row>
    <row r="41" spans="1:29" ht="10.95" customHeight="1" x14ac:dyDescent="0.3">
      <c r="B41" s="793"/>
      <c r="C41" s="883"/>
      <c r="D41" s="874"/>
      <c r="E41" s="873"/>
      <c r="F41" s="873"/>
      <c r="G41" s="786"/>
      <c r="H41" s="408" t="s">
        <v>673</v>
      </c>
      <c r="I41" s="423">
        <f>I40/I39</f>
        <v>0.95996850393700761</v>
      </c>
      <c r="J41" s="423">
        <f>J40/J39</f>
        <v>0.88007036747458944</v>
      </c>
      <c r="K41" s="423">
        <f>K40/K39</f>
        <v>0.88900000000000023</v>
      </c>
      <c r="L41" s="423">
        <f>L40/L39</f>
        <v>1.0224657061513243</v>
      </c>
      <c r="M41" s="423">
        <f>M40/M39</f>
        <v>1.0910750695088043</v>
      </c>
      <c r="N41" s="423">
        <f t="shared" ref="N41:V41" si="12">N40/N39</f>
        <v>1.2185515667150864</v>
      </c>
      <c r="O41" s="423">
        <f t="shared" si="12"/>
        <v>1.1171035710752792</v>
      </c>
      <c r="P41" s="423">
        <f t="shared" si="12"/>
        <v>1.0541540665287283</v>
      </c>
      <c r="Q41" s="423">
        <f t="shared" si="12"/>
        <v>1.1888004590898866</v>
      </c>
      <c r="R41" s="423">
        <f t="shared" si="12"/>
        <v>1.0243475428217088</v>
      </c>
      <c r="S41" s="423">
        <f t="shared" si="12"/>
        <v>1.1229454335267313</v>
      </c>
      <c r="T41" s="423">
        <f t="shared" si="12"/>
        <v>0.9009897971603521</v>
      </c>
      <c r="U41" s="423">
        <f t="shared" si="12"/>
        <v>1.0309275997282437</v>
      </c>
      <c r="V41" s="423">
        <f t="shared" si="12"/>
        <v>1.0309275997282437</v>
      </c>
    </row>
    <row r="42" spans="1:29" ht="10.95" customHeight="1" x14ac:dyDescent="0.3">
      <c r="B42" s="793"/>
      <c r="C42" s="883"/>
      <c r="D42" s="872" t="s">
        <v>23</v>
      </c>
      <c r="E42" s="873"/>
      <c r="F42" s="873"/>
      <c r="G42" s="784">
        <v>110</v>
      </c>
      <c r="H42" s="398" t="s">
        <v>705</v>
      </c>
      <c r="I42" s="399">
        <v>12700</v>
      </c>
      <c r="J42" s="399">
        <v>12790</v>
      </c>
      <c r="K42" s="399">
        <v>12600</v>
      </c>
      <c r="L42" s="399">
        <v>11591</v>
      </c>
      <c r="M42" s="399">
        <v>10790</v>
      </c>
      <c r="N42" s="399">
        <v>9638</v>
      </c>
      <c r="O42" s="399">
        <v>10109</v>
      </c>
      <c r="P42" s="399">
        <v>12566</v>
      </c>
      <c r="Q42" s="399">
        <v>11685.728999999999</v>
      </c>
      <c r="R42" s="399">
        <v>11904.651000000002</v>
      </c>
      <c r="S42" s="399">
        <v>10923.593999999999</v>
      </c>
      <c r="T42" s="399">
        <v>12890.823</v>
      </c>
      <c r="U42" s="400">
        <f>SUM(I42:T42)</f>
        <v>140188.79699999999</v>
      </c>
      <c r="V42" s="399">
        <f>SUM(I42:T42)</f>
        <v>140188.79699999999</v>
      </c>
    </row>
    <row r="43" spans="1:29" ht="10.95" customHeight="1" x14ac:dyDescent="0.3">
      <c r="B43" s="793"/>
      <c r="C43" s="883"/>
      <c r="D43" s="873"/>
      <c r="E43" s="873"/>
      <c r="F43" s="873"/>
      <c r="G43" s="785"/>
      <c r="H43" s="398" t="s">
        <v>706</v>
      </c>
      <c r="I43" s="412">
        <f>'Janeiro 24'!AI18</f>
        <v>13016.699999999997</v>
      </c>
      <c r="J43" s="412">
        <f>'Fevereiro 24'!AI18</f>
        <v>11827.899999999998</v>
      </c>
      <c r="K43" s="412">
        <f>'Março 24'!AI18</f>
        <v>11928.3</v>
      </c>
      <c r="L43" s="412">
        <f>'Abril 24'!AH18</f>
        <v>12422.399999999998</v>
      </c>
      <c r="M43" s="412">
        <f>'Maio 24'!AI18</f>
        <v>12071.300000000001</v>
      </c>
      <c r="N43" s="412">
        <f>'Junho 24'!AH18</f>
        <v>11597.400000000001</v>
      </c>
      <c r="O43" s="412">
        <f>'Julho 24'!AI18</f>
        <v>11905.6</v>
      </c>
      <c r="P43" s="412">
        <f>'Agosto 24'!AI18</f>
        <v>12625.6</v>
      </c>
      <c r="Q43" s="412">
        <f>'Setembro 24'!AH18</f>
        <v>13707.900000000003</v>
      </c>
      <c r="R43" s="412">
        <f>'Outubro 24'!AI18</f>
        <v>12178.8</v>
      </c>
      <c r="S43" s="412">
        <f>'Novembro 24'!AH18</f>
        <v>12787.699999999999</v>
      </c>
      <c r="T43" s="412">
        <f>'Dezembro 24'!AI18</f>
        <v>12101.600000000002</v>
      </c>
      <c r="U43" s="413">
        <f>SUM(I43:T43)</f>
        <v>148171.20000000004</v>
      </c>
      <c r="V43" s="412">
        <f>SUM(I43:T43)</f>
        <v>148171.20000000004</v>
      </c>
    </row>
    <row r="44" spans="1:29" ht="10.95" customHeight="1" x14ac:dyDescent="0.3">
      <c r="B44" s="793"/>
      <c r="C44" s="883"/>
      <c r="D44" s="874"/>
      <c r="E44" s="873"/>
      <c r="F44" s="873"/>
      <c r="G44" s="786"/>
      <c r="H44" s="408" t="s">
        <v>673</v>
      </c>
      <c r="I44" s="423">
        <f>I43/I42</f>
        <v>1.0249370078740154</v>
      </c>
      <c r="J44" s="423">
        <f>J43/J42</f>
        <v>0.92477716966379964</v>
      </c>
      <c r="K44" s="423">
        <f>K43/K42</f>
        <v>0.94669047619047608</v>
      </c>
      <c r="L44" s="423">
        <f>L43/L42</f>
        <v>1.0717280648779224</v>
      </c>
      <c r="M44" s="423">
        <f>M43/M42</f>
        <v>1.118748841519926</v>
      </c>
      <c r="N44" s="423">
        <f t="shared" ref="N44:V44" si="13">N43/N42</f>
        <v>1.2032994397177839</v>
      </c>
      <c r="O44" s="423">
        <f t="shared" si="13"/>
        <v>1.1777228212483926</v>
      </c>
      <c r="P44" s="423">
        <f t="shared" si="13"/>
        <v>1.0047429571860576</v>
      </c>
      <c r="Q44" s="423">
        <f t="shared" si="13"/>
        <v>1.1730462001985502</v>
      </c>
      <c r="R44" s="423">
        <f t="shared" si="13"/>
        <v>1.0230287305356536</v>
      </c>
      <c r="S44" s="423">
        <f t="shared" si="13"/>
        <v>1.1706495133378263</v>
      </c>
      <c r="T44" s="423">
        <f t="shared" si="13"/>
        <v>0.93877636827377131</v>
      </c>
      <c r="U44" s="423">
        <f t="shared" si="13"/>
        <v>1.0569403773398529</v>
      </c>
      <c r="V44" s="423">
        <f t="shared" si="13"/>
        <v>1.0569403773398529</v>
      </c>
    </row>
    <row r="45" spans="1:29" ht="10.95" customHeight="1" x14ac:dyDescent="0.3">
      <c r="B45" s="793"/>
      <c r="C45" s="883"/>
      <c r="D45" s="872" t="s">
        <v>24</v>
      </c>
      <c r="E45" s="873"/>
      <c r="F45" s="873"/>
      <c r="G45" s="778">
        <v>80</v>
      </c>
      <c r="H45" s="398" t="s">
        <v>705</v>
      </c>
      <c r="I45" s="399">
        <v>12311</v>
      </c>
      <c r="J45" s="399">
        <v>9794</v>
      </c>
      <c r="K45" s="399">
        <v>10144</v>
      </c>
      <c r="L45" s="399">
        <v>10481</v>
      </c>
      <c r="M45" s="399">
        <v>10194</v>
      </c>
      <c r="N45" s="399">
        <v>9735</v>
      </c>
      <c r="O45" s="399">
        <v>10355</v>
      </c>
      <c r="P45" s="399">
        <v>10613</v>
      </c>
      <c r="Q45" s="399">
        <v>9684</v>
      </c>
      <c r="R45" s="399">
        <v>10483</v>
      </c>
      <c r="S45" s="399">
        <v>9798</v>
      </c>
      <c r="T45" s="399">
        <v>11637</v>
      </c>
      <c r="U45" s="400">
        <f>SUM(I45:T45)</f>
        <v>125229</v>
      </c>
      <c r="V45" s="399">
        <f>SUM(I45:T45)</f>
        <v>125229</v>
      </c>
    </row>
    <row r="46" spans="1:29" ht="10.95" customHeight="1" x14ac:dyDescent="0.3">
      <c r="B46" s="793"/>
      <c r="C46" s="883"/>
      <c r="D46" s="873"/>
      <c r="E46" s="873"/>
      <c r="F46" s="873"/>
      <c r="G46" s="779"/>
      <c r="H46" s="398" t="s">
        <v>706</v>
      </c>
      <c r="I46" s="412">
        <f>'Janeiro 24'!AI19</f>
        <v>10336.4</v>
      </c>
      <c r="J46" s="412">
        <f>'Fevereiro 24'!AI19</f>
        <v>10309.1</v>
      </c>
      <c r="K46" s="412">
        <f>'Março 24'!AI19</f>
        <v>10363.6</v>
      </c>
      <c r="L46" s="412">
        <f>'Abril 24'!AH19</f>
        <v>10739.599999999999</v>
      </c>
      <c r="M46" s="412">
        <f>'Maio 24'!AI19</f>
        <v>9971.6</v>
      </c>
      <c r="N46" s="412">
        <f>'Junho 24'!AH19</f>
        <v>9922.8999999999978</v>
      </c>
      <c r="O46" s="412">
        <f>'Julho 24'!AI19</f>
        <v>9441.0000000000018</v>
      </c>
      <c r="P46" s="412">
        <f>'Agosto 24'!AI19</f>
        <v>10931.7</v>
      </c>
      <c r="Q46" s="412">
        <f>'Setembro 24'!AH19</f>
        <v>10812.299999999997</v>
      </c>
      <c r="R46" s="412">
        <f>'Outubro 24'!AI19</f>
        <v>9829.6</v>
      </c>
      <c r="S46" s="412">
        <f>'Novembro 24'!AH19</f>
        <v>10377.299999999999</v>
      </c>
      <c r="T46" s="412">
        <f>'Dezembro 24'!AI19</f>
        <v>9137.5</v>
      </c>
      <c r="U46" s="413">
        <f>SUM(I46:T46)</f>
        <v>122172.6</v>
      </c>
      <c r="V46" s="412">
        <f>SUM(I46:T46)</f>
        <v>122172.6</v>
      </c>
    </row>
    <row r="47" spans="1:29" ht="10.95" customHeight="1" x14ac:dyDescent="0.3">
      <c r="B47" s="793"/>
      <c r="C47" s="883"/>
      <c r="D47" s="874"/>
      <c r="E47" s="873"/>
      <c r="F47" s="873"/>
      <c r="G47" s="780"/>
      <c r="H47" s="408" t="s">
        <v>673</v>
      </c>
      <c r="I47" s="423">
        <f>I46/I45</f>
        <v>0.83960685565754201</v>
      </c>
      <c r="J47" s="423">
        <f>J46/J45</f>
        <v>1.0525934245456403</v>
      </c>
      <c r="K47" s="423">
        <f>K46/K45</f>
        <v>1.0216482649842271</v>
      </c>
      <c r="L47" s="423">
        <f>L46/L45</f>
        <v>1.0246732182043696</v>
      </c>
      <c r="M47" s="423">
        <f>M46/M45</f>
        <v>0.97818324504610554</v>
      </c>
      <c r="N47" s="423">
        <f t="shared" ref="N47:V47" si="14">N46/N45</f>
        <v>1.0193014894709809</v>
      </c>
      <c r="O47" s="423">
        <f t="shared" si="14"/>
        <v>0.91173346209560613</v>
      </c>
      <c r="P47" s="423">
        <f t="shared" si="14"/>
        <v>1.0300292094600962</v>
      </c>
      <c r="Q47" s="423">
        <f t="shared" si="14"/>
        <v>1.116511771995043</v>
      </c>
      <c r="R47" s="423">
        <f t="shared" si="14"/>
        <v>0.93767051416579228</v>
      </c>
      <c r="S47" s="423">
        <f t="shared" si="14"/>
        <v>1.0591243110838946</v>
      </c>
      <c r="T47" s="423">
        <f t="shared" si="14"/>
        <v>0.78521096502535015</v>
      </c>
      <c r="U47" s="423">
        <f t="shared" si="14"/>
        <v>0.97559351268476158</v>
      </c>
      <c r="V47" s="423">
        <f t="shared" si="14"/>
        <v>0.97559351268476158</v>
      </c>
    </row>
    <row r="48" spans="1:29" s="401" customFormat="1" ht="10.95" customHeight="1" x14ac:dyDescent="0.3">
      <c r="A48"/>
      <c r="B48" s="793"/>
      <c r="C48" s="883"/>
      <c r="D48" s="872" t="s">
        <v>25</v>
      </c>
      <c r="E48" s="873"/>
      <c r="F48" s="873"/>
      <c r="G48" s="784">
        <v>100</v>
      </c>
      <c r="H48" s="398" t="s">
        <v>705</v>
      </c>
      <c r="I48" s="399">
        <v>12700</v>
      </c>
      <c r="J48" s="399">
        <v>12790</v>
      </c>
      <c r="K48" s="399">
        <v>12600</v>
      </c>
      <c r="L48" s="399">
        <v>11591</v>
      </c>
      <c r="M48" s="399">
        <v>10790</v>
      </c>
      <c r="N48" s="399">
        <v>9638</v>
      </c>
      <c r="O48" s="399">
        <v>10109</v>
      </c>
      <c r="P48" s="399">
        <v>12566</v>
      </c>
      <c r="Q48" s="399">
        <v>11423</v>
      </c>
      <c r="R48" s="399">
        <v>11637</v>
      </c>
      <c r="S48" s="399">
        <v>10678</v>
      </c>
      <c r="T48" s="399">
        <v>12601</v>
      </c>
      <c r="U48" s="400">
        <f>SUM(I48:T48)</f>
        <v>139123</v>
      </c>
      <c r="V48" s="399">
        <f>SUM(I48:T48)</f>
        <v>139123</v>
      </c>
      <c r="W48" s="393"/>
      <c r="X48" s="393"/>
      <c r="Y48" s="393"/>
      <c r="Z48" s="393"/>
      <c r="AA48" s="393"/>
      <c r="AB48" s="393"/>
      <c r="AC48" s="393"/>
    </row>
    <row r="49" spans="1:29" s="401" customFormat="1" ht="10.95" customHeight="1" x14ac:dyDescent="0.3">
      <c r="A49"/>
      <c r="B49" s="793"/>
      <c r="C49" s="883"/>
      <c r="D49" s="873"/>
      <c r="E49" s="873"/>
      <c r="F49" s="873"/>
      <c r="G49" s="785"/>
      <c r="H49" s="398" t="s">
        <v>706</v>
      </c>
      <c r="I49" s="412">
        <f>'Janeiro 24'!AI20</f>
        <v>12830.799999999997</v>
      </c>
      <c r="J49" s="412">
        <f>'Fevereiro 24'!AI20</f>
        <v>13228.199999999999</v>
      </c>
      <c r="K49" s="412">
        <f>'Março 24'!AI20</f>
        <v>13207.999999999998</v>
      </c>
      <c r="L49" s="412">
        <f>'Abril 24'!AH20</f>
        <v>13809.699999999999</v>
      </c>
      <c r="M49" s="412">
        <f>'Maio 24'!AI20</f>
        <v>13404.199999999999</v>
      </c>
      <c r="N49" s="412">
        <f>'Junho 24'!AH20</f>
        <v>13440.299999999997</v>
      </c>
      <c r="O49" s="412">
        <f>'Julho 24'!AI20</f>
        <v>10248.699999999999</v>
      </c>
      <c r="P49" s="412">
        <f>'Agosto 24'!AI20</f>
        <v>14035.300000000001</v>
      </c>
      <c r="Q49" s="412">
        <f>'Setembro 24'!AH20</f>
        <v>13811.22</v>
      </c>
      <c r="R49" s="412">
        <f>'Outubro 24'!AI20</f>
        <v>12543.2</v>
      </c>
      <c r="S49" s="412">
        <f>'Novembro 24'!AH20</f>
        <v>12742.3</v>
      </c>
      <c r="T49" s="412">
        <f>'Dezembro 24'!AI20</f>
        <v>11875.500000000002</v>
      </c>
      <c r="U49" s="413">
        <f>SUM(I49:T49)</f>
        <v>155177.41999999998</v>
      </c>
      <c r="V49" s="412">
        <f>SUM(I49:T49)</f>
        <v>155177.41999999998</v>
      </c>
      <c r="W49" s="393"/>
      <c r="X49" s="393"/>
      <c r="Y49" s="393"/>
      <c r="Z49" s="393"/>
      <c r="AA49" s="393"/>
      <c r="AB49" s="393"/>
      <c r="AC49" s="393"/>
    </row>
    <row r="50" spans="1:29" s="401" customFormat="1" ht="10.95" customHeight="1" x14ac:dyDescent="0.3">
      <c r="A50"/>
      <c r="B50" s="793"/>
      <c r="C50" s="883"/>
      <c r="D50" s="874"/>
      <c r="E50" s="874"/>
      <c r="F50" s="874"/>
      <c r="G50" s="786"/>
      <c r="H50" s="408" t="s">
        <v>673</v>
      </c>
      <c r="I50" s="423">
        <f t="shared" ref="I50:N50" si="15">I49/I48</f>
        <v>1.0102992125984249</v>
      </c>
      <c r="J50" s="423">
        <f t="shared" si="15"/>
        <v>1.0342611415168099</v>
      </c>
      <c r="K50" s="423">
        <f t="shared" si="15"/>
        <v>1.0482539682539682</v>
      </c>
      <c r="L50" s="423">
        <f t="shared" si="15"/>
        <v>1.1914157536019325</v>
      </c>
      <c r="M50" s="423">
        <f t="shared" si="15"/>
        <v>1.2422798887859128</v>
      </c>
      <c r="N50" s="423">
        <f t="shared" si="15"/>
        <v>1.3945113094002903</v>
      </c>
      <c r="O50" s="423">
        <f t="shared" ref="O50:V50" si="16">O49/O48</f>
        <v>1.0138193688792165</v>
      </c>
      <c r="P50" s="423">
        <f t="shared" si="16"/>
        <v>1.1169266274072895</v>
      </c>
      <c r="Q50" s="423">
        <f t="shared" si="16"/>
        <v>1.2090711721964458</v>
      </c>
      <c r="R50" s="423">
        <f t="shared" si="16"/>
        <v>1.0778723038583828</v>
      </c>
      <c r="S50" s="423">
        <f t="shared" si="16"/>
        <v>1.1933227196104139</v>
      </c>
      <c r="T50" s="423">
        <f t="shared" si="16"/>
        <v>0.94242520434886135</v>
      </c>
      <c r="U50" s="423">
        <f t="shared" si="16"/>
        <v>1.1153973102937687</v>
      </c>
      <c r="V50" s="423">
        <f t="shared" si="16"/>
        <v>1.1153973102937687</v>
      </c>
      <c r="W50" s="393"/>
      <c r="X50" s="393"/>
      <c r="Y50" s="393"/>
      <c r="Z50" s="393"/>
      <c r="AA50" s="393"/>
      <c r="AB50" s="393"/>
      <c r="AC50" s="393"/>
    </row>
    <row r="51" spans="1:29" ht="10.95" customHeight="1" x14ac:dyDescent="0.3">
      <c r="B51" s="793"/>
      <c r="C51" s="883"/>
      <c r="D51" s="872" t="s">
        <v>26</v>
      </c>
      <c r="E51" s="887" t="s">
        <v>706</v>
      </c>
      <c r="F51" s="891">
        <f>U40+U43+U46+U49+U52+U55+U58+U61+U64+U67+U70+U73+U76</f>
        <v>2222040.7199999997</v>
      </c>
      <c r="G51" s="784">
        <v>100</v>
      </c>
      <c r="H51" s="398" t="s">
        <v>705</v>
      </c>
      <c r="I51" s="399">
        <v>12700</v>
      </c>
      <c r="J51" s="399">
        <v>12790</v>
      </c>
      <c r="K51" s="399">
        <v>12600</v>
      </c>
      <c r="L51" s="399">
        <v>11591</v>
      </c>
      <c r="M51" s="399">
        <v>10790</v>
      </c>
      <c r="N51" s="399">
        <v>9638</v>
      </c>
      <c r="O51" s="399">
        <v>10109</v>
      </c>
      <c r="P51" s="399">
        <v>12566</v>
      </c>
      <c r="Q51" s="399">
        <v>11423</v>
      </c>
      <c r="R51" s="399">
        <v>11637</v>
      </c>
      <c r="S51" s="399">
        <v>10678</v>
      </c>
      <c r="T51" s="399">
        <v>12601</v>
      </c>
      <c r="U51" s="400">
        <f>SUM(I51:T51)</f>
        <v>139123</v>
      </c>
      <c r="V51" s="399">
        <f>SUM(I51:T51)</f>
        <v>139123</v>
      </c>
    </row>
    <row r="52" spans="1:29" ht="10.95" customHeight="1" x14ac:dyDescent="0.3">
      <c r="B52" s="793"/>
      <c r="C52" s="883"/>
      <c r="D52" s="873"/>
      <c r="E52" s="887"/>
      <c r="F52" s="887"/>
      <c r="G52" s="785"/>
      <c r="H52" s="398" t="s">
        <v>706</v>
      </c>
      <c r="I52" s="412">
        <f>'Janeiro 24'!AI21</f>
        <v>7763.6000000000013</v>
      </c>
      <c r="J52" s="412">
        <f>'Fevereiro 24'!AI21</f>
        <v>5304.8999999999987</v>
      </c>
      <c r="K52" s="412">
        <f>'Março 24'!AI21</f>
        <v>10698.199999999997</v>
      </c>
      <c r="L52" s="412">
        <f>'Abril 24'!AH21</f>
        <v>11657.900000000001</v>
      </c>
      <c r="M52" s="412">
        <f>'Maio 24'!AI21</f>
        <v>11080.100000000002</v>
      </c>
      <c r="N52" s="412">
        <f>'Junho 24'!AH21</f>
        <v>9835.4000000000015</v>
      </c>
      <c r="O52" s="412">
        <f>'Julho 24'!AI21</f>
        <v>9099.3000000000011</v>
      </c>
      <c r="P52" s="412">
        <f>'Agosto 24'!AI21</f>
        <v>10489.800000000001</v>
      </c>
      <c r="Q52" s="412">
        <f>'Setembro 24'!AH21</f>
        <v>11063.3</v>
      </c>
      <c r="R52" s="412">
        <f>'Outubro 24'!AI21</f>
        <v>10902.8</v>
      </c>
      <c r="S52" s="412">
        <f>'Novembro 24'!AH21</f>
        <v>10661.800000000003</v>
      </c>
      <c r="T52" s="412">
        <f>'Dezembro 24'!AI21</f>
        <v>9784.5000000000018</v>
      </c>
      <c r="U52" s="413">
        <f>SUM(I52:T52)</f>
        <v>118341.6</v>
      </c>
      <c r="V52" s="412">
        <f>SUM(I52:T52)</f>
        <v>118341.6</v>
      </c>
    </row>
    <row r="53" spans="1:29" ht="10.95" customHeight="1" x14ac:dyDescent="0.3">
      <c r="B53" s="793"/>
      <c r="C53" s="883"/>
      <c r="D53" s="874"/>
      <c r="E53" s="887"/>
      <c r="F53" s="887"/>
      <c r="G53" s="786"/>
      <c r="H53" s="408" t="s">
        <v>673</v>
      </c>
      <c r="I53" s="423">
        <f>I52/I51</f>
        <v>0.61130708661417332</v>
      </c>
      <c r="J53" s="423">
        <f>J52/J51</f>
        <v>0.41476935105551199</v>
      </c>
      <c r="K53" s="423">
        <f>K52/K51</f>
        <v>0.84906349206349185</v>
      </c>
      <c r="L53" s="423">
        <f>L52/L51</f>
        <v>1.0057717194374947</v>
      </c>
      <c r="M53" s="423">
        <f>M52/M51</f>
        <v>1.0268860055607045</v>
      </c>
      <c r="N53" s="423">
        <f t="shared" ref="N53:V53" si="17">N52/N51</f>
        <v>1.0204814276820919</v>
      </c>
      <c r="O53" s="423">
        <f t="shared" si="17"/>
        <v>0.90011870610347222</v>
      </c>
      <c r="P53" s="423">
        <f t="shared" si="17"/>
        <v>0.83477638070985205</v>
      </c>
      <c r="Q53" s="423">
        <f t="shared" si="17"/>
        <v>0.96851089906329324</v>
      </c>
      <c r="R53" s="423">
        <f t="shared" si="17"/>
        <v>0.93690813783621207</v>
      </c>
      <c r="S53" s="423">
        <f t="shared" si="17"/>
        <v>0.99848286195916869</v>
      </c>
      <c r="T53" s="423">
        <f t="shared" si="17"/>
        <v>0.776485993175145</v>
      </c>
      <c r="U53" s="423">
        <f t="shared" si="17"/>
        <v>0.85062570531112758</v>
      </c>
      <c r="V53" s="423">
        <f t="shared" si="17"/>
        <v>0.85062570531112758</v>
      </c>
    </row>
    <row r="54" spans="1:29" ht="10.95" customHeight="1" x14ac:dyDescent="0.3">
      <c r="B54" s="793"/>
      <c r="C54" s="883"/>
      <c r="D54" s="872" t="s">
        <v>28</v>
      </c>
      <c r="E54" s="887"/>
      <c r="F54" s="887"/>
      <c r="G54" s="787">
        <v>110</v>
      </c>
      <c r="H54" s="398" t="s">
        <v>705</v>
      </c>
      <c r="I54" s="399">
        <v>0</v>
      </c>
      <c r="J54" s="399">
        <v>13084.17</v>
      </c>
      <c r="K54" s="399">
        <v>12889.800000000001</v>
      </c>
      <c r="L54" s="399">
        <v>11857.593000000001</v>
      </c>
      <c r="M54" s="399">
        <v>11038.17</v>
      </c>
      <c r="N54" s="399">
        <v>9859.6739999999991</v>
      </c>
      <c r="O54" s="399">
        <v>10341.507</v>
      </c>
      <c r="P54" s="399">
        <v>12855.018000000002</v>
      </c>
      <c r="Q54" s="399">
        <v>11685.728999999999</v>
      </c>
      <c r="R54" s="399">
        <v>11904.651000000002</v>
      </c>
      <c r="S54" s="399">
        <v>10923.593999999999</v>
      </c>
      <c r="T54" s="399">
        <v>12890.823</v>
      </c>
      <c r="U54" s="400">
        <f>SUM(I54:T54)</f>
        <v>129330.72899999999</v>
      </c>
      <c r="V54" s="399">
        <f>SUM(I54:T54)</f>
        <v>129330.72899999999</v>
      </c>
    </row>
    <row r="55" spans="1:29" ht="10.95" customHeight="1" x14ac:dyDescent="0.3">
      <c r="B55" s="793"/>
      <c r="C55" s="883"/>
      <c r="D55" s="873"/>
      <c r="E55" s="887"/>
      <c r="F55" s="887"/>
      <c r="G55" s="788"/>
      <c r="H55" s="398" t="s">
        <v>706</v>
      </c>
      <c r="I55" s="412">
        <f>'Janeiro 24'!AI22</f>
        <v>14594.300000000001</v>
      </c>
      <c r="J55" s="412">
        <f>'Fevereiro 24'!AI22</f>
        <v>14592.199999999999</v>
      </c>
      <c r="K55" s="412">
        <f>'Março 24'!AI22</f>
        <v>13245.199999999997</v>
      </c>
      <c r="L55" s="412">
        <f>'Abril 24'!AH22</f>
        <v>15089.9</v>
      </c>
      <c r="M55" s="412">
        <f>'Maio 24'!AI22</f>
        <v>14365</v>
      </c>
      <c r="N55" s="412">
        <f>'Junho 24'!AH22</f>
        <v>13321.300000000001</v>
      </c>
      <c r="O55" s="412">
        <f>'Julho 24'!AI22</f>
        <v>12420.9</v>
      </c>
      <c r="P55" s="412">
        <f>'Agosto 24'!AI22</f>
        <v>13420.300000000003</v>
      </c>
      <c r="Q55" s="412">
        <f>'Setembro 24'!AH22</f>
        <v>13948.299999999997</v>
      </c>
      <c r="R55" s="412">
        <f>'Outubro 24'!AI22</f>
        <v>12467</v>
      </c>
      <c r="S55" s="412">
        <f>'Novembro 24'!AH22</f>
        <v>10066.600000000002</v>
      </c>
      <c r="T55" s="412">
        <f>'Dezembro 24'!AI22</f>
        <v>12790.199999999999</v>
      </c>
      <c r="U55" s="413">
        <f>SUM(I55:T55)</f>
        <v>160321.20000000004</v>
      </c>
      <c r="V55" s="412">
        <f>SUM(I55:T55)</f>
        <v>160321.20000000004</v>
      </c>
    </row>
    <row r="56" spans="1:29" ht="10.95" customHeight="1" x14ac:dyDescent="0.3">
      <c r="B56" s="793"/>
      <c r="C56" s="883"/>
      <c r="D56" s="874"/>
      <c r="E56" s="887"/>
      <c r="F56" s="887"/>
      <c r="G56" s="789"/>
      <c r="H56" s="408" t="s">
        <v>673</v>
      </c>
      <c r="I56" s="423" t="e">
        <f>I55/I54</f>
        <v>#DIV/0!</v>
      </c>
      <c r="J56" s="423">
        <f>J55/J54</f>
        <v>1.115256068974952</v>
      </c>
      <c r="K56" s="423">
        <f>K55/K54</f>
        <v>1.0275721888625111</v>
      </c>
      <c r="L56" s="423">
        <f>L55/L54</f>
        <v>1.272593856105535</v>
      </c>
      <c r="M56" s="423">
        <f>M55/M54</f>
        <v>1.3013932563096962</v>
      </c>
      <c r="N56" s="423">
        <f t="shared" ref="N56:V56" si="18">N55/N54</f>
        <v>1.3510892956501404</v>
      </c>
      <c r="O56" s="423">
        <f t="shared" si="18"/>
        <v>1.2010725322721341</v>
      </c>
      <c r="P56" s="423">
        <f t="shared" si="18"/>
        <v>1.0439736451555339</v>
      </c>
      <c r="Q56" s="423">
        <f t="shared" si="18"/>
        <v>1.1936183014341679</v>
      </c>
      <c r="R56" s="423">
        <f t="shared" si="18"/>
        <v>1.0472377560669355</v>
      </c>
      <c r="S56" s="423">
        <f t="shared" si="18"/>
        <v>0.92154651665010645</v>
      </c>
      <c r="T56" s="423">
        <f t="shared" si="18"/>
        <v>0.99219421444232059</v>
      </c>
      <c r="U56" s="423">
        <f t="shared" si="18"/>
        <v>1.2396218689836662</v>
      </c>
      <c r="V56" s="423">
        <f t="shared" si="18"/>
        <v>1.2396218689836662</v>
      </c>
    </row>
    <row r="57" spans="1:29" ht="10.95" customHeight="1" x14ac:dyDescent="0.3">
      <c r="B57" s="793"/>
      <c r="C57" s="883"/>
      <c r="D57" s="872" t="s">
        <v>29</v>
      </c>
      <c r="E57" s="887"/>
      <c r="F57" s="887"/>
      <c r="G57" s="784">
        <v>100</v>
      </c>
      <c r="H57" s="398" t="s">
        <v>705</v>
      </c>
      <c r="I57" s="399">
        <v>12700</v>
      </c>
      <c r="J57" s="399">
        <v>12790</v>
      </c>
      <c r="K57" s="399">
        <v>12600</v>
      </c>
      <c r="L57" s="399">
        <v>11591</v>
      </c>
      <c r="M57" s="399">
        <v>10790</v>
      </c>
      <c r="N57" s="399">
        <v>9638</v>
      </c>
      <c r="O57" s="399">
        <v>10109</v>
      </c>
      <c r="P57" s="399">
        <v>12566</v>
      </c>
      <c r="Q57" s="399">
        <v>11423</v>
      </c>
      <c r="R57" s="399">
        <v>11637</v>
      </c>
      <c r="S57" s="399">
        <v>10678</v>
      </c>
      <c r="T57" s="399">
        <v>12601</v>
      </c>
      <c r="U57" s="400">
        <f>SUM(I57:T57)</f>
        <v>139123</v>
      </c>
      <c r="V57" s="399">
        <f>SUM(I57:T57)</f>
        <v>139123</v>
      </c>
    </row>
    <row r="58" spans="1:29" ht="10.95" customHeight="1" x14ac:dyDescent="0.3">
      <c r="B58" s="793"/>
      <c r="C58" s="883"/>
      <c r="D58" s="873"/>
      <c r="E58" s="887"/>
      <c r="F58" s="887"/>
      <c r="G58" s="785"/>
      <c r="H58" s="398" t="s">
        <v>706</v>
      </c>
      <c r="I58" s="412">
        <f>'Janeiro 24'!AI23</f>
        <v>12858.199999999999</v>
      </c>
      <c r="J58" s="412">
        <f>'Fevereiro 24'!AI23</f>
        <v>12416.000000000004</v>
      </c>
      <c r="K58" s="412">
        <f>'Março 24'!AI23</f>
        <v>11679.900000000003</v>
      </c>
      <c r="L58" s="412">
        <f>'Abril 24'!AH23</f>
        <v>12909.699999999999</v>
      </c>
      <c r="M58" s="412">
        <f>'Maio 24'!AI23</f>
        <v>12215.3</v>
      </c>
      <c r="N58" s="412">
        <f>'Junho 24'!AH23</f>
        <v>11807.100000000004</v>
      </c>
      <c r="O58" s="412">
        <f>'Julho 24'!AI23</f>
        <v>10861.099999999999</v>
      </c>
      <c r="P58" s="412">
        <f>'Agosto 24'!AI23</f>
        <v>12189.599999999999</v>
      </c>
      <c r="Q58" s="412">
        <f>'Setembro 24'!AH23</f>
        <v>12442.300000000001</v>
      </c>
      <c r="R58" s="412">
        <f>'Outubro 24'!AI23</f>
        <v>11233.100000000002</v>
      </c>
      <c r="S58" s="412">
        <f>'Novembro 24'!AH23</f>
        <v>11098</v>
      </c>
      <c r="T58" s="412">
        <f>'Dezembro 24'!AI23</f>
        <v>11564.8</v>
      </c>
      <c r="U58" s="413">
        <f>SUM(I58:T58)</f>
        <v>143275.10000000003</v>
      </c>
      <c r="V58" s="412">
        <f>SUM(I58:T58)</f>
        <v>143275.10000000003</v>
      </c>
    </row>
    <row r="59" spans="1:29" ht="10.95" customHeight="1" x14ac:dyDescent="0.3">
      <c r="B59" s="793"/>
      <c r="C59" s="883"/>
      <c r="D59" s="874"/>
      <c r="E59" s="887"/>
      <c r="F59" s="887"/>
      <c r="G59" s="786"/>
      <c r="H59" s="408" t="s">
        <v>673</v>
      </c>
      <c r="I59" s="423">
        <f>I58/I57</f>
        <v>1.0124566929133858</v>
      </c>
      <c r="J59" s="423">
        <f>J58/J57</f>
        <v>0.97075840500390964</v>
      </c>
      <c r="K59" s="423">
        <f>K58/K57</f>
        <v>0.92697619047619073</v>
      </c>
      <c r="L59" s="423">
        <f>L58/L57</f>
        <v>1.1137693037701664</v>
      </c>
      <c r="M59" s="423">
        <f>M58/M57</f>
        <v>1.1320945319740501</v>
      </c>
      <c r="N59" s="423">
        <f t="shared" ref="N59:V59" si="19">N58/N57</f>
        <v>1.2250570657812829</v>
      </c>
      <c r="O59" s="423">
        <f t="shared" si="19"/>
        <v>1.074399050351172</v>
      </c>
      <c r="P59" s="423">
        <f t="shared" si="19"/>
        <v>0.97004615629476354</v>
      </c>
      <c r="Q59" s="423">
        <f t="shared" si="19"/>
        <v>1.0892322507222272</v>
      </c>
      <c r="R59" s="423">
        <f t="shared" si="19"/>
        <v>0.96529174185786737</v>
      </c>
      <c r="S59" s="423">
        <f t="shared" si="19"/>
        <v>1.039333208466005</v>
      </c>
      <c r="T59" s="423">
        <f t="shared" si="19"/>
        <v>0.91776843107689865</v>
      </c>
      <c r="U59" s="423">
        <f t="shared" si="19"/>
        <v>1.029844813582226</v>
      </c>
      <c r="V59" s="423">
        <f t="shared" si="19"/>
        <v>1.029844813582226</v>
      </c>
      <c r="W59" s="456" t="s">
        <v>843</v>
      </c>
    </row>
    <row r="60" spans="1:29" ht="10.95" customHeight="1" x14ac:dyDescent="0.3">
      <c r="B60" s="793"/>
      <c r="C60" s="883"/>
      <c r="D60" s="872" t="s">
        <v>30</v>
      </c>
      <c r="E60" s="887"/>
      <c r="F60" s="887"/>
      <c r="G60" s="781">
        <v>395</v>
      </c>
      <c r="H60" s="398" t="s">
        <v>705</v>
      </c>
      <c r="I60" s="399">
        <v>49844.959999999999</v>
      </c>
      <c r="J60" s="399">
        <v>50198.192000000003</v>
      </c>
      <c r="K60" s="399">
        <v>49452.480000000003</v>
      </c>
      <c r="L60" s="399">
        <v>45492.356800000001</v>
      </c>
      <c r="M60" s="399">
        <v>42348.591999999997</v>
      </c>
      <c r="N60" s="399">
        <v>37827.222400000006</v>
      </c>
      <c r="O60" s="399">
        <v>39675.803200000002</v>
      </c>
      <c r="P60" s="399">
        <v>49319.036800000002</v>
      </c>
      <c r="Q60" s="399">
        <v>44832.990400000002</v>
      </c>
      <c r="R60" s="399">
        <v>45672.897599999997</v>
      </c>
      <c r="S60" s="399">
        <v>41909.0144</v>
      </c>
      <c r="T60" s="399">
        <v>49456.404799999997</v>
      </c>
      <c r="U60" s="400">
        <f>SUM(I60:T60)</f>
        <v>546029.95040000009</v>
      </c>
      <c r="V60" s="399">
        <f>SUM(I60:T60)</f>
        <v>546029.95040000009</v>
      </c>
      <c r="W60" s="625">
        <f>AVERAGE(I60:T60)</f>
        <v>45502.495866666672</v>
      </c>
      <c r="X60" s="393">
        <f>V60/0.75</f>
        <v>728039.93386666675</v>
      </c>
    </row>
    <row r="61" spans="1:29" ht="10.95" customHeight="1" x14ac:dyDescent="0.3">
      <c r="B61" s="793"/>
      <c r="C61" s="883"/>
      <c r="D61" s="873"/>
      <c r="E61" s="887"/>
      <c r="F61" s="887"/>
      <c r="G61" s="782"/>
      <c r="H61" s="398" t="s">
        <v>706</v>
      </c>
      <c r="I61" s="412">
        <f>'Janeiro 24'!AI24</f>
        <v>44801.8</v>
      </c>
      <c r="J61" s="412">
        <f>'Fevereiro 24'!AI24</f>
        <v>46190.299999999996</v>
      </c>
      <c r="K61" s="412">
        <f>'Março 24'!AI24</f>
        <v>45369.099999999984</v>
      </c>
      <c r="L61" s="412">
        <f>'Abril 24'!AH24</f>
        <v>47305.799999999996</v>
      </c>
      <c r="M61" s="412">
        <f>'Maio 24'!AI24</f>
        <v>47493.4</v>
      </c>
      <c r="N61" s="412">
        <f>'Junho 24'!AH24</f>
        <v>46340.1</v>
      </c>
      <c r="O61" s="412">
        <f>'Julho 24'!AI24</f>
        <v>44234.600000000006</v>
      </c>
      <c r="P61" s="412">
        <f>'Agosto 24'!AI24</f>
        <v>47693.799999999996</v>
      </c>
      <c r="Q61" s="412">
        <f>'Setembro 24'!AH24</f>
        <v>48383.600000000006</v>
      </c>
      <c r="R61" s="412">
        <f>'Outubro 24'!AI24</f>
        <v>43878.3</v>
      </c>
      <c r="S61" s="412">
        <f>'Novembro 24'!AH24</f>
        <v>42070.200000000012</v>
      </c>
      <c r="T61" s="412">
        <f>'Dezembro 24'!AI24</f>
        <v>44742.7</v>
      </c>
      <c r="U61" s="413">
        <f>SUM(I61:T61)</f>
        <v>548503.69999999995</v>
      </c>
      <c r="V61" s="412">
        <f>SUM(I61:T61)</f>
        <v>548503.69999999995</v>
      </c>
      <c r="W61" s="625">
        <f>AVERAGE(I61:Q61)</f>
        <v>46423.611111111109</v>
      </c>
      <c r="X61" s="402">
        <f>V61</f>
        <v>548503.69999999995</v>
      </c>
    </row>
    <row r="62" spans="1:29" ht="10.95" customHeight="1" x14ac:dyDescent="0.3">
      <c r="B62" s="793"/>
      <c r="C62" s="883"/>
      <c r="D62" s="874"/>
      <c r="E62" s="887"/>
      <c r="F62" s="887"/>
      <c r="G62" s="783"/>
      <c r="H62" s="408" t="s">
        <v>673</v>
      </c>
      <c r="I62" s="423">
        <f>I61/I60</f>
        <v>0.89882307057724597</v>
      </c>
      <c r="J62" s="423">
        <f>J61/J60</f>
        <v>0.92015863838283241</v>
      </c>
      <c r="K62" s="423">
        <f>K61/K60</f>
        <v>0.91742820582506646</v>
      </c>
      <c r="L62" s="423">
        <f>L61/L60</f>
        <v>1.0398625907198547</v>
      </c>
      <c r="M62" s="423">
        <f>M61/M60</f>
        <v>1.121487108709541</v>
      </c>
      <c r="N62" s="423">
        <f t="shared" ref="N62:V62" si="20">N61/N60</f>
        <v>1.2250463306552477</v>
      </c>
      <c r="O62" s="423">
        <f t="shared" si="20"/>
        <v>1.1149011849116139</v>
      </c>
      <c r="P62" s="423">
        <f t="shared" si="20"/>
        <v>0.96704646105335124</v>
      </c>
      <c r="Q62" s="423">
        <f t="shared" si="20"/>
        <v>1.0791963589383946</v>
      </c>
      <c r="R62" s="423">
        <f t="shared" si="20"/>
        <v>0.96070760353947871</v>
      </c>
      <c r="S62" s="423">
        <f t="shared" si="20"/>
        <v>1.0038460842448256</v>
      </c>
      <c r="T62" s="423">
        <f t="shared" si="20"/>
        <v>0.90468969956344258</v>
      </c>
      <c r="U62" s="423">
        <f t="shared" si="20"/>
        <v>1.0045304284099941</v>
      </c>
      <c r="V62" s="423">
        <f t="shared" si="20"/>
        <v>1.0045304284099941</v>
      </c>
      <c r="W62" s="626">
        <f>AVERAGE(I62:Q62)</f>
        <v>1.0315499944192388</v>
      </c>
      <c r="X62" s="623">
        <f>V61/X60</f>
        <v>0.75339782130749566</v>
      </c>
    </row>
    <row r="63" spans="1:29" ht="10.95" customHeight="1" x14ac:dyDescent="0.3">
      <c r="B63" s="793"/>
      <c r="C63" s="883"/>
      <c r="D63" s="872" t="s">
        <v>27</v>
      </c>
      <c r="E63" s="887"/>
      <c r="F63" s="887"/>
      <c r="G63" s="784">
        <v>100</v>
      </c>
      <c r="H63" s="398" t="s">
        <v>705</v>
      </c>
      <c r="I63" s="399">
        <v>12700</v>
      </c>
      <c r="J63" s="399">
        <v>12790</v>
      </c>
      <c r="K63" s="399">
        <v>12600</v>
      </c>
      <c r="L63" s="399">
        <v>11591</v>
      </c>
      <c r="M63" s="399">
        <v>10790</v>
      </c>
      <c r="N63" s="399">
        <v>9638</v>
      </c>
      <c r="O63" s="399">
        <v>10109</v>
      </c>
      <c r="P63" s="399">
        <v>12566</v>
      </c>
      <c r="Q63" s="399">
        <v>11423</v>
      </c>
      <c r="R63" s="399">
        <v>11637</v>
      </c>
      <c r="S63" s="399">
        <v>10678</v>
      </c>
      <c r="T63" s="399">
        <v>12601</v>
      </c>
      <c r="U63" s="400">
        <f>SUM(I63:T63)</f>
        <v>139123</v>
      </c>
      <c r="V63" s="399">
        <f>SUM(I63:T63)</f>
        <v>139123</v>
      </c>
    </row>
    <row r="64" spans="1:29" ht="10.95" customHeight="1" x14ac:dyDescent="0.3">
      <c r="B64" s="793"/>
      <c r="C64" s="883"/>
      <c r="D64" s="873"/>
      <c r="E64" s="887"/>
      <c r="F64" s="887"/>
      <c r="G64" s="785"/>
      <c r="H64" s="398" t="s">
        <v>706</v>
      </c>
      <c r="I64" s="412">
        <f>'Janeiro 24'!AI27</f>
        <v>11217.099999999999</v>
      </c>
      <c r="J64" s="412">
        <f>'Fevereiro 24'!AI27</f>
        <v>9971.5000000000018</v>
      </c>
      <c r="K64" s="412">
        <f>'Março 24'!AI27</f>
        <v>10316.600000000002</v>
      </c>
      <c r="L64" s="412">
        <f>'Abril 24'!AH27</f>
        <v>12609.000000000002</v>
      </c>
      <c r="M64" s="412">
        <f>'Maio 24'!AI27</f>
        <v>11566.3</v>
      </c>
      <c r="N64" s="412">
        <f>'Junho 24'!AH27</f>
        <v>10417.9</v>
      </c>
      <c r="O64" s="412">
        <f>'Julho 24'!AI27</f>
        <v>8024.3</v>
      </c>
      <c r="P64" s="412">
        <f>'Agosto 24'!AI27</f>
        <v>13211.1</v>
      </c>
      <c r="Q64" s="412">
        <f>'Setembro 24'!AH27</f>
        <v>12396.300000000001</v>
      </c>
      <c r="R64" s="412">
        <f>'Outubro 24'!AI27</f>
        <v>10792</v>
      </c>
      <c r="S64" s="412">
        <f>'Novembro 24'!AH27</f>
        <v>11332.800000000001</v>
      </c>
      <c r="T64" s="412">
        <f>'Dezembro 24'!AI27</f>
        <v>11347.300000000001</v>
      </c>
      <c r="U64" s="413">
        <f>SUM(I64:T64)</f>
        <v>133202.20000000001</v>
      </c>
      <c r="V64" s="412">
        <f>SUM(I64:T64)</f>
        <v>133202.20000000001</v>
      </c>
    </row>
    <row r="65" spans="2:26" ht="10.95" customHeight="1" x14ac:dyDescent="0.3">
      <c r="B65" s="793"/>
      <c r="C65" s="883"/>
      <c r="D65" s="874"/>
      <c r="E65" s="887"/>
      <c r="F65" s="887"/>
      <c r="G65" s="786"/>
      <c r="H65" s="408" t="s">
        <v>673</v>
      </c>
      <c r="I65" s="423">
        <f>I64/I63</f>
        <v>0.88323622047244088</v>
      </c>
      <c r="J65" s="423">
        <f>J64/J63</f>
        <v>0.77963252541047712</v>
      </c>
      <c r="K65" s="423">
        <f>K64/K63</f>
        <v>0.81877777777777794</v>
      </c>
      <c r="L65" s="423">
        <f>L64/L63</f>
        <v>1.0878267621430422</v>
      </c>
      <c r="M65" s="423">
        <f>M64/M63</f>
        <v>1.0719462465245597</v>
      </c>
      <c r="N65" s="423">
        <f t="shared" ref="N65:V65" si="21">N64/N63</f>
        <v>1.0809192778584769</v>
      </c>
      <c r="O65" s="423">
        <f t="shared" si="21"/>
        <v>0.79377782174300127</v>
      </c>
      <c r="P65" s="423">
        <f t="shared" si="21"/>
        <v>1.0513369409517748</v>
      </c>
      <c r="Q65" s="423">
        <f t="shared" si="21"/>
        <v>1.0852052875776943</v>
      </c>
      <c r="R65" s="423">
        <f t="shared" si="21"/>
        <v>0.92738678353527537</v>
      </c>
      <c r="S65" s="423">
        <f t="shared" si="21"/>
        <v>1.0613223450084286</v>
      </c>
      <c r="T65" s="423">
        <f t="shared" si="21"/>
        <v>0.90050789619871452</v>
      </c>
      <c r="U65" s="423">
        <f t="shared" si="21"/>
        <v>0.95744197580558221</v>
      </c>
      <c r="V65" s="423">
        <f t="shared" si="21"/>
        <v>0.95744197580558221</v>
      </c>
    </row>
    <row r="66" spans="2:26" ht="10.95" customHeight="1" x14ac:dyDescent="0.3">
      <c r="B66" s="793"/>
      <c r="C66" s="883"/>
      <c r="D66" s="872" t="s">
        <v>708</v>
      </c>
      <c r="E66" s="887" t="s">
        <v>673</v>
      </c>
      <c r="F66" s="893">
        <f>F51/F39</f>
        <v>1.0048951708731229</v>
      </c>
      <c r="G66" s="784">
        <v>100</v>
      </c>
      <c r="H66" s="398" t="s">
        <v>705</v>
      </c>
      <c r="I66" s="399">
        <v>12700</v>
      </c>
      <c r="J66" s="399">
        <v>12790</v>
      </c>
      <c r="K66" s="399">
        <v>12600</v>
      </c>
      <c r="L66" s="399">
        <v>11591</v>
      </c>
      <c r="M66" s="399">
        <v>10790</v>
      </c>
      <c r="N66" s="399">
        <v>9638</v>
      </c>
      <c r="O66" s="399">
        <v>10109</v>
      </c>
      <c r="P66" s="399">
        <v>12566</v>
      </c>
      <c r="Q66" s="399">
        <v>11423</v>
      </c>
      <c r="R66" s="399">
        <v>11637</v>
      </c>
      <c r="S66" s="399">
        <v>10678</v>
      </c>
      <c r="T66" s="399">
        <v>12601</v>
      </c>
      <c r="U66" s="400">
        <f>SUM(I66:T66)</f>
        <v>139123</v>
      </c>
      <c r="V66" s="399">
        <f>SUM(I66:T66)</f>
        <v>139123</v>
      </c>
    </row>
    <row r="67" spans="2:26" ht="10.95" customHeight="1" x14ac:dyDescent="0.3">
      <c r="B67" s="793"/>
      <c r="C67" s="883"/>
      <c r="D67" s="873"/>
      <c r="E67" s="887"/>
      <c r="F67" s="893"/>
      <c r="G67" s="785"/>
      <c r="H67" s="398" t="s">
        <v>706</v>
      </c>
      <c r="I67" s="412">
        <f>'Janeiro 24'!AI28</f>
        <v>11110.9</v>
      </c>
      <c r="J67" s="412">
        <f>'Fevereiro 24'!AI28</f>
        <v>9925.7000000000025</v>
      </c>
      <c r="K67" s="412">
        <f>'Março 24'!AI28</f>
        <v>10300.799999999997</v>
      </c>
      <c r="L67" s="412">
        <f>'Abril 24'!AH28</f>
        <v>11586.5</v>
      </c>
      <c r="M67" s="412">
        <f>'Maio 24'!AI28</f>
        <v>10919.200000000003</v>
      </c>
      <c r="N67" s="412">
        <f>'Junho 24'!AH28</f>
        <v>9229.4</v>
      </c>
      <c r="O67" s="412">
        <f>'Julho 24'!AI28</f>
        <v>9949.7999999999993</v>
      </c>
      <c r="P67" s="412">
        <f>'Agosto 24'!AI28</f>
        <v>13329.2</v>
      </c>
      <c r="Q67" s="412">
        <f>'Setembro 24'!AH28</f>
        <v>12346.499999999998</v>
      </c>
      <c r="R67" s="412">
        <f>'Outubro 24'!AI28</f>
        <v>9022.5999999999967</v>
      </c>
      <c r="S67" s="412">
        <f>'Novembro 24'!AH28</f>
        <v>10132.999999999996</v>
      </c>
      <c r="T67" s="412">
        <f>'Dezembro 24'!AI28</f>
        <v>8585.3000000000011</v>
      </c>
      <c r="U67" s="413">
        <f>SUM(I67:T67)</f>
        <v>126438.9</v>
      </c>
      <c r="V67" s="412">
        <f>SUM(I67:O67)</f>
        <v>73022.3</v>
      </c>
    </row>
    <row r="68" spans="2:26" ht="10.95" customHeight="1" x14ac:dyDescent="0.3">
      <c r="B68" s="793"/>
      <c r="C68" s="883"/>
      <c r="D68" s="874"/>
      <c r="E68" s="887"/>
      <c r="F68" s="893"/>
      <c r="G68" s="786"/>
      <c r="H68" s="408" t="s">
        <v>673</v>
      </c>
      <c r="I68" s="423">
        <f>I67/I66</f>
        <v>0.87487401574803147</v>
      </c>
      <c r="J68" s="423">
        <f>J67/J66</f>
        <v>0.7760516028146992</v>
      </c>
      <c r="K68" s="423">
        <f>K67/K66</f>
        <v>0.81752380952380932</v>
      </c>
      <c r="L68" s="423">
        <f>L67/L66</f>
        <v>0.99961176775084115</v>
      </c>
      <c r="M68" s="423">
        <f>M67/M66</f>
        <v>1.0119740500463394</v>
      </c>
      <c r="N68" s="423">
        <f t="shared" ref="N68:V68" si="22">N67/N66</f>
        <v>0.95760531230545753</v>
      </c>
      <c r="O68" s="423">
        <f t="shared" si="22"/>
        <v>0.9842516569393609</v>
      </c>
      <c r="P68" s="423">
        <f t="shared" si="22"/>
        <v>1.0607353175234762</v>
      </c>
      <c r="Q68" s="423">
        <f t="shared" si="22"/>
        <v>1.0808456622603517</v>
      </c>
      <c r="R68" s="423">
        <f t="shared" si="22"/>
        <v>0.77533728624215836</v>
      </c>
      <c r="S68" s="423">
        <f t="shared" si="22"/>
        <v>0.94896047949054096</v>
      </c>
      <c r="T68" s="423">
        <f t="shared" si="22"/>
        <v>0.68131894294103656</v>
      </c>
      <c r="U68" s="423">
        <f t="shared" si="22"/>
        <v>0.90882815925476013</v>
      </c>
      <c r="V68" s="423">
        <f t="shared" si="22"/>
        <v>0.52487582930212839</v>
      </c>
    </row>
    <row r="69" spans="2:26" ht="10.95" customHeight="1" x14ac:dyDescent="0.3">
      <c r="B69" s="793"/>
      <c r="C69" s="883"/>
      <c r="D69" s="872" t="s">
        <v>709</v>
      </c>
      <c r="E69" s="887"/>
      <c r="F69" s="893"/>
      <c r="G69" s="784">
        <v>100</v>
      </c>
      <c r="H69" s="398" t="s">
        <v>705</v>
      </c>
      <c r="I69" s="399">
        <v>12700</v>
      </c>
      <c r="J69" s="399">
        <v>12790</v>
      </c>
      <c r="K69" s="399">
        <v>12600</v>
      </c>
      <c r="L69" s="399">
        <v>11591</v>
      </c>
      <c r="M69" s="399">
        <v>10790</v>
      </c>
      <c r="N69" s="399">
        <v>9638</v>
      </c>
      <c r="O69" s="399">
        <v>10109</v>
      </c>
      <c r="P69" s="399">
        <v>12566</v>
      </c>
      <c r="Q69" s="399">
        <v>11423</v>
      </c>
      <c r="R69" s="399">
        <v>11637</v>
      </c>
      <c r="S69" s="399">
        <v>10678</v>
      </c>
      <c r="T69" s="399">
        <v>12601</v>
      </c>
      <c r="U69" s="400">
        <f>SUM(I69:T69)</f>
        <v>139123</v>
      </c>
      <c r="V69" s="399">
        <f>SUM(I69:T69)</f>
        <v>139123</v>
      </c>
    </row>
    <row r="70" spans="2:26" ht="10.95" customHeight="1" x14ac:dyDescent="0.3">
      <c r="B70" s="793"/>
      <c r="C70" s="883"/>
      <c r="D70" s="873"/>
      <c r="E70" s="887"/>
      <c r="F70" s="893"/>
      <c r="G70" s="785"/>
      <c r="H70" s="398" t="s">
        <v>706</v>
      </c>
      <c r="I70" s="412">
        <f>'Janeiro 24'!AI29</f>
        <v>11309.700000000003</v>
      </c>
      <c r="J70" s="412">
        <f>'Fevereiro 24'!AI29</f>
        <v>9823.7000000000007</v>
      </c>
      <c r="K70" s="412">
        <f>'Março 24'!AI29</f>
        <v>8822.2999999999993</v>
      </c>
      <c r="L70" s="412">
        <f>'Abril 24'!AH29</f>
        <v>2974.0999999999995</v>
      </c>
      <c r="M70" s="412">
        <f>'Maio 24'!AI29</f>
        <v>7788.4999999999982</v>
      </c>
      <c r="N70" s="412">
        <f>'Junho 24'!AH29</f>
        <v>10666.800000000003</v>
      </c>
      <c r="O70" s="412">
        <f>'Julho 24'!AI29</f>
        <v>9033.2999999999993</v>
      </c>
      <c r="P70" s="412">
        <f>'Agosto 24'!AI29</f>
        <v>11908.5</v>
      </c>
      <c r="Q70" s="412">
        <f>'Setembro 24'!AH29</f>
        <v>11708.099999999997</v>
      </c>
      <c r="R70" s="412">
        <f>'Outubro 24'!AI29</f>
        <v>10443.199999999999</v>
      </c>
      <c r="S70" s="412">
        <f>'Novembro 24'!AH29</f>
        <v>10448.899999999998</v>
      </c>
      <c r="T70" s="412">
        <f>'Dezembro 24'!AI29</f>
        <v>10068.1</v>
      </c>
      <c r="U70" s="413">
        <f>SUM(I70:T70)</f>
        <v>114995.2</v>
      </c>
      <c r="V70" s="412">
        <f>SUM(I70:T70)</f>
        <v>114995.2</v>
      </c>
    </row>
    <row r="71" spans="2:26" ht="10.95" customHeight="1" x14ac:dyDescent="0.3">
      <c r="B71" s="793"/>
      <c r="C71" s="883"/>
      <c r="D71" s="874"/>
      <c r="E71" s="887"/>
      <c r="F71" s="893"/>
      <c r="G71" s="786"/>
      <c r="H71" s="408" t="s">
        <v>673</v>
      </c>
      <c r="I71" s="423">
        <f>I70/I69</f>
        <v>0.89052755905511827</v>
      </c>
      <c r="J71" s="423">
        <f>J70/J69</f>
        <v>0.76807662236121976</v>
      </c>
      <c r="K71" s="423">
        <f>K70/K69</f>
        <v>0.70018253968253963</v>
      </c>
      <c r="L71" s="423">
        <f>L70/L69</f>
        <v>0.25658700716072813</v>
      </c>
      <c r="M71" s="423">
        <f>M70/M69</f>
        <v>0.72182576459684877</v>
      </c>
      <c r="N71" s="423">
        <f t="shared" ref="N71:V71" si="23">N70/N69</f>
        <v>1.106744137787923</v>
      </c>
      <c r="O71" s="423">
        <f t="shared" si="23"/>
        <v>0.8935898704125036</v>
      </c>
      <c r="P71" s="423">
        <f t="shared" si="23"/>
        <v>0.947676269298106</v>
      </c>
      <c r="Q71" s="423">
        <f t="shared" si="23"/>
        <v>1.0249584172283985</v>
      </c>
      <c r="R71" s="423">
        <f t="shared" si="23"/>
        <v>0.89741342270344582</v>
      </c>
      <c r="S71" s="423">
        <f t="shared" si="23"/>
        <v>0.97854467128675759</v>
      </c>
      <c r="T71" s="423">
        <f t="shared" si="23"/>
        <v>0.79899214348067615</v>
      </c>
      <c r="U71" s="423">
        <f t="shared" si="23"/>
        <v>0.82657216995033167</v>
      </c>
      <c r="V71" s="423">
        <f t="shared" si="23"/>
        <v>0.82657216995033167</v>
      </c>
    </row>
    <row r="72" spans="2:26" ht="10.95" customHeight="1" x14ac:dyDescent="0.3">
      <c r="B72" s="793"/>
      <c r="C72" s="883"/>
      <c r="D72" s="872" t="s">
        <v>111</v>
      </c>
      <c r="E72" s="887"/>
      <c r="F72" s="893"/>
      <c r="G72" s="781">
        <v>120</v>
      </c>
      <c r="H72" s="398" t="s">
        <v>705</v>
      </c>
      <c r="I72" s="399">
        <v>13983.970000000001</v>
      </c>
      <c r="J72" s="399">
        <v>14083.069</v>
      </c>
      <c r="K72" s="399">
        <v>13873.86</v>
      </c>
      <c r="L72" s="399">
        <v>12762.850100000001</v>
      </c>
      <c r="M72" s="399">
        <v>11880.869000000001</v>
      </c>
      <c r="N72" s="399">
        <v>10612.4018</v>
      </c>
      <c r="O72" s="399">
        <v>11131.019899999999</v>
      </c>
      <c r="P72" s="399">
        <v>13836.422600000002</v>
      </c>
      <c r="Q72" s="399">
        <v>12577.865299999999</v>
      </c>
      <c r="R72" s="399">
        <v>12813.500700000001</v>
      </c>
      <c r="S72" s="399">
        <v>11757.5458</v>
      </c>
      <c r="T72" s="399">
        <v>13874.9611</v>
      </c>
      <c r="U72" s="400">
        <f>SUM(I72:T72)</f>
        <v>153188.33530000004</v>
      </c>
      <c r="V72" s="399">
        <f>SUM(I72:T72)</f>
        <v>153188.33530000004</v>
      </c>
      <c r="X72" s="393" t="s">
        <v>710</v>
      </c>
      <c r="Y72" s="402">
        <f>V94</f>
        <v>11593.583333333334</v>
      </c>
      <c r="Z72" s="393">
        <v>100</v>
      </c>
    </row>
    <row r="73" spans="2:26" ht="10.95" customHeight="1" x14ac:dyDescent="0.3">
      <c r="B73" s="793"/>
      <c r="C73" s="883"/>
      <c r="D73" s="873"/>
      <c r="E73" s="887"/>
      <c r="F73" s="893"/>
      <c r="G73" s="782"/>
      <c r="H73" s="398" t="s">
        <v>706</v>
      </c>
      <c r="I73" s="412">
        <f>'Janeiro 24'!AI25</f>
        <v>14282.500000000002</v>
      </c>
      <c r="J73" s="412">
        <f>'Fevereiro 24'!AI25</f>
        <v>13471.300000000001</v>
      </c>
      <c r="K73" s="412">
        <f>'Março 24'!AI25</f>
        <v>12784.399999999998</v>
      </c>
      <c r="L73" s="412">
        <f>'Abril 24'!AH25</f>
        <v>14309.799999999997</v>
      </c>
      <c r="M73" s="412">
        <f>'Maio 24'!AI25</f>
        <v>14011.400000000003</v>
      </c>
      <c r="N73" s="412">
        <f>'Junho 24'!AH25</f>
        <v>14005.8</v>
      </c>
      <c r="O73" s="412">
        <f>'Julho 24'!AI25</f>
        <v>12760.300000000001</v>
      </c>
      <c r="P73" s="412">
        <f>'Agosto 24'!AI25</f>
        <v>15960.899999999998</v>
      </c>
      <c r="Q73" s="412">
        <f>'Setembro 24'!AH25</f>
        <v>14792</v>
      </c>
      <c r="R73" s="412">
        <f>'Outubro 24'!AI25</f>
        <v>11562.099999999999</v>
      </c>
      <c r="S73" s="412">
        <f>'Novembro 24'!AH25</f>
        <v>12639.9</v>
      </c>
      <c r="T73" s="412">
        <f>'Dezembro 24'!AI25</f>
        <v>13086.200000000003</v>
      </c>
      <c r="U73" s="413">
        <f>SUM(I73:T73)</f>
        <v>163666.6</v>
      </c>
      <c r="V73" s="412">
        <f>SUM(I73:T73)</f>
        <v>163666.6</v>
      </c>
      <c r="Y73" s="402"/>
    </row>
    <row r="74" spans="2:26" ht="10.95" customHeight="1" x14ac:dyDescent="0.3">
      <c r="B74" s="793"/>
      <c r="C74" s="883"/>
      <c r="D74" s="874"/>
      <c r="E74" s="887"/>
      <c r="F74" s="893"/>
      <c r="G74" s="783"/>
      <c r="H74" s="408" t="s">
        <v>673</v>
      </c>
      <c r="I74" s="423">
        <f>I73/I72</f>
        <v>1.0213480149056384</v>
      </c>
      <c r="J74" s="423">
        <f>J73/J72</f>
        <v>0.95655996572906099</v>
      </c>
      <c r="K74" s="423">
        <f>K73/K72</f>
        <v>0.92147390848689525</v>
      </c>
      <c r="L74" s="423">
        <f>L73/L72</f>
        <v>1.1212072450807831</v>
      </c>
      <c r="M74" s="423">
        <f>M73/M72</f>
        <v>1.1793245090068751</v>
      </c>
      <c r="N74" s="423">
        <f t="shared" ref="N74:V74" si="24">N73/N72</f>
        <v>1.3197577950733075</v>
      </c>
      <c r="O74" s="423">
        <f t="shared" si="24"/>
        <v>1.1463729392847462</v>
      </c>
      <c r="P74" s="423">
        <f t="shared" si="24"/>
        <v>1.1535423903574611</v>
      </c>
      <c r="Q74" s="423">
        <f t="shared" si="24"/>
        <v>1.1760342194155951</v>
      </c>
      <c r="R74" s="423">
        <f t="shared" si="24"/>
        <v>0.90233732925148225</v>
      </c>
      <c r="S74" s="423">
        <f t="shared" si="24"/>
        <v>1.0750457803872642</v>
      </c>
      <c r="T74" s="423">
        <f t="shared" si="24"/>
        <v>0.94315219377443893</v>
      </c>
      <c r="U74" s="423">
        <f t="shared" si="24"/>
        <v>1.0684011917714205</v>
      </c>
      <c r="V74" s="423">
        <f t="shared" si="24"/>
        <v>1.0684011917714205</v>
      </c>
      <c r="Y74" s="402"/>
    </row>
    <row r="75" spans="2:26" ht="10.95" customHeight="1" x14ac:dyDescent="0.3">
      <c r="B75" s="793"/>
      <c r="C75" s="883"/>
      <c r="D75" s="872" t="s">
        <v>711</v>
      </c>
      <c r="E75" s="887"/>
      <c r="F75" s="893"/>
      <c r="G75" s="781">
        <v>110</v>
      </c>
      <c r="H75" s="398" t="s">
        <v>705</v>
      </c>
      <c r="I75" s="399">
        <v>12992.1</v>
      </c>
      <c r="J75" s="399">
        <v>13084.17</v>
      </c>
      <c r="K75" s="399">
        <v>12889.800000000001</v>
      </c>
      <c r="L75" s="399">
        <v>11857.593000000001</v>
      </c>
      <c r="M75" s="399">
        <v>11038.17</v>
      </c>
      <c r="N75" s="399">
        <v>9859.6739999999991</v>
      </c>
      <c r="O75" s="399">
        <v>10341.507</v>
      </c>
      <c r="P75" s="399">
        <v>12855.018000000002</v>
      </c>
      <c r="Q75" s="399">
        <v>11685.728999999999</v>
      </c>
      <c r="R75" s="399">
        <v>11904.651000000002</v>
      </c>
      <c r="S75" s="399">
        <v>10923.593999999999</v>
      </c>
      <c r="T75" s="399">
        <v>12890.823</v>
      </c>
      <c r="U75" s="400">
        <f>SUM(I75:T75)</f>
        <v>142322.829</v>
      </c>
      <c r="V75" s="399">
        <f>SUM(I75:T75)</f>
        <v>142322.829</v>
      </c>
      <c r="X75" s="403">
        <f>Y75-Y72</f>
        <v>-4214.2675416666661</v>
      </c>
      <c r="Y75" s="404">
        <f>V93</f>
        <v>7379.3157916666678</v>
      </c>
      <c r="Z75" s="393">
        <v>106</v>
      </c>
    </row>
    <row r="76" spans="2:26" ht="10.95" customHeight="1" x14ac:dyDescent="0.3">
      <c r="B76" s="793"/>
      <c r="C76" s="883"/>
      <c r="D76" s="873"/>
      <c r="E76" s="887"/>
      <c r="F76" s="893"/>
      <c r="G76" s="782"/>
      <c r="H76" s="398" t="s">
        <v>706</v>
      </c>
      <c r="I76" s="412">
        <f>'Janeiro 24'!AI26</f>
        <v>12385.5</v>
      </c>
      <c r="J76" s="412">
        <f>'Fevereiro 24'!AI26</f>
        <v>11445.4</v>
      </c>
      <c r="K76" s="412">
        <f>'Março 24'!AI26</f>
        <v>11271.000000000002</v>
      </c>
      <c r="L76" s="412">
        <f>'Abril 24'!AH26</f>
        <v>12720.300000000001</v>
      </c>
      <c r="M76" s="412">
        <f>'Maio 24'!AI26</f>
        <v>11618</v>
      </c>
      <c r="N76" s="412">
        <f>'Junho 24'!AH26</f>
        <v>12111.3</v>
      </c>
      <c r="O76" s="412">
        <f>'Julho 24'!AI26</f>
        <v>11817.6</v>
      </c>
      <c r="P76" s="412">
        <f>'Agosto 24'!AI26</f>
        <v>13610.200000000003</v>
      </c>
      <c r="Q76" s="412">
        <f>'Setembro 24'!AH26</f>
        <v>12888.4</v>
      </c>
      <c r="R76" s="412">
        <f>'Outubro 24'!AI26</f>
        <v>10750.800000000001</v>
      </c>
      <c r="S76" s="412">
        <f>'Novembro 24'!AH26</f>
        <v>11806.300000000001</v>
      </c>
      <c r="T76" s="412">
        <f>'Dezembro 24'!AI26</f>
        <v>10825.699999999999</v>
      </c>
      <c r="U76" s="413">
        <f>SUM(I76:T76)</f>
        <v>143250.5</v>
      </c>
      <c r="V76" s="412">
        <f>SUM(I76:T76)</f>
        <v>143250.5</v>
      </c>
      <c r="X76" s="405"/>
      <c r="Y76" s="404"/>
    </row>
    <row r="77" spans="2:26" ht="10.95" customHeight="1" x14ac:dyDescent="0.3">
      <c r="B77" s="794"/>
      <c r="C77" s="885"/>
      <c r="D77" s="874"/>
      <c r="E77" s="887"/>
      <c r="F77" s="893"/>
      <c r="G77" s="783"/>
      <c r="H77" s="398" t="s">
        <v>673</v>
      </c>
      <c r="I77" s="423">
        <f>I76/I75</f>
        <v>0.95331008843835863</v>
      </c>
      <c r="J77" s="423">
        <f>J76/J75</f>
        <v>0.87475170377639544</v>
      </c>
      <c r="K77" s="423">
        <f>K76/K75</f>
        <v>0.87441232602522934</v>
      </c>
      <c r="L77" s="423">
        <f>L76/L75</f>
        <v>1.0727556596014047</v>
      </c>
      <c r="M77" s="423">
        <f>M76/M75</f>
        <v>1.0525295406756736</v>
      </c>
      <c r="N77" s="423">
        <f t="shared" ref="N77:V77" si="25">N76/N75</f>
        <v>1.2283671853653579</v>
      </c>
      <c r="O77" s="423">
        <f t="shared" si="25"/>
        <v>1.1427348064455209</v>
      </c>
      <c r="P77" s="423">
        <f t="shared" si="25"/>
        <v>1.0587460865476812</v>
      </c>
      <c r="Q77" s="423">
        <f t="shared" si="25"/>
        <v>1.1029179266436866</v>
      </c>
      <c r="R77" s="423">
        <f t="shared" si="25"/>
        <v>0.90307561305241113</v>
      </c>
      <c r="S77" s="423">
        <f t="shared" si="25"/>
        <v>1.0808072874184085</v>
      </c>
      <c r="T77" s="423">
        <f t="shared" si="25"/>
        <v>0.83979897947555393</v>
      </c>
      <c r="U77" s="423">
        <f t="shared" si="25"/>
        <v>1.0065180758878816</v>
      </c>
      <c r="V77" s="423">
        <f t="shared" si="25"/>
        <v>1.0065180758878816</v>
      </c>
      <c r="X77" s="405"/>
      <c r="Y77" s="404"/>
    </row>
    <row r="78" spans="2:26" ht="10.95" customHeight="1" x14ac:dyDescent="0.3">
      <c r="B78" s="755" t="s">
        <v>712</v>
      </c>
      <c r="C78" s="886" t="s">
        <v>1047</v>
      </c>
      <c r="D78" s="879" t="s">
        <v>563</v>
      </c>
      <c r="E78" s="871" t="s">
        <v>705</v>
      </c>
      <c r="F78" s="875">
        <f>U78+U81</f>
        <v>217775</v>
      </c>
      <c r="G78" s="784">
        <v>100</v>
      </c>
      <c r="H78" s="398" t="s">
        <v>705</v>
      </c>
      <c r="I78" s="399">
        <v>0</v>
      </c>
      <c r="J78" s="399">
        <v>0</v>
      </c>
      <c r="K78" s="399">
        <v>0</v>
      </c>
      <c r="L78" s="399">
        <v>0</v>
      </c>
      <c r="M78" s="399">
        <v>0</v>
      </c>
      <c r="N78" s="399">
        <v>9638</v>
      </c>
      <c r="O78" s="399">
        <v>10109</v>
      </c>
      <c r="P78" s="399">
        <v>12566</v>
      </c>
      <c r="Q78" s="399">
        <v>11423</v>
      </c>
      <c r="R78" s="399">
        <v>11637</v>
      </c>
      <c r="S78" s="399">
        <v>10678</v>
      </c>
      <c r="T78" s="399">
        <v>12601</v>
      </c>
      <c r="U78" s="400">
        <f>SUM(I78:T78)</f>
        <v>78652</v>
      </c>
      <c r="V78" s="399">
        <f>SUM(I78:T78)</f>
        <v>78652</v>
      </c>
      <c r="X78" s="405">
        <f>Y78-Y75</f>
        <v>4480.919958333332</v>
      </c>
      <c r="Y78" s="404">
        <f>V91</f>
        <v>11860.23575</v>
      </c>
      <c r="Z78" s="393">
        <v>110</v>
      </c>
    </row>
    <row r="79" spans="2:26" ht="10.95" customHeight="1" x14ac:dyDescent="0.3">
      <c r="B79" s="755"/>
      <c r="C79" s="873"/>
      <c r="D79" s="880"/>
      <c r="E79" s="871"/>
      <c r="F79" s="871"/>
      <c r="G79" s="785"/>
      <c r="H79" s="398" t="s">
        <v>706</v>
      </c>
      <c r="I79" s="412"/>
      <c r="J79" s="412"/>
      <c r="K79" s="412">
        <f>'Março 24'!AI80</f>
        <v>0</v>
      </c>
      <c r="L79" s="412">
        <f>'Abril 24'!AH44</f>
        <v>0</v>
      </c>
      <c r="M79" s="412"/>
      <c r="N79" s="412">
        <f>'Junho 24'!AH31</f>
        <v>7339.0800000000017</v>
      </c>
      <c r="O79" s="412">
        <f>'Julho 24'!AI31</f>
        <v>7282.5</v>
      </c>
      <c r="P79" s="412">
        <f>'Agosto 24'!AI31</f>
        <v>8882.6999999999989</v>
      </c>
      <c r="Q79" s="412">
        <f>'Setembro 24'!AH31</f>
        <v>10396.14</v>
      </c>
      <c r="R79" s="412">
        <f>'Outubro 24'!AI31</f>
        <v>9716.58</v>
      </c>
      <c r="S79" s="412">
        <f>'Novembro 24'!AH31</f>
        <v>5229.2999999999993</v>
      </c>
      <c r="T79" s="412">
        <f>'Dezembro 24'!AI31</f>
        <v>6629.5000000000009</v>
      </c>
      <c r="U79" s="413">
        <f>SUM(I79:T79)</f>
        <v>55475.8</v>
      </c>
      <c r="V79" s="412">
        <f>SUM(I79:T79)</f>
        <v>55475.8</v>
      </c>
      <c r="X79" s="405"/>
      <c r="Y79" s="404"/>
    </row>
    <row r="80" spans="2:26" ht="10.95" customHeight="1" x14ac:dyDescent="0.3">
      <c r="B80" s="755"/>
      <c r="C80" s="873"/>
      <c r="D80" s="881"/>
      <c r="E80" s="888" t="s">
        <v>706</v>
      </c>
      <c r="F80" s="876">
        <f>U79+U82</f>
        <v>181453.07</v>
      </c>
      <c r="G80" s="786"/>
      <c r="H80" s="398" t="s">
        <v>673</v>
      </c>
      <c r="I80" s="423"/>
      <c r="J80" s="423"/>
      <c r="K80" s="409"/>
      <c r="L80" s="409"/>
      <c r="M80" s="409"/>
      <c r="N80" s="423">
        <f>N79/N78</f>
        <v>0.76147333471674639</v>
      </c>
      <c r="O80" s="423">
        <f t="shared" ref="O80:V80" si="26">O79/O78</f>
        <v>0.72039766544663175</v>
      </c>
      <c r="P80" s="423">
        <f t="shared" si="26"/>
        <v>0.70688365430526812</v>
      </c>
      <c r="Q80" s="423">
        <f t="shared" si="26"/>
        <v>0.91010592663923662</v>
      </c>
      <c r="R80" s="423">
        <f t="shared" si="26"/>
        <v>0.83497293116782678</v>
      </c>
      <c r="S80" s="423">
        <f t="shared" si="26"/>
        <v>0.48972654055066484</v>
      </c>
      <c r="T80" s="423">
        <f t="shared" si="26"/>
        <v>0.52610903896516159</v>
      </c>
      <c r="U80" s="423">
        <f t="shared" si="26"/>
        <v>0.70533235009917106</v>
      </c>
      <c r="V80" s="423">
        <f t="shared" si="26"/>
        <v>0.70533235009917106</v>
      </c>
      <c r="X80" s="405"/>
      <c r="Y80" s="404"/>
    </row>
    <row r="81" spans="1:27" ht="10.95" customHeight="1" x14ac:dyDescent="0.3">
      <c r="B81" s="755"/>
      <c r="C81" s="873"/>
      <c r="D81" s="871" t="s">
        <v>291</v>
      </c>
      <c r="E81" s="877"/>
      <c r="F81" s="877"/>
      <c r="G81" s="790">
        <v>100</v>
      </c>
      <c r="H81" s="398" t="s">
        <v>705</v>
      </c>
      <c r="I81" s="399">
        <v>12700</v>
      </c>
      <c r="J81" s="399">
        <v>12790</v>
      </c>
      <c r="K81" s="399">
        <v>12600</v>
      </c>
      <c r="L81" s="399">
        <v>11591</v>
      </c>
      <c r="M81" s="399">
        <v>10790</v>
      </c>
      <c r="N81" s="399">
        <v>9638</v>
      </c>
      <c r="O81" s="399">
        <v>10109</v>
      </c>
      <c r="P81" s="399">
        <v>12566</v>
      </c>
      <c r="Q81" s="399">
        <v>11423</v>
      </c>
      <c r="R81" s="399">
        <v>11637</v>
      </c>
      <c r="S81" s="399">
        <v>10678</v>
      </c>
      <c r="T81" s="399">
        <v>12601</v>
      </c>
      <c r="U81" s="400">
        <f>SUM(I81:T81)</f>
        <v>139123</v>
      </c>
      <c r="V81" s="399">
        <f>SUM(I81:T81)</f>
        <v>139123</v>
      </c>
      <c r="X81" s="405">
        <f>Y81-Y78</f>
        <v>512.43638333333365</v>
      </c>
      <c r="Y81" s="404">
        <f>V92</f>
        <v>12372.672133333333</v>
      </c>
      <c r="Z81" s="393">
        <v>116</v>
      </c>
    </row>
    <row r="82" spans="1:27" ht="10.95" customHeight="1" x14ac:dyDescent="0.3">
      <c r="B82" s="755"/>
      <c r="C82" s="873"/>
      <c r="D82" s="871"/>
      <c r="E82" s="871" t="s">
        <v>673</v>
      </c>
      <c r="F82" s="878">
        <f>F80/F78</f>
        <v>0.83321350017219609</v>
      </c>
      <c r="G82" s="790"/>
      <c r="H82" s="398" t="s">
        <v>706</v>
      </c>
      <c r="I82" s="412">
        <f>'Janeiro 24'!AI30</f>
        <v>10684.099999999999</v>
      </c>
      <c r="J82" s="412">
        <f>'Fevereiro 24'!AI30</f>
        <v>11032.800000000001</v>
      </c>
      <c r="K82" s="412">
        <f>'Março 24'!AI30</f>
        <v>11194.2</v>
      </c>
      <c r="L82" s="412">
        <f>'Abril 24'!AH30</f>
        <v>11567.1</v>
      </c>
      <c r="M82" s="412">
        <f>'Maio 24'!AI30</f>
        <v>10259.799999999997</v>
      </c>
      <c r="N82" s="412">
        <f>'Junho 24'!AH30</f>
        <v>9415.5</v>
      </c>
      <c r="O82" s="412">
        <f>'Julho 24'!AI30</f>
        <v>8823.57</v>
      </c>
      <c r="P82" s="412">
        <f>'Agosto 24'!AI30</f>
        <v>11165.000000000002</v>
      </c>
      <c r="Q82" s="412">
        <f>'Setembro 24'!AH30</f>
        <v>10953.599999999999</v>
      </c>
      <c r="R82" s="412">
        <f>'Outubro 24'!AI30</f>
        <v>9920.5999999999985</v>
      </c>
      <c r="S82" s="412">
        <f>'Novembro 24'!AH30</f>
        <v>10422.400000000001</v>
      </c>
      <c r="T82" s="412">
        <f>'Dezembro 24'!AI30</f>
        <v>10538.6</v>
      </c>
      <c r="U82" s="413">
        <f>SUM(I82:T82)</f>
        <v>125977.27000000002</v>
      </c>
      <c r="V82" s="412">
        <f>SUM(I82:U82)</f>
        <v>251954.54000000004</v>
      </c>
      <c r="X82" s="405"/>
      <c r="Y82" s="404"/>
    </row>
    <row r="83" spans="1:27" s="393" customFormat="1" ht="10.95" customHeight="1" x14ac:dyDescent="0.3">
      <c r="A83"/>
      <c r="B83" s="755"/>
      <c r="C83" s="874"/>
      <c r="D83" s="871"/>
      <c r="E83" s="871"/>
      <c r="F83" s="878"/>
      <c r="G83" s="790"/>
      <c r="H83" s="398" t="s">
        <v>673</v>
      </c>
      <c r="I83" s="423">
        <f>I82/I81</f>
        <v>0.84126771653543297</v>
      </c>
      <c r="J83" s="423">
        <f>J82/J81</f>
        <v>0.86261141516810014</v>
      </c>
      <c r="K83" s="423">
        <f>K82/K81</f>
        <v>0.88842857142857146</v>
      </c>
      <c r="L83" s="423">
        <f>L82/L81</f>
        <v>0.99793805538780089</v>
      </c>
      <c r="M83" s="423">
        <f>M82/M81</f>
        <v>0.950861909175162</v>
      </c>
      <c r="N83" s="423">
        <f t="shared" ref="N83:V83" si="27">N82/N81</f>
        <v>0.97691429757211035</v>
      </c>
      <c r="O83" s="423">
        <f t="shared" si="27"/>
        <v>0.8728430111781581</v>
      </c>
      <c r="P83" s="423">
        <f t="shared" si="27"/>
        <v>0.88850867420022295</v>
      </c>
      <c r="Q83" s="423">
        <f t="shared" si="27"/>
        <v>0.95890746739035271</v>
      </c>
      <c r="R83" s="423">
        <f t="shared" si="27"/>
        <v>0.85250494113603148</v>
      </c>
      <c r="S83" s="423">
        <f t="shared" si="27"/>
        <v>0.97606293313354575</v>
      </c>
      <c r="T83" s="423">
        <f t="shared" si="27"/>
        <v>0.83633044996428862</v>
      </c>
      <c r="U83" s="423">
        <f t="shared" si="27"/>
        <v>0.90551001631649708</v>
      </c>
      <c r="V83" s="423">
        <f t="shared" si="27"/>
        <v>1.8110200326329942</v>
      </c>
      <c r="X83" s="405"/>
      <c r="Y83" s="404"/>
    </row>
    <row r="84" spans="1:27" s="393" customFormat="1" ht="10.95" customHeight="1" x14ac:dyDescent="0.3">
      <c r="A84"/>
      <c r="B84" s="422"/>
      <c r="C84" s="422"/>
      <c r="D84" s="108"/>
      <c r="E84" s="108"/>
      <c r="F84" s="108"/>
      <c r="G84" s="15"/>
      <c r="H84" s="408"/>
      <c r="I84" s="423"/>
      <c r="J84" s="423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10"/>
      <c r="V84" s="423"/>
      <c r="X84" s="405"/>
      <c r="Y84" s="404"/>
    </row>
    <row r="85" spans="1:27" s="393" customFormat="1" x14ac:dyDescent="0.3">
      <c r="A85"/>
      <c r="B85"/>
      <c r="C85"/>
      <c r="D85"/>
      <c r="E85"/>
      <c r="F85"/>
      <c r="G85" s="421" t="s">
        <v>672</v>
      </c>
      <c r="H85" s="421" t="s">
        <v>673</v>
      </c>
      <c r="I85" s="420">
        <v>45292</v>
      </c>
      <c r="J85" s="420">
        <v>45323</v>
      </c>
      <c r="K85" s="420">
        <v>45352</v>
      </c>
      <c r="L85" s="420">
        <v>45383</v>
      </c>
      <c r="M85" s="420">
        <v>45413</v>
      </c>
      <c r="N85" s="420">
        <v>45444</v>
      </c>
      <c r="O85" s="420">
        <v>45474</v>
      </c>
      <c r="P85" s="420">
        <v>45505</v>
      </c>
      <c r="Q85" s="420">
        <v>45536</v>
      </c>
      <c r="R85" s="420">
        <v>45566</v>
      </c>
      <c r="S85" s="420">
        <v>45597</v>
      </c>
      <c r="T85" s="420">
        <v>45627</v>
      </c>
      <c r="U85" s="420" t="s">
        <v>674</v>
      </c>
      <c r="V85" s="420" t="s">
        <v>704</v>
      </c>
      <c r="X85" s="406">
        <f>Y85-Y81</f>
        <v>393.0224750000034</v>
      </c>
      <c r="Y85" s="404">
        <f>V90</f>
        <v>12765.694608333337</v>
      </c>
      <c r="Z85" s="393">
        <v>121</v>
      </c>
    </row>
    <row r="86" spans="1:27" s="393" customFormat="1" x14ac:dyDescent="0.3">
      <c r="A86"/>
      <c r="B86"/>
      <c r="C86"/>
      <c r="D86" s="792" t="s">
        <v>667</v>
      </c>
      <c r="E86" s="689"/>
      <c r="F86" s="689"/>
      <c r="G86" s="843">
        <f>SUM(G3:G83)</f>
        <v>2500</v>
      </c>
      <c r="H86" s="415" t="s">
        <v>705</v>
      </c>
      <c r="I86" s="415">
        <f>SUM(I3,I6,I9,I12,I15,I18,I21,I24,I27,I30,I33,I36,I39,I42,I45,I48,I51,I54,I57,I60,I63,I66,I69,I72,I75,I78,I81)</f>
        <v>296546.02999999997</v>
      </c>
      <c r="J86" s="415">
        <f t="shared" ref="J86:U86" si="28">SUM(J3,J6,J9,J12,J15,J18,J21,J24,J27,J30,J33,J36,J39,J42,J45,J48,J51,J54,J57,J60,J63,J66,J69,J72,J75,J78,J81)</f>
        <v>300189.60100000002</v>
      </c>
      <c r="K86" s="415">
        <f t="shared" si="28"/>
        <v>300739.94</v>
      </c>
      <c r="L86" s="415">
        <f t="shared" si="28"/>
        <v>277074.39290000004</v>
      </c>
      <c r="M86" s="415">
        <f t="shared" si="28"/>
        <v>260172.80100000004</v>
      </c>
      <c r="N86" s="415">
        <f t="shared" si="28"/>
        <v>244555.97219999999</v>
      </c>
      <c r="O86" s="415">
        <f>SUM(O3,O6,O9,O12,O15,O18,O21,O24,O27,O30,O33,O36,O39,O42,O45,O48,O51,O54,O57,O60,O63,O66,O69,O72,O75,O78,O81)</f>
        <v>257785.83710000003</v>
      </c>
      <c r="P86" s="415">
        <f t="shared" si="28"/>
        <v>308604.49540000001</v>
      </c>
      <c r="Q86" s="415">
        <f t="shared" si="28"/>
        <v>286931.77169999998</v>
      </c>
      <c r="R86" s="415">
        <f t="shared" si="28"/>
        <v>290986.00229999999</v>
      </c>
      <c r="S86" s="415">
        <f t="shared" si="28"/>
        <v>268077.9362</v>
      </c>
      <c r="T86" s="415">
        <f t="shared" si="28"/>
        <v>317332.65789999999</v>
      </c>
      <c r="U86" s="415">
        <f t="shared" si="28"/>
        <v>3408997.4377000001</v>
      </c>
      <c r="V86" s="416">
        <f>SUM(I86:T86)</f>
        <v>3408997.4376999997</v>
      </c>
    </row>
    <row r="87" spans="1:27" x14ac:dyDescent="0.3">
      <c r="D87" s="792"/>
      <c r="E87" s="689"/>
      <c r="F87" s="689"/>
      <c r="G87" s="843"/>
      <c r="H87" s="419" t="s">
        <v>706</v>
      </c>
      <c r="I87" s="415">
        <f>SUM(I4,I7,I10,I13,I16,I19,I22,I25,I28,I31,I34,I37,I40,I43,I46,I49,I52,I55,I58,I61,I64,I67,I70,I73,I76,I79,I82)</f>
        <v>275202.8</v>
      </c>
      <c r="J87" s="415">
        <f t="shared" ref="J87:U87" si="29">SUM(J4,J7,J10,J13,J16,J19,J22,J25,J28,J31,J34,J37,J40,J43,J46,J49,J52,J55,J58,J61,J64,J67,J70,J73,J76,J79,J82)</f>
        <v>267119.48</v>
      </c>
      <c r="K87" s="415">
        <f t="shared" si="29"/>
        <v>265056.82999999996</v>
      </c>
      <c r="L87" s="415">
        <f>SUM(L4,L7,L10,L13,L16,L19,L22,L25,L28,L31,L34,L37,L40,L43,L46,L49,L52,L55,L58,L61,L64,L67,L70,L73,L76,L79,L82)</f>
        <v>276088.74</v>
      </c>
      <c r="M87" s="415">
        <f t="shared" si="29"/>
        <v>271939.8</v>
      </c>
      <c r="N87" s="415">
        <f t="shared" si="29"/>
        <v>278424.48</v>
      </c>
      <c r="O87" s="415">
        <f t="shared" si="29"/>
        <v>261357.16999999998</v>
      </c>
      <c r="P87" s="415">
        <f t="shared" si="29"/>
        <v>308885.90000000002</v>
      </c>
      <c r="Q87" s="415">
        <f t="shared" si="29"/>
        <v>306987.06</v>
      </c>
      <c r="R87" s="415">
        <f t="shared" si="29"/>
        <v>269566.98000000004</v>
      </c>
      <c r="S87" s="415">
        <f t="shared" si="29"/>
        <v>265221.89999999997</v>
      </c>
      <c r="T87" s="415">
        <f t="shared" si="29"/>
        <v>264673.2</v>
      </c>
      <c r="U87" s="415">
        <f t="shared" si="29"/>
        <v>3310524.3400000003</v>
      </c>
      <c r="V87" s="416">
        <f>SUM(I87:T87)</f>
        <v>3310524.3400000003</v>
      </c>
    </row>
    <row r="88" spans="1:27" x14ac:dyDescent="0.3">
      <c r="D88" s="792"/>
      <c r="E88" s="689"/>
      <c r="F88" s="689"/>
      <c r="G88" s="843"/>
      <c r="H88" s="419" t="s">
        <v>713</v>
      </c>
      <c r="I88" s="417">
        <f>I87/I86</f>
        <v>0.92802726106297906</v>
      </c>
      <c r="J88" s="417">
        <f>J87/J86</f>
        <v>0.88983588741969766</v>
      </c>
      <c r="K88" s="417">
        <f t="shared" ref="K88:U88" si="30">K87/K86</f>
        <v>0.88134894886259518</v>
      </c>
      <c r="L88" s="417">
        <f t="shared" si="30"/>
        <v>0.9964426416686013</v>
      </c>
      <c r="M88" s="417">
        <f t="shared" si="30"/>
        <v>1.0452276293093372</v>
      </c>
      <c r="N88" s="417">
        <f t="shared" si="30"/>
        <v>1.1384898004956592</v>
      </c>
      <c r="O88" s="417">
        <f t="shared" si="30"/>
        <v>1.0138538755277489</v>
      </c>
      <c r="P88" s="417">
        <f t="shared" si="30"/>
        <v>1.0009118616358303</v>
      </c>
      <c r="Q88" s="417">
        <f t="shared" si="30"/>
        <v>1.0698956695564852</v>
      </c>
      <c r="R88" s="417">
        <f t="shared" si="30"/>
        <v>0.9263915716539608</v>
      </c>
      <c r="S88" s="417">
        <f t="shared" si="30"/>
        <v>0.98934624669047999</v>
      </c>
      <c r="T88" s="417">
        <f t="shared" si="30"/>
        <v>0.83405597694078371</v>
      </c>
      <c r="U88" s="417">
        <f t="shared" si="30"/>
        <v>0.97111376599730204</v>
      </c>
      <c r="V88" s="418">
        <f>V87/V86</f>
        <v>0.97111376599730226</v>
      </c>
      <c r="AA88" s="402">
        <f>V86/0.75</f>
        <v>4545329.9169333326</v>
      </c>
    </row>
    <row r="89" spans="1:27" x14ac:dyDescent="0.3">
      <c r="I89" s="634"/>
      <c r="J89" s="414"/>
      <c r="AA89" s="402">
        <f>V87</f>
        <v>3310524.3400000003</v>
      </c>
    </row>
    <row r="90" spans="1:27" s="393" customFormat="1" x14ac:dyDescent="0.3">
      <c r="A90"/>
      <c r="B90"/>
      <c r="C90"/>
      <c r="D90"/>
      <c r="E90"/>
      <c r="F90"/>
      <c r="G90" s="31">
        <v>121</v>
      </c>
      <c r="H90" s="31"/>
      <c r="I90" s="407">
        <f>(I81*$G$90/$G$81)*0.91</f>
        <v>13983.970000000001</v>
      </c>
      <c r="J90" s="407">
        <f t="shared" ref="J90:T90" si="31">(J81*$G$90/$G$81)*0.91</f>
        <v>14083.069</v>
      </c>
      <c r="K90" s="407">
        <f t="shared" si="31"/>
        <v>13873.86</v>
      </c>
      <c r="L90" s="407">
        <f t="shared" si="31"/>
        <v>12762.850100000001</v>
      </c>
      <c r="M90" s="407">
        <f t="shared" si="31"/>
        <v>11880.869000000001</v>
      </c>
      <c r="N90" s="407">
        <f t="shared" si="31"/>
        <v>10612.4018</v>
      </c>
      <c r="O90" s="407">
        <f t="shared" si="31"/>
        <v>11131.019899999999</v>
      </c>
      <c r="P90" s="407">
        <f t="shared" si="31"/>
        <v>13836.422600000002</v>
      </c>
      <c r="Q90" s="407">
        <f t="shared" si="31"/>
        <v>12577.865299999999</v>
      </c>
      <c r="R90" s="407">
        <f t="shared" si="31"/>
        <v>12813.500700000001</v>
      </c>
      <c r="S90" s="407">
        <f t="shared" si="31"/>
        <v>11757.5458</v>
      </c>
      <c r="T90" s="407">
        <f t="shared" si="31"/>
        <v>13874.9611</v>
      </c>
      <c r="U90"/>
      <c r="V90" s="404">
        <f>AVERAGE(I90:T90)</f>
        <v>12765.694608333337</v>
      </c>
      <c r="W90" s="393">
        <v>121</v>
      </c>
      <c r="Z90" s="393" t="s">
        <v>842</v>
      </c>
      <c r="AA90" s="624">
        <f>AA89/AA88</f>
        <v>0.72833532449797667</v>
      </c>
    </row>
    <row r="91" spans="1:27" s="393" customFormat="1" x14ac:dyDescent="0.3">
      <c r="A91"/>
      <c r="B91"/>
      <c r="C91"/>
      <c r="D91"/>
      <c r="E91"/>
      <c r="F91"/>
      <c r="G91" s="31">
        <v>110</v>
      </c>
      <c r="H91" s="31"/>
      <c r="I91" s="407">
        <f>(I81*$G$91/$G$81)*0.93</f>
        <v>12992.1</v>
      </c>
      <c r="J91" s="407">
        <f t="shared" ref="J91:T91" si="32">(J81*$G$91/$G$81)*0.93</f>
        <v>13084.17</v>
      </c>
      <c r="K91" s="407">
        <f t="shared" si="32"/>
        <v>12889.800000000001</v>
      </c>
      <c r="L91" s="407">
        <f t="shared" si="32"/>
        <v>11857.593000000001</v>
      </c>
      <c r="M91" s="407">
        <f t="shared" si="32"/>
        <v>11038.17</v>
      </c>
      <c r="N91" s="407">
        <f t="shared" si="32"/>
        <v>9859.6739999999991</v>
      </c>
      <c r="O91" s="407">
        <f t="shared" si="32"/>
        <v>10341.507</v>
      </c>
      <c r="P91" s="407">
        <f t="shared" si="32"/>
        <v>12855.018000000002</v>
      </c>
      <c r="Q91" s="407">
        <f t="shared" si="32"/>
        <v>11685.728999999999</v>
      </c>
      <c r="R91" s="407">
        <f t="shared" si="32"/>
        <v>11904.651000000002</v>
      </c>
      <c r="S91" s="407">
        <f t="shared" si="32"/>
        <v>10923.593999999999</v>
      </c>
      <c r="T91" s="407">
        <f t="shared" si="32"/>
        <v>12890.823</v>
      </c>
      <c r="U91"/>
      <c r="V91" s="404">
        <f>AVERAGE(I91:T91)</f>
        <v>11860.23575</v>
      </c>
      <c r="W91" s="393">
        <v>110</v>
      </c>
    </row>
    <row r="92" spans="1:27" s="393" customFormat="1" x14ac:dyDescent="0.3">
      <c r="A92"/>
      <c r="B92"/>
      <c r="C92"/>
      <c r="D92"/>
      <c r="E92"/>
      <c r="F92"/>
      <c r="G92" s="31">
        <v>116</v>
      </c>
      <c r="H92" s="31"/>
      <c r="I92" s="407">
        <f>(I81*$G$92/$G$81)*0.92</f>
        <v>13553.44</v>
      </c>
      <c r="J92" s="407">
        <f t="shared" ref="J92:T92" si="33">(J81*$G$92/$G$81)*0.92</f>
        <v>13649.487999999999</v>
      </c>
      <c r="K92" s="407">
        <f t="shared" si="33"/>
        <v>13446.720000000001</v>
      </c>
      <c r="L92" s="407">
        <f t="shared" si="33"/>
        <v>12369.915199999999</v>
      </c>
      <c r="M92" s="407">
        <f t="shared" si="33"/>
        <v>11515.088</v>
      </c>
      <c r="N92" s="407">
        <f t="shared" si="33"/>
        <v>10285.6736</v>
      </c>
      <c r="O92" s="407">
        <f t="shared" si="33"/>
        <v>10788.3248</v>
      </c>
      <c r="P92" s="407">
        <f t="shared" si="33"/>
        <v>13410.4352</v>
      </c>
      <c r="Q92" s="407">
        <f t="shared" si="33"/>
        <v>12190.625600000001</v>
      </c>
      <c r="R92" s="407">
        <f t="shared" si="33"/>
        <v>12419.0064</v>
      </c>
      <c r="S92" s="407">
        <f t="shared" si="33"/>
        <v>11395.561600000001</v>
      </c>
      <c r="T92" s="407">
        <f t="shared" si="33"/>
        <v>13447.787200000001</v>
      </c>
      <c r="U92"/>
      <c r="V92" s="404">
        <f>AVERAGE(I92:T92)</f>
        <v>12372.672133333333</v>
      </c>
      <c r="W92" s="393">
        <v>116</v>
      </c>
    </row>
    <row r="93" spans="1:27" s="393" customFormat="1" x14ac:dyDescent="0.3">
      <c r="A93"/>
      <c r="B93"/>
      <c r="C93"/>
      <c r="D93"/>
      <c r="E93"/>
      <c r="F93"/>
      <c r="G93" s="31">
        <v>67</v>
      </c>
      <c r="H93" s="31"/>
      <c r="I93" s="407">
        <f>(I81*$G$93/$G$81)*0.95</f>
        <v>8083.5499999999993</v>
      </c>
      <c r="J93" s="407">
        <f t="shared" ref="J93:T93" si="34">(J81*$G$93/$G$81)*0.95</f>
        <v>8140.8349999999991</v>
      </c>
      <c r="K93" s="407">
        <f t="shared" si="34"/>
        <v>8019.9</v>
      </c>
      <c r="L93" s="407">
        <f t="shared" si="34"/>
        <v>7377.6714999999995</v>
      </c>
      <c r="M93" s="407">
        <f t="shared" si="34"/>
        <v>6867.835</v>
      </c>
      <c r="N93" s="407">
        <f t="shared" si="34"/>
        <v>6134.5869999999995</v>
      </c>
      <c r="O93" s="407">
        <f t="shared" si="34"/>
        <v>6434.3784999999998</v>
      </c>
      <c r="P93" s="407">
        <f t="shared" si="34"/>
        <v>7998.2589999999991</v>
      </c>
      <c r="Q93" s="407">
        <f t="shared" si="34"/>
        <v>7270.7394999999997</v>
      </c>
      <c r="R93" s="407">
        <f t="shared" si="34"/>
        <v>7406.9504999999999</v>
      </c>
      <c r="S93" s="407">
        <f t="shared" si="34"/>
        <v>6796.5469999999996</v>
      </c>
      <c r="T93" s="407">
        <f t="shared" si="34"/>
        <v>8020.5364999999993</v>
      </c>
      <c r="U93"/>
      <c r="V93" s="404">
        <f>AVERAGE(I93:T93)</f>
        <v>7379.3157916666678</v>
      </c>
      <c r="W93" s="393">
        <v>106</v>
      </c>
    </row>
    <row r="94" spans="1:27" s="393" customFormat="1" x14ac:dyDescent="0.3">
      <c r="A94"/>
      <c r="B94"/>
      <c r="C94"/>
      <c r="D94"/>
      <c r="E94"/>
      <c r="F94"/>
      <c r="G94" s="31"/>
      <c r="H94" s="31"/>
      <c r="I94" s="407"/>
      <c r="J94" s="407"/>
      <c r="K94" s="407"/>
      <c r="L94" s="407"/>
      <c r="M94" s="407"/>
      <c r="N94" s="407"/>
      <c r="O94" s="407"/>
      <c r="P94" s="407"/>
      <c r="Q94" s="407"/>
      <c r="R94" s="407"/>
      <c r="S94" s="407"/>
      <c r="T94" s="407"/>
      <c r="U94"/>
      <c r="V94" s="402">
        <f>AVERAGE(I81:T81)</f>
        <v>11593.583333333334</v>
      </c>
      <c r="W94" s="393">
        <v>100</v>
      </c>
    </row>
    <row r="95" spans="1:27" s="393" customFormat="1" x14ac:dyDescent="0.3">
      <c r="A95"/>
      <c r="B95"/>
      <c r="C95"/>
      <c r="D95"/>
      <c r="E95"/>
      <c r="F95"/>
      <c r="G95" s="31"/>
      <c r="H95" s="31"/>
      <c r="I95" s="407">
        <f t="shared" ref="I95:T95" si="35">SUM(I3:I36)</f>
        <v>157398.62617141235</v>
      </c>
      <c r="J95" s="407">
        <f t="shared" si="35"/>
        <v>149470.82276672361</v>
      </c>
      <c r="K95" s="407">
        <f t="shared" si="35"/>
        <v>150181.22500037635</v>
      </c>
      <c r="L95" s="407">
        <f t="shared" si="35"/>
        <v>142568.63519231451</v>
      </c>
      <c r="M95" s="407">
        <f t="shared" si="35"/>
        <v>137042.53160959168</v>
      </c>
      <c r="N95" s="407">
        <f t="shared" si="35"/>
        <v>134806.59905061152</v>
      </c>
      <c r="O95" s="407">
        <f t="shared" si="35"/>
        <v>136848.65192319138</v>
      </c>
      <c r="P95" s="407">
        <f t="shared" si="35"/>
        <v>155736.32031942985</v>
      </c>
      <c r="Q95" s="407">
        <f t="shared" si="35"/>
        <v>153905.15458303777</v>
      </c>
      <c r="R95" s="407">
        <f t="shared" si="35"/>
        <v>142616.22326659947</v>
      </c>
      <c r="S95" s="407">
        <f t="shared" si="35"/>
        <v>135686.33557485917</v>
      </c>
      <c r="T95" s="407">
        <f t="shared" si="35"/>
        <v>148618.61725838936</v>
      </c>
      <c r="U95" s="407">
        <f>SUM(I95:T95)</f>
        <v>1744879.7427165373</v>
      </c>
    </row>
    <row r="96" spans="1:27" s="393" customFormat="1" x14ac:dyDescent="0.3">
      <c r="A96"/>
      <c r="B96"/>
      <c r="C96"/>
      <c r="D96" t="s">
        <v>391</v>
      </c>
      <c r="E96"/>
      <c r="F96"/>
      <c r="G96" s="31"/>
      <c r="H96" s="31"/>
      <c r="I96" s="407" t="e">
        <f t="shared" ref="I96:T96" si="36">SUM(I39:I75)</f>
        <v>#DIV/0!</v>
      </c>
      <c r="J96" s="407">
        <f t="shared" si="36"/>
        <v>370891.0939652829</v>
      </c>
      <c r="K96" s="407">
        <f t="shared" si="36"/>
        <v>369978.62459082209</v>
      </c>
      <c r="L96" s="407">
        <f t="shared" si="36"/>
        <v>362457.40041299496</v>
      </c>
      <c r="M96" s="407">
        <f t="shared" si="36"/>
        <v>349491.79821851756</v>
      </c>
      <c r="N96" s="407">
        <f t="shared" si="36"/>
        <v>327340.89456444804</v>
      </c>
      <c r="O96" s="407">
        <f t="shared" si="36"/>
        <v>322000.86596298526</v>
      </c>
      <c r="P96" s="407">
        <f t="shared" si="36"/>
        <v>389061.030386422</v>
      </c>
      <c r="Q96" s="407">
        <f t="shared" si="36"/>
        <v>371692.97673100006</v>
      </c>
      <c r="R96" s="407">
        <f t="shared" si="36"/>
        <v>353468.67783915234</v>
      </c>
      <c r="S96" s="407">
        <f t="shared" si="36"/>
        <v>337864.60932392505</v>
      </c>
      <c r="T96" s="407">
        <f t="shared" si="36"/>
        <v>368846.34041184944</v>
      </c>
      <c r="U96" s="407" t="e">
        <f>SUM(I96:T96)</f>
        <v>#DIV/0!</v>
      </c>
    </row>
    <row r="97" spans="1:23" s="393" customFormat="1" x14ac:dyDescent="0.3">
      <c r="A97"/>
      <c r="B97"/>
      <c r="C97"/>
      <c r="D97" t="s">
        <v>383</v>
      </c>
      <c r="E97"/>
      <c r="F97"/>
      <c r="G97" s="31"/>
      <c r="H97" s="31"/>
      <c r="I97" s="407">
        <f t="shared" ref="I97:T97" si="37">SUM(I78:I81)</f>
        <v>12700</v>
      </c>
      <c r="J97" s="407">
        <f t="shared" si="37"/>
        <v>12790</v>
      </c>
      <c r="K97" s="407">
        <f t="shared" si="37"/>
        <v>12600</v>
      </c>
      <c r="L97" s="407">
        <f t="shared" si="37"/>
        <v>11591</v>
      </c>
      <c r="M97" s="407">
        <f t="shared" si="37"/>
        <v>10790</v>
      </c>
      <c r="N97" s="407">
        <f t="shared" si="37"/>
        <v>26615.84147333472</v>
      </c>
      <c r="O97" s="407">
        <f t="shared" si="37"/>
        <v>27501.220397665445</v>
      </c>
      <c r="P97" s="407">
        <f t="shared" si="37"/>
        <v>34015.406883654301</v>
      </c>
      <c r="Q97" s="407">
        <f t="shared" si="37"/>
        <v>33243.050105926639</v>
      </c>
      <c r="R97" s="407">
        <f t="shared" si="37"/>
        <v>32991.414972931168</v>
      </c>
      <c r="S97" s="407">
        <f t="shared" si="37"/>
        <v>26585.789726540548</v>
      </c>
      <c r="T97" s="407">
        <f t="shared" si="37"/>
        <v>31832.026109038965</v>
      </c>
      <c r="U97" s="407">
        <f>SUM(I97:T97)</f>
        <v>273255.74966909178</v>
      </c>
    </row>
    <row r="98" spans="1:23" s="393" customFormat="1" x14ac:dyDescent="0.3">
      <c r="A98"/>
      <c r="B98"/>
      <c r="C98"/>
      <c r="D98" t="s">
        <v>712</v>
      </c>
      <c r="E98"/>
      <c r="F98"/>
      <c r="G98" s="31"/>
      <c r="H98" s="31"/>
      <c r="I98" s="407"/>
      <c r="J98" s="407"/>
      <c r="K98" s="407"/>
      <c r="L98" s="407"/>
      <c r="M98" s="407"/>
      <c r="N98" s="407"/>
      <c r="O98" s="407"/>
      <c r="P98" s="407"/>
      <c r="Q98" s="407"/>
      <c r="R98" s="407"/>
      <c r="S98" s="407"/>
      <c r="T98" s="407"/>
      <c r="U98"/>
    </row>
    <row r="99" spans="1:23" x14ac:dyDescent="0.3">
      <c r="W99" s="393">
        <v>257786</v>
      </c>
    </row>
    <row r="100" spans="1:23" x14ac:dyDescent="0.3">
      <c r="G100">
        <f>960+500+700</f>
        <v>2160</v>
      </c>
    </row>
    <row r="101" spans="1:23" x14ac:dyDescent="0.3">
      <c r="D101" t="s">
        <v>714</v>
      </c>
      <c r="G101">
        <v>337</v>
      </c>
    </row>
    <row r="102" spans="1:23" x14ac:dyDescent="0.3">
      <c r="D102" t="s">
        <v>715</v>
      </c>
      <c r="G102">
        <f>SUM(G100:G101)</f>
        <v>2497</v>
      </c>
    </row>
    <row r="103" spans="1:23" x14ac:dyDescent="0.3">
      <c r="D103" t="s">
        <v>667</v>
      </c>
    </row>
    <row r="104" spans="1:23" x14ac:dyDescent="0.3">
      <c r="G104">
        <f>G102-G110-G111-G107</f>
        <v>2206</v>
      </c>
    </row>
    <row r="105" spans="1:23" x14ac:dyDescent="0.3">
      <c r="D105" s="4" t="s">
        <v>716</v>
      </c>
      <c r="E105" s="4"/>
      <c r="F105" s="4"/>
    </row>
    <row r="106" spans="1:23" x14ac:dyDescent="0.3">
      <c r="G106">
        <v>100</v>
      </c>
    </row>
    <row r="107" spans="1:23" x14ac:dyDescent="0.3">
      <c r="D107" s="4" t="s">
        <v>717</v>
      </c>
      <c r="E107" s="4"/>
      <c r="F107" s="4"/>
      <c r="G107">
        <v>100</v>
      </c>
    </row>
    <row r="108" spans="1:23" x14ac:dyDescent="0.3">
      <c r="D108" t="s">
        <v>718</v>
      </c>
    </row>
    <row r="109" spans="1:23" x14ac:dyDescent="0.3">
      <c r="G109" s="240"/>
      <c r="H109" s="240"/>
    </row>
    <row r="110" spans="1:23" x14ac:dyDescent="0.3">
      <c r="D110" s="4" t="s">
        <v>719</v>
      </c>
      <c r="E110" s="4"/>
      <c r="F110" s="4"/>
      <c r="G110">
        <v>100</v>
      </c>
    </row>
    <row r="111" spans="1:23" x14ac:dyDescent="0.3">
      <c r="D111" t="s">
        <v>720</v>
      </c>
      <c r="G111">
        <v>91</v>
      </c>
    </row>
    <row r="112" spans="1:23" x14ac:dyDescent="0.3">
      <c r="D112" t="s">
        <v>721</v>
      </c>
    </row>
    <row r="113" spans="4:20" x14ac:dyDescent="0.3">
      <c r="G113">
        <v>1000</v>
      </c>
    </row>
    <row r="114" spans="4:20" x14ac:dyDescent="0.3">
      <c r="D114" t="s">
        <v>722</v>
      </c>
      <c r="G114">
        <v>450</v>
      </c>
    </row>
    <row r="115" spans="4:20" x14ac:dyDescent="0.3">
      <c r="D115" t="s">
        <v>723</v>
      </c>
      <c r="G115">
        <f>SUM(G113:G114)</f>
        <v>1450</v>
      </c>
    </row>
    <row r="117" spans="4:20" x14ac:dyDescent="0.3">
      <c r="G117" s="4">
        <f>G102+G115</f>
        <v>3947</v>
      </c>
      <c r="H117" s="4"/>
    </row>
    <row r="118" spans="4:20" x14ac:dyDescent="0.3">
      <c r="D118" s="4" t="s">
        <v>724</v>
      </c>
      <c r="E118" s="4"/>
      <c r="F118" s="4"/>
    </row>
    <row r="120" spans="4:20" x14ac:dyDescent="0.3">
      <c r="H120" t="s">
        <v>673</v>
      </c>
      <c r="I120" s="620">
        <v>45292</v>
      </c>
      <c r="J120" s="620">
        <v>45323</v>
      </c>
      <c r="K120" s="620">
        <v>45352</v>
      </c>
      <c r="L120" s="620">
        <v>45383</v>
      </c>
      <c r="M120" s="620">
        <v>45413</v>
      </c>
      <c r="N120" s="620">
        <v>45444</v>
      </c>
      <c r="O120" s="620">
        <v>45474</v>
      </c>
      <c r="P120" s="620">
        <v>45505</v>
      </c>
      <c r="Q120" s="620">
        <v>45536</v>
      </c>
      <c r="R120" s="620">
        <v>45566</v>
      </c>
      <c r="S120" s="620">
        <v>45597</v>
      </c>
      <c r="T120" s="620">
        <v>45627</v>
      </c>
    </row>
    <row r="121" spans="4:20" x14ac:dyDescent="0.3">
      <c r="H121" t="s">
        <v>705</v>
      </c>
      <c r="I121">
        <v>309538.13</v>
      </c>
      <c r="J121">
        <v>300189.60100000002</v>
      </c>
      <c r="K121">
        <v>300739.94</v>
      </c>
      <c r="L121">
        <v>277074.39290000004</v>
      </c>
      <c r="M121">
        <v>260172.80100000004</v>
      </c>
      <c r="N121">
        <v>244555.97219999999</v>
      </c>
      <c r="O121">
        <v>257785.83710000003</v>
      </c>
      <c r="P121">
        <v>308604.49540000001</v>
      </c>
      <c r="Q121">
        <v>286931.77169999998</v>
      </c>
      <c r="R121">
        <v>290986.00229999999</v>
      </c>
      <c r="S121">
        <v>268077.9362</v>
      </c>
      <c r="T121">
        <v>317332.65789999999</v>
      </c>
    </row>
    <row r="122" spans="4:20" x14ac:dyDescent="0.3">
      <c r="H122" t="s">
        <v>706</v>
      </c>
      <c r="I122">
        <v>275202.8</v>
      </c>
      <c r="J122">
        <v>267119.48</v>
      </c>
      <c r="K122">
        <v>265056.82999999996</v>
      </c>
      <c r="L122">
        <v>276088.74</v>
      </c>
      <c r="M122">
        <v>271939.8</v>
      </c>
      <c r="N122">
        <v>278424.48</v>
      </c>
      <c r="O122">
        <v>261357.16999999998</v>
      </c>
      <c r="P122">
        <v>308885.90000000002</v>
      </c>
      <c r="Q122">
        <v>306987.06</v>
      </c>
      <c r="R122">
        <v>269566.98000000004</v>
      </c>
      <c r="S122">
        <v>264256.89999999997</v>
      </c>
      <c r="T122">
        <v>0</v>
      </c>
    </row>
    <row r="125" spans="4:20" x14ac:dyDescent="0.3">
      <c r="H125" t="s">
        <v>360</v>
      </c>
      <c r="I125" s="620">
        <v>45292</v>
      </c>
      <c r="J125" s="620">
        <v>45323</v>
      </c>
      <c r="K125" s="620">
        <v>45352</v>
      </c>
      <c r="L125" s="620">
        <v>45383</v>
      </c>
      <c r="M125" s="620">
        <v>45413</v>
      </c>
      <c r="N125" s="620">
        <v>45444</v>
      </c>
      <c r="O125" s="620">
        <v>45474</v>
      </c>
      <c r="P125" s="620">
        <v>45505</v>
      </c>
      <c r="Q125" s="620">
        <v>45536</v>
      </c>
      <c r="R125" s="620">
        <v>45566</v>
      </c>
      <c r="S125" s="620">
        <v>45597</v>
      </c>
      <c r="T125" s="620">
        <v>45627</v>
      </c>
    </row>
    <row r="126" spans="4:20" x14ac:dyDescent="0.3">
      <c r="H126" t="s">
        <v>836</v>
      </c>
      <c r="I126" s="633">
        <f>I121</f>
        <v>309538.13</v>
      </c>
      <c r="J126" s="633">
        <f>J121+I126</f>
        <v>609727.73100000003</v>
      </c>
      <c r="K126" s="633">
        <f t="shared" ref="K126:T127" si="38">K121+J126</f>
        <v>910467.67100000009</v>
      </c>
      <c r="L126" s="633">
        <f t="shared" si="38"/>
        <v>1187542.0639000002</v>
      </c>
      <c r="M126" s="633">
        <f t="shared" si="38"/>
        <v>1447714.8649000002</v>
      </c>
      <c r="N126" s="633">
        <f t="shared" si="38"/>
        <v>1692270.8371000001</v>
      </c>
      <c r="O126" s="633">
        <f t="shared" si="38"/>
        <v>1950056.6742000002</v>
      </c>
      <c r="P126" s="633">
        <f t="shared" si="38"/>
        <v>2258661.1696000001</v>
      </c>
      <c r="Q126" s="633">
        <f t="shared" si="38"/>
        <v>2545592.9413000001</v>
      </c>
      <c r="R126" s="633">
        <f t="shared" si="38"/>
        <v>2836578.9435999999</v>
      </c>
      <c r="S126" s="633">
        <f t="shared" si="38"/>
        <v>3104656.8797999998</v>
      </c>
      <c r="T126" s="633">
        <f t="shared" si="38"/>
        <v>3421989.5376999998</v>
      </c>
    </row>
    <row r="127" spans="4:20" x14ac:dyDescent="0.3">
      <c r="H127" t="s">
        <v>837</v>
      </c>
      <c r="I127" s="633">
        <f>I122</f>
        <v>275202.8</v>
      </c>
      <c r="J127" s="633">
        <f>J122+I127</f>
        <v>542322.28</v>
      </c>
      <c r="K127" s="633">
        <f t="shared" ref="K127:Q127" si="39">K122+J127</f>
        <v>807379.11</v>
      </c>
      <c r="L127" s="633">
        <f t="shared" si="39"/>
        <v>1083467.8500000001</v>
      </c>
      <c r="M127" s="633">
        <f t="shared" si="39"/>
        <v>1355407.6500000001</v>
      </c>
      <c r="N127" s="633">
        <f t="shared" si="39"/>
        <v>1633832.1300000001</v>
      </c>
      <c r="O127" s="633">
        <f t="shared" si="39"/>
        <v>1895189.3</v>
      </c>
      <c r="P127" s="633">
        <f t="shared" si="39"/>
        <v>2204075.2000000002</v>
      </c>
      <c r="Q127" s="633">
        <f t="shared" si="39"/>
        <v>2511062.2600000002</v>
      </c>
      <c r="R127" s="633">
        <f t="shared" si="38"/>
        <v>2780629.24</v>
      </c>
      <c r="S127" s="633">
        <f t="shared" si="38"/>
        <v>3044886.14</v>
      </c>
      <c r="T127" s="633"/>
    </row>
    <row r="128" spans="4:20" x14ac:dyDescent="0.3">
      <c r="H128" t="s">
        <v>838</v>
      </c>
      <c r="I128" s="10">
        <f>I127/I126</f>
        <v>0.8890756043528466</v>
      </c>
      <c r="J128" s="10">
        <f t="shared" ref="J128:S128" si="40">J127/J126</f>
        <v>0.88944991744192126</v>
      </c>
      <c r="K128" s="10">
        <f t="shared" si="40"/>
        <v>0.88677405658261965</v>
      </c>
      <c r="L128" s="10">
        <f t="shared" si="40"/>
        <v>0.91236166106132655</v>
      </c>
      <c r="M128" s="10">
        <f t="shared" si="40"/>
        <v>0.93623936789073714</v>
      </c>
      <c r="N128" s="10">
        <f t="shared" si="40"/>
        <v>0.96546728465749321</v>
      </c>
      <c r="O128" s="10">
        <f t="shared" si="40"/>
        <v>0.9718637027703263</v>
      </c>
      <c r="P128" s="10">
        <f t="shared" si="40"/>
        <v>0.97583259926956334</v>
      </c>
      <c r="Q128" s="10">
        <f t="shared" si="40"/>
        <v>0.9864351127237313</v>
      </c>
      <c r="R128" s="10">
        <f t="shared" si="40"/>
        <v>0.98027564022984959</v>
      </c>
      <c r="S128" s="10">
        <f t="shared" si="40"/>
        <v>0.98074803686394807</v>
      </c>
    </row>
  </sheetData>
  <mergeCells count="87">
    <mergeCell ref="F35:F38"/>
    <mergeCell ref="E39:E50"/>
    <mergeCell ref="E51:E65"/>
    <mergeCell ref="E66:E77"/>
    <mergeCell ref="F39:F50"/>
    <mergeCell ref="F51:F65"/>
    <mergeCell ref="F66:F77"/>
    <mergeCell ref="F20:F26"/>
    <mergeCell ref="F12:F19"/>
    <mergeCell ref="F3:F11"/>
    <mergeCell ref="E27:E30"/>
    <mergeCell ref="E31:E34"/>
    <mergeCell ref="F27:F30"/>
    <mergeCell ref="F31:F34"/>
    <mergeCell ref="C3:C26"/>
    <mergeCell ref="C27:C38"/>
    <mergeCell ref="C39:C77"/>
    <mergeCell ref="C78:C83"/>
    <mergeCell ref="E3:E11"/>
    <mergeCell ref="E20:E26"/>
    <mergeCell ref="E12:E19"/>
    <mergeCell ref="E35:E38"/>
    <mergeCell ref="E78:E79"/>
    <mergeCell ref="E80:E81"/>
    <mergeCell ref="E82:E83"/>
    <mergeCell ref="B3:B38"/>
    <mergeCell ref="D3:D5"/>
    <mergeCell ref="G3:G5"/>
    <mergeCell ref="D6:D8"/>
    <mergeCell ref="G6:G8"/>
    <mergeCell ref="D9:D11"/>
    <mergeCell ref="G9:G11"/>
    <mergeCell ref="D12:D14"/>
    <mergeCell ref="D15:D17"/>
    <mergeCell ref="D18:D20"/>
    <mergeCell ref="D21:D23"/>
    <mergeCell ref="D24:D26"/>
    <mergeCell ref="D27:D29"/>
    <mergeCell ref="D30:D32"/>
    <mergeCell ref="D33:D35"/>
    <mergeCell ref="G27:G29"/>
    <mergeCell ref="B78:B83"/>
    <mergeCell ref="D78:D80"/>
    <mergeCell ref="B39:B77"/>
    <mergeCell ref="D39:D41"/>
    <mergeCell ref="D42:D44"/>
    <mergeCell ref="D45:D47"/>
    <mergeCell ref="D48:D50"/>
    <mergeCell ref="D51:D53"/>
    <mergeCell ref="D54:D56"/>
    <mergeCell ref="D57:D59"/>
    <mergeCell ref="D60:D62"/>
    <mergeCell ref="D63:D65"/>
    <mergeCell ref="G30:G32"/>
    <mergeCell ref="D66:D68"/>
    <mergeCell ref="D69:D71"/>
    <mergeCell ref="D72:D74"/>
    <mergeCell ref="D36:D38"/>
    <mergeCell ref="G66:G68"/>
    <mergeCell ref="G33:G35"/>
    <mergeCell ref="G36:G38"/>
    <mergeCell ref="G39:G41"/>
    <mergeCell ref="G42:G44"/>
    <mergeCell ref="G45:G47"/>
    <mergeCell ref="G48:G50"/>
    <mergeCell ref="G51:G53"/>
    <mergeCell ref="G54:G56"/>
    <mergeCell ref="G57:G59"/>
    <mergeCell ref="G60:G62"/>
    <mergeCell ref="G12:G14"/>
    <mergeCell ref="G15:G17"/>
    <mergeCell ref="G18:G20"/>
    <mergeCell ref="G21:G23"/>
    <mergeCell ref="G24:G26"/>
    <mergeCell ref="G63:G65"/>
    <mergeCell ref="G86:G88"/>
    <mergeCell ref="D86:D88"/>
    <mergeCell ref="G69:G71"/>
    <mergeCell ref="G72:G74"/>
    <mergeCell ref="G75:G77"/>
    <mergeCell ref="G78:G80"/>
    <mergeCell ref="D81:D83"/>
    <mergeCell ref="G81:G83"/>
    <mergeCell ref="D75:D77"/>
    <mergeCell ref="F78:F79"/>
    <mergeCell ref="F80:F81"/>
    <mergeCell ref="F82:F83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U5:V38 U41:V83" formula="1"/>
  </ignoredError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8D58D-6E2F-44C1-90CB-13AB9BBB42AC}">
  <dimension ref="A1:Z89"/>
  <sheetViews>
    <sheetView showGridLines="0" topLeftCell="C1" zoomScale="85" zoomScaleNormal="85" workbookViewId="0">
      <pane xSplit="5" ySplit="2" topLeftCell="H65" activePane="bottomRight" state="frozen"/>
      <selection activeCell="C1" sqref="C1"/>
      <selection pane="topRight" activeCell="E1" sqref="E1"/>
      <selection pane="bottomLeft" activeCell="C3" sqref="C3"/>
      <selection pane="bottomRight" activeCell="X87" sqref="X87"/>
    </sheetView>
  </sheetViews>
  <sheetFormatPr defaultRowHeight="14.4" x14ac:dyDescent="0.3"/>
  <cols>
    <col min="1" max="1" width="3.88671875" customWidth="1"/>
    <col min="2" max="2" width="18.6640625" customWidth="1"/>
    <col min="3" max="3" width="20.21875" customWidth="1"/>
    <col min="4" max="4" width="15.6640625" customWidth="1"/>
    <col min="5" max="5" width="18.6640625" customWidth="1"/>
    <col min="6" max="6" width="35.5546875" customWidth="1"/>
    <col min="7" max="7" width="15.109375" bestFit="1" customWidth="1"/>
    <col min="8" max="8" width="5.6640625" customWidth="1"/>
    <col min="9" max="9" width="13.33203125" customWidth="1"/>
    <col min="10" max="10" width="9.33203125" customWidth="1"/>
    <col min="11" max="11" width="9.109375" customWidth="1"/>
    <col min="12" max="20" width="8.33203125" hidden="1" customWidth="1"/>
    <col min="21" max="21" width="12.5546875" hidden="1" customWidth="1"/>
    <col min="22" max="22" width="15.88671875" style="393" customWidth="1"/>
    <col min="23" max="24" width="11.109375" style="393" customWidth="1"/>
    <col min="25" max="26" width="8.88671875" style="393"/>
  </cols>
  <sheetData>
    <row r="1" spans="2:26" x14ac:dyDescent="0.3">
      <c r="V1"/>
      <c r="W1"/>
      <c r="X1"/>
      <c r="Y1"/>
      <c r="Z1"/>
    </row>
    <row r="2" spans="2:26" ht="15.6" x14ac:dyDescent="0.3">
      <c r="B2" s="143" t="s">
        <v>702</v>
      </c>
      <c r="C2" s="693"/>
      <c r="D2" s="693" t="s">
        <v>673</v>
      </c>
      <c r="E2" s="693" t="s">
        <v>1043</v>
      </c>
      <c r="F2" s="693" t="s">
        <v>703</v>
      </c>
      <c r="G2" s="693" t="s">
        <v>672</v>
      </c>
      <c r="H2" s="693" t="s">
        <v>673</v>
      </c>
      <c r="I2" s="694">
        <v>45658</v>
      </c>
      <c r="J2" s="694">
        <v>45689</v>
      </c>
      <c r="K2" s="694">
        <v>45717</v>
      </c>
      <c r="L2" s="694">
        <v>45748</v>
      </c>
      <c r="M2" s="694">
        <v>45778</v>
      </c>
      <c r="N2" s="694">
        <v>45809</v>
      </c>
      <c r="O2" s="694">
        <v>45839</v>
      </c>
      <c r="P2" s="694">
        <v>45870</v>
      </c>
      <c r="Q2" s="694">
        <v>45901</v>
      </c>
      <c r="R2" s="694">
        <v>45931</v>
      </c>
      <c r="S2" s="694">
        <v>45962</v>
      </c>
      <c r="T2" s="694">
        <v>45992</v>
      </c>
      <c r="U2" s="694" t="s">
        <v>674</v>
      </c>
      <c r="V2" s="694" t="s">
        <v>704</v>
      </c>
    </row>
    <row r="3" spans="2:26" ht="15" customHeight="1" x14ac:dyDescent="0.3">
      <c r="B3" s="751" t="s">
        <v>391</v>
      </c>
      <c r="C3" s="901" t="s">
        <v>1039</v>
      </c>
      <c r="D3" s="915" t="s">
        <v>705</v>
      </c>
      <c r="E3" s="916">
        <f>V3+V6+V9+V12+V15+V18+V21+V24</f>
        <v>125765.09479999999</v>
      </c>
      <c r="F3" s="784" t="s">
        <v>7</v>
      </c>
      <c r="G3" s="894">
        <v>12</v>
      </c>
      <c r="H3" s="690" t="s">
        <v>705</v>
      </c>
      <c r="I3" s="691">
        <f>1901*0.96</f>
        <v>1824.96</v>
      </c>
      <c r="J3" s="691">
        <f>1600*0.96</f>
        <v>1536</v>
      </c>
      <c r="K3" s="691">
        <f>1657*0.96</f>
        <v>1590.72</v>
      </c>
      <c r="L3" s="691">
        <f>1505*0.96</f>
        <v>1444.8</v>
      </c>
      <c r="M3" s="691">
        <f>1374*0.96</f>
        <v>1319.04</v>
      </c>
      <c r="N3" s="691">
        <f>1201*0.96</f>
        <v>1152.96</v>
      </c>
      <c r="O3" s="691">
        <f>1468*0.96</f>
        <v>1409.28</v>
      </c>
      <c r="P3" s="691">
        <f>1360*0.96</f>
        <v>1305.5999999999999</v>
      </c>
      <c r="Q3" s="691">
        <f>1559*0.96</f>
        <v>1496.6399999999999</v>
      </c>
      <c r="R3" s="691">
        <f>1554*0.96</f>
        <v>1491.84</v>
      </c>
      <c r="S3" s="691">
        <f>1474*0.96</f>
        <v>1415.04</v>
      </c>
      <c r="T3" s="691">
        <f>1744*0.96</f>
        <v>1674.24</v>
      </c>
      <c r="U3" s="692">
        <f>SUM(I3:T3)</f>
        <v>17661.120000000003</v>
      </c>
      <c r="V3" s="691">
        <f>SUM(I3:K3)</f>
        <v>4951.68</v>
      </c>
    </row>
    <row r="4" spans="2:26" ht="15" customHeight="1" x14ac:dyDescent="0.3">
      <c r="B4" s="793"/>
      <c r="C4" s="902"/>
      <c r="D4" s="915"/>
      <c r="E4" s="917"/>
      <c r="F4" s="785"/>
      <c r="G4" s="895"/>
      <c r="H4" s="707" t="s">
        <v>706</v>
      </c>
      <c r="I4" s="708">
        <f>'Janeiro 25'!AI5</f>
        <v>1365.7</v>
      </c>
      <c r="J4" s="708">
        <f>'Fevereiro 25'!AF5</f>
        <v>1590.5</v>
      </c>
      <c r="K4" s="708">
        <f>'Março 25'!AI5</f>
        <v>1372.5</v>
      </c>
      <c r="L4" s="708"/>
      <c r="M4" s="708"/>
      <c r="N4" s="708"/>
      <c r="O4" s="708"/>
      <c r="P4" s="708"/>
      <c r="Q4" s="708"/>
      <c r="R4" s="708"/>
      <c r="S4" s="708"/>
      <c r="T4" s="708"/>
      <c r="U4" s="708">
        <f>SUM(I4:T4)</f>
        <v>4328.7</v>
      </c>
      <c r="V4" s="708">
        <f>SUM(I4:K4)</f>
        <v>4328.7</v>
      </c>
    </row>
    <row r="5" spans="2:26" ht="15" customHeight="1" x14ac:dyDescent="0.3">
      <c r="B5" s="793"/>
      <c r="C5" s="902"/>
      <c r="D5" s="915"/>
      <c r="E5" s="917"/>
      <c r="F5" s="786"/>
      <c r="G5" s="896"/>
      <c r="H5" s="705" t="s">
        <v>673</v>
      </c>
      <c r="I5" s="706">
        <f>I4/I3</f>
        <v>0.74834516920918814</v>
      </c>
      <c r="J5" s="706">
        <f>J4/J3</f>
        <v>1.0354817708333333</v>
      </c>
      <c r="K5" s="706">
        <f t="shared" ref="K5:U5" si="0">K4/K3</f>
        <v>0.86281683765841877</v>
      </c>
      <c r="L5" s="706">
        <f t="shared" si="0"/>
        <v>0</v>
      </c>
      <c r="M5" s="706">
        <f t="shared" si="0"/>
        <v>0</v>
      </c>
      <c r="N5" s="706">
        <f t="shared" si="0"/>
        <v>0</v>
      </c>
      <c r="O5" s="706">
        <f t="shared" si="0"/>
        <v>0</v>
      </c>
      <c r="P5" s="706">
        <f t="shared" si="0"/>
        <v>0</v>
      </c>
      <c r="Q5" s="706">
        <f t="shared" si="0"/>
        <v>0</v>
      </c>
      <c r="R5" s="706">
        <f t="shared" si="0"/>
        <v>0</v>
      </c>
      <c r="S5" s="706">
        <f t="shared" si="0"/>
        <v>0</v>
      </c>
      <c r="T5" s="706">
        <f t="shared" si="0"/>
        <v>0</v>
      </c>
      <c r="U5" s="706">
        <f t="shared" si="0"/>
        <v>0.24509770614774143</v>
      </c>
      <c r="V5" s="706">
        <f>V4/V3</f>
        <v>0.87418815432338104</v>
      </c>
    </row>
    <row r="6" spans="2:26" ht="15" customHeight="1" x14ac:dyDescent="0.3">
      <c r="B6" s="793"/>
      <c r="C6" s="902"/>
      <c r="D6" s="915"/>
      <c r="E6" s="917"/>
      <c r="F6" s="784" t="s">
        <v>8</v>
      </c>
      <c r="G6" s="894">
        <v>67</v>
      </c>
      <c r="H6" s="690" t="s">
        <v>705</v>
      </c>
      <c r="I6" s="691">
        <f>8083.55*0.976</f>
        <v>7889.5447999999997</v>
      </c>
      <c r="J6" s="691">
        <f>8140.835*0.976</f>
        <v>7945.45496</v>
      </c>
      <c r="K6" s="691">
        <f>8019.9*0.976</f>
        <v>7827.4223999999995</v>
      </c>
      <c r="L6" s="691">
        <f>7377.6715*0.976</f>
        <v>7200.6073839999999</v>
      </c>
      <c r="M6" s="691">
        <f>6867.835*0.976</f>
        <v>6703.0069599999997</v>
      </c>
      <c r="N6" s="691">
        <f>6134.587*0.976</f>
        <v>5987.3569120000002</v>
      </c>
      <c r="O6" s="691">
        <f>6434.3785*0.976</f>
        <v>6279.9534159999994</v>
      </c>
      <c r="P6" s="691">
        <f>7998.259*0.976</f>
        <v>7806.300784</v>
      </c>
      <c r="Q6" s="691">
        <f>7270.7395*0.976</f>
        <v>7096.2417519999999</v>
      </c>
      <c r="R6" s="691">
        <f>7406.9505*0.976</f>
        <v>7229.1836880000001</v>
      </c>
      <c r="S6" s="691">
        <f>6796.547*0.976</f>
        <v>6633.4298719999997</v>
      </c>
      <c r="T6" s="691">
        <f>8020.5365*0.976</f>
        <v>7828.0436239999999</v>
      </c>
      <c r="U6" s="692">
        <f>SUM(I6:T6)</f>
        <v>86426.546551999985</v>
      </c>
      <c r="V6" s="691">
        <f>SUM(I6:K6)</f>
        <v>23662.422159999998</v>
      </c>
    </row>
    <row r="7" spans="2:26" ht="15" customHeight="1" x14ac:dyDescent="0.3">
      <c r="B7" s="793"/>
      <c r="C7" s="902"/>
      <c r="D7" s="915"/>
      <c r="E7" s="917"/>
      <c r="F7" s="785"/>
      <c r="G7" s="895"/>
      <c r="H7" s="707" t="s">
        <v>706</v>
      </c>
      <c r="I7" s="708">
        <f>'Janeiro 25'!AI6</f>
        <v>3249.2</v>
      </c>
      <c r="J7" s="708">
        <f>'Fevereiro 25'!AF6</f>
        <v>6425.2</v>
      </c>
      <c r="K7" s="708">
        <f>'Março 25'!AI6</f>
        <v>8085.6</v>
      </c>
      <c r="L7" s="708"/>
      <c r="M7" s="708"/>
      <c r="N7" s="708"/>
      <c r="O7" s="708"/>
      <c r="P7" s="708"/>
      <c r="Q7" s="708"/>
      <c r="R7" s="708"/>
      <c r="S7" s="708"/>
      <c r="T7" s="708"/>
      <c r="U7" s="708">
        <f>SUM(I7:T7)</f>
        <v>17760</v>
      </c>
      <c r="V7" s="708">
        <f>SUM(I7:K7)</f>
        <v>17760</v>
      </c>
    </row>
    <row r="8" spans="2:26" ht="15" customHeight="1" x14ac:dyDescent="0.3">
      <c r="B8" s="793"/>
      <c r="C8" s="902"/>
      <c r="D8" s="915"/>
      <c r="E8" s="917"/>
      <c r="F8" s="786"/>
      <c r="G8" s="896"/>
      <c r="H8" s="705" t="s">
        <v>673</v>
      </c>
      <c r="I8" s="706">
        <f>I7/I6</f>
        <v>0.41183618096699315</v>
      </c>
      <c r="J8" s="706">
        <f>J7/J6</f>
        <v>0.80866357336949779</v>
      </c>
      <c r="K8" s="706">
        <f t="shared" ref="K8:V8" si="1">K7/K6</f>
        <v>1.0329837316560304</v>
      </c>
      <c r="L8" s="706">
        <f t="shared" si="1"/>
        <v>0</v>
      </c>
      <c r="M8" s="706">
        <f t="shared" si="1"/>
        <v>0</v>
      </c>
      <c r="N8" s="706">
        <f t="shared" si="1"/>
        <v>0</v>
      </c>
      <c r="O8" s="706">
        <f t="shared" si="1"/>
        <v>0</v>
      </c>
      <c r="P8" s="706">
        <f t="shared" si="1"/>
        <v>0</v>
      </c>
      <c r="Q8" s="706">
        <f t="shared" si="1"/>
        <v>0</v>
      </c>
      <c r="R8" s="706">
        <f t="shared" si="1"/>
        <v>0</v>
      </c>
      <c r="S8" s="706">
        <f t="shared" si="1"/>
        <v>0</v>
      </c>
      <c r="T8" s="706">
        <f t="shared" si="1"/>
        <v>0</v>
      </c>
      <c r="U8" s="706">
        <f t="shared" si="1"/>
        <v>0.20549241764871859</v>
      </c>
      <c r="V8" s="706">
        <f t="shared" si="1"/>
        <v>0.75055714414656527</v>
      </c>
    </row>
    <row r="9" spans="2:26" ht="15" customHeight="1" x14ac:dyDescent="0.3">
      <c r="B9" s="793"/>
      <c r="C9" s="902"/>
      <c r="D9" s="915"/>
      <c r="E9" s="917"/>
      <c r="F9" s="784" t="s">
        <v>9</v>
      </c>
      <c r="G9" s="894">
        <v>49</v>
      </c>
      <c r="H9" s="690" t="s">
        <v>705</v>
      </c>
      <c r="I9" s="691">
        <f>6949*0.976</f>
        <v>6782.2240000000002</v>
      </c>
      <c r="J9" s="691">
        <f>6369*0.976</f>
        <v>6216.1440000000002</v>
      </c>
      <c r="K9" s="691">
        <f>0.976*6721</f>
        <v>6559.6959999999999</v>
      </c>
      <c r="L9" s="691">
        <f>0.976*6135</f>
        <v>5987.76</v>
      </c>
      <c r="M9" s="691">
        <f>0.976*6117</f>
        <v>5970.192</v>
      </c>
      <c r="N9" s="691">
        <f>0.976*5685</f>
        <v>5548.5599999999995</v>
      </c>
      <c r="O9" s="691">
        <f>0.976*6153</f>
        <v>6005.3279999999995</v>
      </c>
      <c r="P9" s="691">
        <f>0.976*5773</f>
        <v>5634.4480000000003</v>
      </c>
      <c r="Q9" s="691">
        <f>0.976*6346</f>
        <v>6193.6959999999999</v>
      </c>
      <c r="R9" s="691">
        <f>0.976*6213</f>
        <v>6063.8879999999999</v>
      </c>
      <c r="S9" s="691">
        <f>0.976*5511</f>
        <v>5378.7359999999999</v>
      </c>
      <c r="T9" s="691">
        <f>0.976*6986</f>
        <v>6818.3360000000002</v>
      </c>
      <c r="U9" s="692">
        <f>SUM(I9:T9)</f>
        <v>73159.007999999987</v>
      </c>
      <c r="V9" s="691">
        <f>SUM(I9:K9)</f>
        <v>19558.063999999998</v>
      </c>
    </row>
    <row r="10" spans="2:26" ht="15" customHeight="1" x14ac:dyDescent="0.3">
      <c r="B10" s="793"/>
      <c r="C10" s="902"/>
      <c r="D10" s="915"/>
      <c r="E10" s="917"/>
      <c r="F10" s="785"/>
      <c r="G10" s="895"/>
      <c r="H10" s="707" t="s">
        <v>706</v>
      </c>
      <c r="I10" s="708">
        <f>'Janeiro 25'!AI7</f>
        <v>5854.8</v>
      </c>
      <c r="J10" s="708">
        <f>'Fevereiro 25'!AF7</f>
        <v>6927.5999999999995</v>
      </c>
      <c r="K10" s="708">
        <f>'Março 25'!AI7</f>
        <v>5921.8</v>
      </c>
      <c r="L10" s="708"/>
      <c r="M10" s="708"/>
      <c r="N10" s="708"/>
      <c r="O10" s="708"/>
      <c r="P10" s="708"/>
      <c r="Q10" s="708"/>
      <c r="R10" s="708"/>
      <c r="S10" s="708"/>
      <c r="T10" s="708"/>
      <c r="U10" s="708">
        <f>SUM(I10:T10)</f>
        <v>18704.2</v>
      </c>
      <c r="V10" s="708">
        <f>SUM(I10:K10)</f>
        <v>18704.2</v>
      </c>
    </row>
    <row r="11" spans="2:26" ht="15" customHeight="1" x14ac:dyDescent="0.3">
      <c r="B11" s="793"/>
      <c r="C11" s="902"/>
      <c r="D11" s="915"/>
      <c r="E11" s="918"/>
      <c r="F11" s="786"/>
      <c r="G11" s="896"/>
      <c r="H11" s="705" t="s">
        <v>673</v>
      </c>
      <c r="I11" s="706">
        <f>I10/I9</f>
        <v>0.86325665445435007</v>
      </c>
      <c r="J11" s="706">
        <f>J10/J9</f>
        <v>1.1144529470359759</v>
      </c>
      <c r="K11" s="706">
        <f>K10/K9</f>
        <v>0.90275524963351961</v>
      </c>
      <c r="L11" s="706">
        <f>L10/L9</f>
        <v>0</v>
      </c>
      <c r="M11" s="706">
        <f t="shared" ref="M11:V11" si="2">M10/M9</f>
        <v>0</v>
      </c>
      <c r="N11" s="706">
        <f t="shared" si="2"/>
        <v>0</v>
      </c>
      <c r="O11" s="706">
        <f t="shared" si="2"/>
        <v>0</v>
      </c>
      <c r="P11" s="706">
        <f t="shared" si="2"/>
        <v>0</v>
      </c>
      <c r="Q11" s="706">
        <f t="shared" si="2"/>
        <v>0</v>
      </c>
      <c r="R11" s="706">
        <f t="shared" si="2"/>
        <v>0</v>
      </c>
      <c r="S11" s="706">
        <f t="shared" si="2"/>
        <v>0</v>
      </c>
      <c r="T11" s="706">
        <f t="shared" si="2"/>
        <v>0</v>
      </c>
      <c r="U11" s="706">
        <f t="shared" si="2"/>
        <v>0.25566503034048799</v>
      </c>
      <c r="V11" s="706">
        <f t="shared" si="2"/>
        <v>0.95634210011788501</v>
      </c>
    </row>
    <row r="12" spans="2:26" ht="15" customHeight="1" x14ac:dyDescent="0.3">
      <c r="B12" s="793"/>
      <c r="C12" s="902"/>
      <c r="D12" s="915" t="s">
        <v>706</v>
      </c>
      <c r="E12" s="919">
        <f>V4+V7+V10+V13+V16+V19+V22+V25</f>
        <v>114676.69999999998</v>
      </c>
      <c r="F12" s="784" t="s">
        <v>10</v>
      </c>
      <c r="G12" s="894">
        <v>33</v>
      </c>
      <c r="H12" s="690" t="s">
        <v>705</v>
      </c>
      <c r="I12" s="691">
        <f>4954*0.976</f>
        <v>4835.1040000000003</v>
      </c>
      <c r="J12" s="691">
        <f>0.976*4429</f>
        <v>4322.7039999999997</v>
      </c>
      <c r="K12" s="691">
        <f>0.976*4654</f>
        <v>4542.3040000000001</v>
      </c>
      <c r="L12" s="691">
        <f>0.976*4267</f>
        <v>4164.5919999999996</v>
      </c>
      <c r="M12" s="691">
        <f>0.976*4210</f>
        <v>4108.96</v>
      </c>
      <c r="N12" s="691">
        <f>0.976*3907</f>
        <v>3813.232</v>
      </c>
      <c r="O12" s="691">
        <f>0.976*4232</f>
        <v>4130.4319999999998</v>
      </c>
      <c r="P12" s="691">
        <f>0.976*4308</f>
        <v>4204.6080000000002</v>
      </c>
      <c r="Q12" s="691">
        <f>0.976*4396</f>
        <v>4290.4960000000001</v>
      </c>
      <c r="R12" s="691">
        <f>0.976*4296</f>
        <v>4192.8959999999997</v>
      </c>
      <c r="S12" s="691">
        <f>0.976*4168</f>
        <v>4067.9679999999998</v>
      </c>
      <c r="T12" s="691">
        <f>0.976*4842</f>
        <v>4725.7919999999995</v>
      </c>
      <c r="U12" s="692">
        <f>SUM(I12:T12)</f>
        <v>51399.088000000003</v>
      </c>
      <c r="V12" s="691">
        <f>SUM(I12:K12)</f>
        <v>13700.112000000001</v>
      </c>
    </row>
    <row r="13" spans="2:26" ht="15" customHeight="1" x14ac:dyDescent="0.3">
      <c r="B13" s="793"/>
      <c r="C13" s="902"/>
      <c r="D13" s="915"/>
      <c r="E13" s="915"/>
      <c r="F13" s="785"/>
      <c r="G13" s="895"/>
      <c r="H13" s="707" t="s">
        <v>706</v>
      </c>
      <c r="I13" s="708">
        <f>'Janeiro 25'!AI8</f>
        <v>3315.2000000000003</v>
      </c>
      <c r="J13" s="708">
        <f>'Fevereiro 25'!AF8</f>
        <v>3929.1000000000004</v>
      </c>
      <c r="K13" s="708">
        <f>'Março 25'!AI8</f>
        <v>3338.7</v>
      </c>
      <c r="L13" s="708"/>
      <c r="M13" s="708"/>
      <c r="N13" s="708"/>
      <c r="O13" s="708"/>
      <c r="P13" s="708"/>
      <c r="Q13" s="708"/>
      <c r="R13" s="708"/>
      <c r="S13" s="708"/>
      <c r="T13" s="708"/>
      <c r="U13" s="708">
        <f>SUM(I13:T13)</f>
        <v>10583</v>
      </c>
      <c r="V13" s="708">
        <f>SUM(I13:K13)</f>
        <v>10583</v>
      </c>
    </row>
    <row r="14" spans="2:26" ht="15" customHeight="1" x14ac:dyDescent="0.3">
      <c r="B14" s="793"/>
      <c r="C14" s="902"/>
      <c r="D14" s="915"/>
      <c r="E14" s="915"/>
      <c r="F14" s="786"/>
      <c r="G14" s="896"/>
      <c r="H14" s="705" t="s">
        <v>673</v>
      </c>
      <c r="I14" s="706">
        <f>I13/I12</f>
        <v>0.6856522631157469</v>
      </c>
      <c r="J14" s="706">
        <f>J13/J12</f>
        <v>0.90894495667526631</v>
      </c>
      <c r="K14" s="706">
        <f>K13/K12</f>
        <v>0.73502345946022096</v>
      </c>
      <c r="L14" s="706">
        <f>L13/L12</f>
        <v>0</v>
      </c>
      <c r="M14" s="706">
        <f t="shared" ref="M14:V14" si="3">M13/M12</f>
        <v>0</v>
      </c>
      <c r="N14" s="706">
        <f t="shared" si="3"/>
        <v>0</v>
      </c>
      <c r="O14" s="706">
        <f t="shared" si="3"/>
        <v>0</v>
      </c>
      <c r="P14" s="706">
        <f t="shared" si="3"/>
        <v>0</v>
      </c>
      <c r="Q14" s="706">
        <f t="shared" si="3"/>
        <v>0</v>
      </c>
      <c r="R14" s="706">
        <f t="shared" si="3"/>
        <v>0</v>
      </c>
      <c r="S14" s="706">
        <f t="shared" si="3"/>
        <v>0</v>
      </c>
      <c r="T14" s="706">
        <f t="shared" si="3"/>
        <v>0</v>
      </c>
      <c r="U14" s="706">
        <f t="shared" si="3"/>
        <v>0.20589859493226806</v>
      </c>
      <c r="V14" s="706">
        <f t="shared" si="3"/>
        <v>0.77247543669715979</v>
      </c>
    </row>
    <row r="15" spans="2:26" ht="15" customHeight="1" x14ac:dyDescent="0.3">
      <c r="B15" s="793"/>
      <c r="C15" s="902"/>
      <c r="D15" s="915"/>
      <c r="E15" s="915"/>
      <c r="F15" s="784" t="s">
        <v>707</v>
      </c>
      <c r="G15" s="894">
        <v>12</v>
      </c>
      <c r="H15" s="690" t="s">
        <v>705</v>
      </c>
      <c r="I15" s="691">
        <f>1733*0.976</f>
        <v>1691.4079999999999</v>
      </c>
      <c r="J15" s="691">
        <f>0.976*1572</f>
        <v>1534.2719999999999</v>
      </c>
      <c r="K15" s="691">
        <f>0.976*1675</f>
        <v>1634.8</v>
      </c>
      <c r="L15" s="691">
        <f>0.976*1556</f>
        <v>1518.6559999999999</v>
      </c>
      <c r="M15" s="691">
        <f>0.976*1555</f>
        <v>1517.68</v>
      </c>
      <c r="N15" s="691">
        <f>0.976*1460</f>
        <v>1424.96</v>
      </c>
      <c r="O15" s="691">
        <f>0.976*1577</f>
        <v>1539.152</v>
      </c>
      <c r="P15" s="691">
        <f>0.976*1574</f>
        <v>1536.2239999999999</v>
      </c>
      <c r="Q15" s="691">
        <f>0.976*1586</f>
        <v>1547.9359999999999</v>
      </c>
      <c r="R15" s="691">
        <f>0.976*1525</f>
        <v>1488.3999999999999</v>
      </c>
      <c r="S15" s="691">
        <f>0.976*1450</f>
        <v>1415.2</v>
      </c>
      <c r="T15" s="691">
        <f>0.976*1681</f>
        <v>1640.6559999999999</v>
      </c>
      <c r="U15" s="692">
        <f>SUM(I15:T15)</f>
        <v>18489.343999999997</v>
      </c>
      <c r="V15" s="691">
        <f>SUM(I15:K15)</f>
        <v>4860.4799999999996</v>
      </c>
    </row>
    <row r="16" spans="2:26" ht="15" customHeight="1" x14ac:dyDescent="0.3">
      <c r="B16" s="793"/>
      <c r="C16" s="902"/>
      <c r="D16" s="915"/>
      <c r="E16" s="915"/>
      <c r="F16" s="785"/>
      <c r="G16" s="895"/>
      <c r="H16" s="707" t="s">
        <v>706</v>
      </c>
      <c r="I16" s="708">
        <f>'Janeiro 25'!AI9</f>
        <v>1268.9000000000001</v>
      </c>
      <c r="J16" s="708">
        <f>'Fevereiro 25'!AF9</f>
        <v>1306.5</v>
      </c>
      <c r="K16" s="708">
        <f>'Março 25'!AI9</f>
        <v>1323.3</v>
      </c>
      <c r="L16" s="708"/>
      <c r="M16" s="708"/>
      <c r="N16" s="708"/>
      <c r="O16" s="708"/>
      <c r="P16" s="708"/>
      <c r="Q16" s="708"/>
      <c r="R16" s="708"/>
      <c r="S16" s="708"/>
      <c r="T16" s="708"/>
      <c r="U16" s="708">
        <f>SUM(I16:T16)</f>
        <v>3898.7</v>
      </c>
      <c r="V16" s="708">
        <f>SUM(I16:K16)</f>
        <v>3898.7</v>
      </c>
    </row>
    <row r="17" spans="2:22" ht="15" customHeight="1" x14ac:dyDescent="0.3">
      <c r="B17" s="793"/>
      <c r="C17" s="902"/>
      <c r="D17" s="915"/>
      <c r="E17" s="915"/>
      <c r="F17" s="786"/>
      <c r="G17" s="896"/>
      <c r="H17" s="705" t="s">
        <v>673</v>
      </c>
      <c r="I17" s="706">
        <f>I16/I15</f>
        <v>0.75020338085192939</v>
      </c>
      <c r="J17" s="706">
        <f>J16/J15</f>
        <v>0.85154392441496685</v>
      </c>
      <c r="K17" s="706">
        <f>K16/K15</f>
        <v>0.80945681428920968</v>
      </c>
      <c r="L17" s="706">
        <f>L16/L15</f>
        <v>0</v>
      </c>
      <c r="M17" s="706">
        <f t="shared" ref="M17:V17" si="4">M16/M15</f>
        <v>0</v>
      </c>
      <c r="N17" s="706">
        <f t="shared" si="4"/>
        <v>0</v>
      </c>
      <c r="O17" s="706">
        <f t="shared" si="4"/>
        <v>0</v>
      </c>
      <c r="P17" s="706">
        <f t="shared" si="4"/>
        <v>0</v>
      </c>
      <c r="Q17" s="706">
        <f t="shared" si="4"/>
        <v>0</v>
      </c>
      <c r="R17" s="706">
        <f t="shared" si="4"/>
        <v>0</v>
      </c>
      <c r="S17" s="706">
        <f t="shared" si="4"/>
        <v>0</v>
      </c>
      <c r="T17" s="706">
        <f t="shared" si="4"/>
        <v>0</v>
      </c>
      <c r="U17" s="706">
        <f t="shared" si="4"/>
        <v>0.21086199705084185</v>
      </c>
      <c r="V17" s="706">
        <f t="shared" si="4"/>
        <v>0.80212242412272039</v>
      </c>
    </row>
    <row r="18" spans="2:22" ht="15" customHeight="1" x14ac:dyDescent="0.3">
      <c r="B18" s="793"/>
      <c r="C18" s="902"/>
      <c r="D18" s="915"/>
      <c r="E18" s="915"/>
      <c r="F18" s="784" t="s">
        <v>12</v>
      </c>
      <c r="G18" s="894">
        <v>25</v>
      </c>
      <c r="H18" s="690" t="s">
        <v>705</v>
      </c>
      <c r="I18" s="691">
        <f>3553*0.976</f>
        <v>3467.7280000000001</v>
      </c>
      <c r="J18" s="691">
        <f>0.976*3307</f>
        <v>3227.6320000000001</v>
      </c>
      <c r="K18" s="691">
        <f>0.976*3510</f>
        <v>3425.7599999999998</v>
      </c>
      <c r="L18" s="691">
        <f>0.976*3248</f>
        <v>3170.0479999999998</v>
      </c>
      <c r="M18" s="691">
        <f>0.976*3267</f>
        <v>3188.5920000000001</v>
      </c>
      <c r="N18" s="691">
        <f>0.976*2730</f>
        <v>2664.48</v>
      </c>
      <c r="O18" s="691">
        <f>0.976*3312</f>
        <v>3232.5119999999997</v>
      </c>
      <c r="P18" s="691">
        <f>0.976*3312</f>
        <v>3232.5119999999997</v>
      </c>
      <c r="Q18" s="691">
        <f>0.976*3330</f>
        <v>3250.08</v>
      </c>
      <c r="R18" s="691">
        <f>0.976*3227</f>
        <v>3149.5520000000001</v>
      </c>
      <c r="S18" s="691">
        <f>0.976*2798</f>
        <v>2730.848</v>
      </c>
      <c r="T18" s="691">
        <f>0.976*3568</f>
        <v>3482.3679999999999</v>
      </c>
      <c r="U18" s="692">
        <f>SUM(I18:T18)</f>
        <v>38222.112000000001</v>
      </c>
      <c r="V18" s="691">
        <f>SUM(I18:K18)</f>
        <v>10121.120000000001</v>
      </c>
    </row>
    <row r="19" spans="2:22" ht="15" customHeight="1" x14ac:dyDescent="0.3">
      <c r="B19" s="793"/>
      <c r="C19" s="902"/>
      <c r="D19" s="915" t="s">
        <v>673</v>
      </c>
      <c r="E19" s="920">
        <f>E12/E3</f>
        <v>0.91183249360537189</v>
      </c>
      <c r="F19" s="785"/>
      <c r="G19" s="895"/>
      <c r="H19" s="707" t="s">
        <v>706</v>
      </c>
      <c r="I19" s="708">
        <f>'Janeiro 25'!AI10</f>
        <v>987</v>
      </c>
      <c r="J19" s="708">
        <f>'Fevereiro 25'!AF10</f>
        <v>885.3</v>
      </c>
      <c r="K19" s="708">
        <f>'Março 25'!AI10</f>
        <v>1313.3</v>
      </c>
      <c r="L19" s="708"/>
      <c r="M19" s="708"/>
      <c r="N19" s="708"/>
      <c r="O19" s="708"/>
      <c r="P19" s="708"/>
      <c r="Q19" s="708"/>
      <c r="R19" s="708"/>
      <c r="S19" s="708"/>
      <c r="T19" s="708"/>
      <c r="U19" s="708">
        <f>SUM(I19:T19)</f>
        <v>3185.6</v>
      </c>
      <c r="V19" s="708">
        <f>SUM(I19:O19)</f>
        <v>3185.6</v>
      </c>
    </row>
    <row r="20" spans="2:22" ht="15" customHeight="1" x14ac:dyDescent="0.3">
      <c r="B20" s="793"/>
      <c r="C20" s="902"/>
      <c r="D20" s="915"/>
      <c r="E20" s="920"/>
      <c r="F20" s="786"/>
      <c r="G20" s="896"/>
      <c r="H20" s="705" t="s">
        <v>673</v>
      </c>
      <c r="I20" s="706">
        <f>I19/I18</f>
        <v>0.28462439960688957</v>
      </c>
      <c r="J20" s="706">
        <f>J19/J18</f>
        <v>0.2742877750623367</v>
      </c>
      <c r="K20" s="706">
        <f>K19/K18</f>
        <v>0.38336018868805755</v>
      </c>
      <c r="L20" s="706">
        <f>L19/L18</f>
        <v>0</v>
      </c>
      <c r="M20" s="706">
        <f t="shared" ref="M20:V20" si="5">M19/M18</f>
        <v>0</v>
      </c>
      <c r="N20" s="706">
        <f t="shared" si="5"/>
        <v>0</v>
      </c>
      <c r="O20" s="706">
        <f t="shared" si="5"/>
        <v>0</v>
      </c>
      <c r="P20" s="706">
        <f t="shared" si="5"/>
        <v>0</v>
      </c>
      <c r="Q20" s="706">
        <f t="shared" si="5"/>
        <v>0</v>
      </c>
      <c r="R20" s="706">
        <f t="shared" si="5"/>
        <v>0</v>
      </c>
      <c r="S20" s="706">
        <f t="shared" si="5"/>
        <v>0</v>
      </c>
      <c r="T20" s="706">
        <f t="shared" si="5"/>
        <v>0</v>
      </c>
      <c r="U20" s="706">
        <f t="shared" si="5"/>
        <v>8.3344426388578419E-2</v>
      </c>
      <c r="V20" s="706">
        <f t="shared" si="5"/>
        <v>0.31474777494980788</v>
      </c>
    </row>
    <row r="21" spans="2:22" ht="15" customHeight="1" x14ac:dyDescent="0.3">
      <c r="B21" s="793"/>
      <c r="C21" s="902"/>
      <c r="D21" s="915"/>
      <c r="E21" s="920"/>
      <c r="F21" s="784" t="s">
        <v>13</v>
      </c>
      <c r="G21" s="894">
        <v>78</v>
      </c>
      <c r="H21" s="690" t="s">
        <v>705</v>
      </c>
      <c r="I21" s="691">
        <f>9410.7*0.976</f>
        <v>9184.8432000000012</v>
      </c>
      <c r="J21" s="691">
        <f>0.976*9477.39</f>
        <v>9249.9326399999991</v>
      </c>
      <c r="K21" s="691">
        <f>0.976*9336.6</f>
        <v>9112.5216</v>
      </c>
      <c r="L21" s="691">
        <f>0.976*8588.931</f>
        <v>8382.7966560000004</v>
      </c>
      <c r="M21" s="691">
        <f>0.976*7995.39</f>
        <v>7803.5006400000002</v>
      </c>
      <c r="N21" s="691">
        <f>0.976*7141.758</f>
        <v>6970.3558079999993</v>
      </c>
      <c r="O21" s="691">
        <f>0.976*7490.769</f>
        <v>7310.9905440000002</v>
      </c>
      <c r="P21" s="691">
        <f>0.976*9311.406</f>
        <v>9087.9322560000001</v>
      </c>
      <c r="Q21" s="691">
        <f>0.976*8464.443</f>
        <v>8261.2963679999993</v>
      </c>
      <c r="R21" s="691">
        <f>0.976*8623.017</f>
        <v>8416.0645919999988</v>
      </c>
      <c r="S21" s="691">
        <f>0.976*7912.398</f>
        <v>7722.5004479999998</v>
      </c>
      <c r="T21" s="691">
        <f>0.976*9337.341</f>
        <v>9113.2448160000004</v>
      </c>
      <c r="U21" s="692">
        <f>SUM(I21:T21)</f>
        <v>100615.979568</v>
      </c>
      <c r="V21" s="691">
        <f>SUM(I21:K21)</f>
        <v>27547.297440000002</v>
      </c>
    </row>
    <row r="22" spans="2:22" ht="15" customHeight="1" x14ac:dyDescent="0.3">
      <c r="B22" s="793"/>
      <c r="C22" s="902"/>
      <c r="D22" s="915"/>
      <c r="E22" s="920"/>
      <c r="F22" s="785"/>
      <c r="G22" s="895"/>
      <c r="H22" s="707" t="s">
        <v>706</v>
      </c>
      <c r="I22" s="708">
        <f>'Janeiro 25'!AI11</f>
        <v>9733.7000000000007</v>
      </c>
      <c r="J22" s="708">
        <f>'Fevereiro 25'!AF11</f>
        <v>10609.300000000001</v>
      </c>
      <c r="K22" s="708">
        <f>'Março 25'!AI11</f>
        <v>9761.0999999999967</v>
      </c>
      <c r="L22" s="708"/>
      <c r="M22" s="708"/>
      <c r="N22" s="708"/>
      <c r="O22" s="708"/>
      <c r="P22" s="708"/>
      <c r="Q22" s="708"/>
      <c r="R22" s="708"/>
      <c r="S22" s="708"/>
      <c r="T22" s="708"/>
      <c r="U22" s="708">
        <f>SUM(I22:T22)</f>
        <v>30104.1</v>
      </c>
      <c r="V22" s="708">
        <f>SUM(I22:K22)</f>
        <v>30104.1</v>
      </c>
    </row>
    <row r="23" spans="2:22" ht="15" customHeight="1" x14ac:dyDescent="0.3">
      <c r="B23" s="793"/>
      <c r="C23" s="902"/>
      <c r="D23" s="915"/>
      <c r="E23" s="920"/>
      <c r="F23" s="786"/>
      <c r="G23" s="896"/>
      <c r="H23" s="705" t="s">
        <v>673</v>
      </c>
      <c r="I23" s="706">
        <f>I22/I21</f>
        <v>1.0597567958481859</v>
      </c>
      <c r="J23" s="706">
        <f>J22/J21</f>
        <v>1.1469597036979073</v>
      </c>
      <c r="K23" s="706">
        <f>K22/K21</f>
        <v>1.0711744156524137</v>
      </c>
      <c r="L23" s="706">
        <f>L22/L21</f>
        <v>0</v>
      </c>
      <c r="M23" s="706">
        <f>M22/M21</f>
        <v>0</v>
      </c>
      <c r="N23" s="706">
        <f t="shared" ref="N23:V23" si="6">N22/N21</f>
        <v>0</v>
      </c>
      <c r="O23" s="706">
        <f t="shared" si="6"/>
        <v>0</v>
      </c>
      <c r="P23" s="706">
        <f t="shared" si="6"/>
        <v>0</v>
      </c>
      <c r="Q23" s="706">
        <f t="shared" si="6"/>
        <v>0</v>
      </c>
      <c r="R23" s="706">
        <f t="shared" si="6"/>
        <v>0</v>
      </c>
      <c r="S23" s="706">
        <f t="shared" si="6"/>
        <v>0</v>
      </c>
      <c r="T23" s="706">
        <f t="shared" si="6"/>
        <v>0</v>
      </c>
      <c r="U23" s="706">
        <f t="shared" si="6"/>
        <v>0.29919800144324527</v>
      </c>
      <c r="V23" s="706">
        <f t="shared" si="6"/>
        <v>1.0928150053764401</v>
      </c>
    </row>
    <row r="24" spans="2:22" ht="15" customHeight="1" x14ac:dyDescent="0.3">
      <c r="B24" s="793"/>
      <c r="C24" s="902"/>
      <c r="D24" s="915"/>
      <c r="E24" s="920"/>
      <c r="F24" s="784" t="s">
        <v>14</v>
      </c>
      <c r="G24" s="894">
        <v>60</v>
      </c>
      <c r="H24" s="690" t="s">
        <v>705</v>
      </c>
      <c r="I24" s="691">
        <f>7239*0.984</f>
        <v>7123.1759999999995</v>
      </c>
      <c r="J24" s="691">
        <f>0.984*7290.3</f>
        <v>7173.6552000000001</v>
      </c>
      <c r="K24" s="691">
        <f>0.984*7182</f>
        <v>7067.0879999999997</v>
      </c>
      <c r="L24" s="691">
        <f>0.984*6606.87</f>
        <v>6501.1600799999997</v>
      </c>
      <c r="M24" s="691">
        <f>0.984*6150.3</f>
        <v>6051.8951999999999</v>
      </c>
      <c r="N24" s="691">
        <f>0.984*5493.66</f>
        <v>5405.7614400000002</v>
      </c>
      <c r="O24" s="691">
        <f>0.984*5762.13</f>
        <v>5669.9359199999999</v>
      </c>
      <c r="P24" s="691">
        <f>0.984*7162.62</f>
        <v>7048.0180799999998</v>
      </c>
      <c r="Q24" s="691">
        <f>0.984*6511.11</f>
        <v>6406.9322399999992</v>
      </c>
      <c r="R24" s="691">
        <f>0.984*6633.09</f>
        <v>6526.9605600000004</v>
      </c>
      <c r="S24" s="691">
        <f>0.984*6086.46</f>
        <v>5989.0766400000002</v>
      </c>
      <c r="T24" s="691">
        <f>0.984*7182.57</f>
        <v>7067.6488799999997</v>
      </c>
      <c r="U24" s="692">
        <f>SUM(I24:T24)</f>
        <v>78031.308239999998</v>
      </c>
      <c r="V24" s="691">
        <f>SUM(I24:K24)</f>
        <v>21363.9192</v>
      </c>
    </row>
    <row r="25" spans="2:22" ht="15" customHeight="1" x14ac:dyDescent="0.3">
      <c r="B25" s="793"/>
      <c r="C25" s="902"/>
      <c r="D25" s="915"/>
      <c r="E25" s="920"/>
      <c r="F25" s="785"/>
      <c r="G25" s="895"/>
      <c r="H25" s="707" t="s">
        <v>706</v>
      </c>
      <c r="I25" s="708">
        <f>'Janeiro 25'!AI12</f>
        <v>7388.4000000000005</v>
      </c>
      <c r="J25" s="708">
        <f>'Fevereiro 25'!AF12</f>
        <v>10001</v>
      </c>
      <c r="K25" s="708">
        <f>'Março 25'!AI12</f>
        <v>8723</v>
      </c>
      <c r="L25" s="708"/>
      <c r="M25" s="708"/>
      <c r="N25" s="708"/>
      <c r="O25" s="708"/>
      <c r="P25" s="708"/>
      <c r="Q25" s="708"/>
      <c r="R25" s="708"/>
      <c r="S25" s="708"/>
      <c r="T25" s="708"/>
      <c r="U25" s="708">
        <f>SUM(I25:T25)</f>
        <v>26112.400000000001</v>
      </c>
      <c r="V25" s="708">
        <f>SUM(I25:K25)</f>
        <v>26112.400000000001</v>
      </c>
    </row>
    <row r="26" spans="2:22" ht="15" customHeight="1" x14ac:dyDescent="0.3">
      <c r="B26" s="793"/>
      <c r="C26" s="902"/>
      <c r="D26" s="915"/>
      <c r="E26" s="920"/>
      <c r="F26" s="786"/>
      <c r="G26" s="896"/>
      <c r="H26" s="705" t="s">
        <v>673</v>
      </c>
      <c r="I26" s="706">
        <f>I25/I24</f>
        <v>1.0372339529445855</v>
      </c>
      <c r="J26" s="706">
        <f>J25/J24</f>
        <v>1.3941288954060687</v>
      </c>
      <c r="K26" s="706">
        <f>K25/K24</f>
        <v>1.2343131994394296</v>
      </c>
      <c r="L26" s="706">
        <f>L25/L24</f>
        <v>0</v>
      </c>
      <c r="M26" s="706">
        <f>M25/M24</f>
        <v>0</v>
      </c>
      <c r="N26" s="706">
        <f t="shared" ref="N26:V26" si="7">N25/N24</f>
        <v>0</v>
      </c>
      <c r="O26" s="706">
        <f t="shared" si="7"/>
        <v>0</v>
      </c>
      <c r="P26" s="706">
        <f t="shared" si="7"/>
        <v>0</v>
      </c>
      <c r="Q26" s="706">
        <f t="shared" si="7"/>
        <v>0</v>
      </c>
      <c r="R26" s="706">
        <f t="shared" si="7"/>
        <v>0</v>
      </c>
      <c r="S26" s="706">
        <f t="shared" si="7"/>
        <v>0</v>
      </c>
      <c r="T26" s="706">
        <f t="shared" si="7"/>
        <v>0</v>
      </c>
      <c r="U26" s="706">
        <f t="shared" si="7"/>
        <v>0.33464003858151903</v>
      </c>
      <c r="V26" s="706">
        <f t="shared" si="7"/>
        <v>1.2222663714249584</v>
      </c>
    </row>
    <row r="27" spans="2:22" ht="15" customHeight="1" x14ac:dyDescent="0.3">
      <c r="B27" s="793"/>
      <c r="C27" s="897" t="s">
        <v>1040</v>
      </c>
      <c r="D27" s="884" t="s">
        <v>705</v>
      </c>
      <c r="E27" s="921">
        <f>V27+V30+V33+V36</f>
        <v>122462.85428</v>
      </c>
      <c r="F27" s="855" t="s">
        <v>17</v>
      </c>
      <c r="G27" s="898">
        <v>100</v>
      </c>
      <c r="H27" s="408" t="s">
        <v>705</v>
      </c>
      <c r="I27" s="409">
        <f>12700*0.984</f>
        <v>12496.8</v>
      </c>
      <c r="J27" s="409">
        <f>0.984*12790</f>
        <v>12585.36</v>
      </c>
      <c r="K27" s="409">
        <f>0.984*12600</f>
        <v>12398.4</v>
      </c>
      <c r="L27" s="409">
        <f>0.984*11591</f>
        <v>11405.544</v>
      </c>
      <c r="M27" s="409">
        <f>0.984*10790</f>
        <v>10617.36</v>
      </c>
      <c r="N27" s="409">
        <f>0.984*9638</f>
        <v>9483.7919999999995</v>
      </c>
      <c r="O27" s="409">
        <f>0.984*10109</f>
        <v>9947.2559999999994</v>
      </c>
      <c r="P27" s="409">
        <f>0.984*12566</f>
        <v>12364.944</v>
      </c>
      <c r="Q27" s="409">
        <f>0.984*11423</f>
        <v>11240.232</v>
      </c>
      <c r="R27" s="409">
        <f>0.984*11637</f>
        <v>11450.807999999999</v>
      </c>
      <c r="S27" s="409">
        <f>0.984*10678</f>
        <v>10507.152</v>
      </c>
      <c r="T27" s="409">
        <f>0.984*12601</f>
        <v>12399.384</v>
      </c>
      <c r="U27" s="410">
        <f>SUM(I27:T27)</f>
        <v>136897.03200000001</v>
      </c>
      <c r="V27" s="409">
        <f>SUM(I27:K27)</f>
        <v>37480.559999999998</v>
      </c>
    </row>
    <row r="28" spans="2:22" ht="15" customHeight="1" x14ac:dyDescent="0.3">
      <c r="B28" s="793"/>
      <c r="C28" s="897"/>
      <c r="D28" s="884"/>
      <c r="E28" s="884"/>
      <c r="F28" s="856"/>
      <c r="G28" s="899"/>
      <c r="H28" s="707" t="s">
        <v>706</v>
      </c>
      <c r="I28" s="708">
        <f>'Janeiro 25'!AI13</f>
        <v>12187.6</v>
      </c>
      <c r="J28" s="708">
        <f>'Fevereiro 25'!AF13</f>
        <v>13436.200000000003</v>
      </c>
      <c r="K28" s="708">
        <f>'Março 25'!AI13</f>
        <v>11997.199999999999</v>
      </c>
      <c r="L28" s="708"/>
      <c r="M28" s="708"/>
      <c r="N28" s="708"/>
      <c r="O28" s="708"/>
      <c r="P28" s="708"/>
      <c r="Q28" s="708"/>
      <c r="R28" s="708"/>
      <c r="S28" s="708"/>
      <c r="T28" s="708"/>
      <c r="U28" s="708">
        <f>SUM(I28:T28)</f>
        <v>37621</v>
      </c>
      <c r="V28" s="708">
        <f>SUM(I28:K28)</f>
        <v>37621</v>
      </c>
    </row>
    <row r="29" spans="2:22" ht="15" customHeight="1" x14ac:dyDescent="0.3">
      <c r="B29" s="793"/>
      <c r="C29" s="897"/>
      <c r="D29" s="884"/>
      <c r="E29" s="884"/>
      <c r="F29" s="857"/>
      <c r="G29" s="900"/>
      <c r="H29" s="705" t="s">
        <v>673</v>
      </c>
      <c r="I29" s="706">
        <f>I28/I27</f>
        <v>0.97525766596248653</v>
      </c>
      <c r="J29" s="706">
        <f>J28/J27</f>
        <v>1.0676055353204041</v>
      </c>
      <c r="K29" s="706">
        <f>K28/K27</f>
        <v>0.96764098593366876</v>
      </c>
      <c r="L29" s="706">
        <f>L28/L27</f>
        <v>0</v>
      </c>
      <c r="M29" s="706">
        <f>M28/M27</f>
        <v>0</v>
      </c>
      <c r="N29" s="706">
        <f t="shared" ref="N29:V29" si="8">N28/N27</f>
        <v>0</v>
      </c>
      <c r="O29" s="706">
        <f t="shared" si="8"/>
        <v>0</v>
      </c>
      <c r="P29" s="706">
        <f t="shared" si="8"/>
        <v>0</v>
      </c>
      <c r="Q29" s="706">
        <f t="shared" si="8"/>
        <v>0</v>
      </c>
      <c r="R29" s="706">
        <f t="shared" si="8"/>
        <v>0</v>
      </c>
      <c r="S29" s="706">
        <f t="shared" si="8"/>
        <v>0</v>
      </c>
      <c r="T29" s="706">
        <f t="shared" si="8"/>
        <v>0</v>
      </c>
      <c r="U29" s="706">
        <f t="shared" si="8"/>
        <v>0.27481238599825886</v>
      </c>
      <c r="V29" s="706">
        <f t="shared" si="8"/>
        <v>1.0037470091161926</v>
      </c>
    </row>
    <row r="30" spans="2:22" ht="15" customHeight="1" x14ac:dyDescent="0.3">
      <c r="B30" s="793"/>
      <c r="C30" s="897"/>
      <c r="D30" s="884"/>
      <c r="E30" s="884"/>
      <c r="F30" s="855" t="s">
        <v>18</v>
      </c>
      <c r="G30" s="898">
        <v>100</v>
      </c>
      <c r="H30" s="408" t="s">
        <v>705</v>
      </c>
      <c r="I30" s="409">
        <f>12700*0.976</f>
        <v>12395.199999999999</v>
      </c>
      <c r="J30" s="409">
        <f>0.976*12790</f>
        <v>12483.039999999999</v>
      </c>
      <c r="K30" s="409">
        <f>0.976*12600</f>
        <v>12297.6</v>
      </c>
      <c r="L30" s="409">
        <f>0.976*11591</f>
        <v>11312.815999999999</v>
      </c>
      <c r="M30" s="409">
        <f>0.976*10790</f>
        <v>10531.039999999999</v>
      </c>
      <c r="N30" s="409">
        <f>0.976*9638</f>
        <v>9406.6880000000001</v>
      </c>
      <c r="O30" s="409">
        <f>0.976*10109</f>
        <v>9866.384</v>
      </c>
      <c r="P30" s="409">
        <f>0.976*12566</f>
        <v>12264.415999999999</v>
      </c>
      <c r="Q30" s="409">
        <f>0.976*11423</f>
        <v>11148.848</v>
      </c>
      <c r="R30" s="409">
        <f>0.976*11637</f>
        <v>11357.712</v>
      </c>
      <c r="S30" s="409">
        <f>0.976*10678</f>
        <v>10421.727999999999</v>
      </c>
      <c r="T30" s="409">
        <f>0.976*12601</f>
        <v>12298.575999999999</v>
      </c>
      <c r="U30" s="410">
        <f>SUM(I30:T30)</f>
        <v>135784.04799999998</v>
      </c>
      <c r="V30" s="409">
        <f>SUM(I30:K30)</f>
        <v>37175.839999999997</v>
      </c>
    </row>
    <row r="31" spans="2:22" ht="15" customHeight="1" x14ac:dyDescent="0.3">
      <c r="B31" s="793"/>
      <c r="C31" s="897"/>
      <c r="D31" s="884" t="s">
        <v>706</v>
      </c>
      <c r="E31" s="921">
        <f>V28+V31+V34+V37</f>
        <v>114465.7</v>
      </c>
      <c r="F31" s="856"/>
      <c r="G31" s="899"/>
      <c r="H31" s="707" t="s">
        <v>706</v>
      </c>
      <c r="I31" s="708">
        <f>'Janeiro 25'!AI14</f>
        <v>13313.999999999998</v>
      </c>
      <c r="J31" s="708">
        <f>'Fevereiro 25'!AF14</f>
        <v>8207.5</v>
      </c>
      <c r="K31" s="708">
        <f>'Março 25'!AI14</f>
        <v>8334.0999999999985</v>
      </c>
      <c r="L31" s="708"/>
      <c r="M31" s="708"/>
      <c r="N31" s="708"/>
      <c r="O31" s="708"/>
      <c r="P31" s="708"/>
      <c r="Q31" s="708"/>
      <c r="R31" s="708"/>
      <c r="S31" s="708"/>
      <c r="T31" s="708"/>
      <c r="U31" s="708">
        <f>SUM(I31:T31)</f>
        <v>29855.599999999999</v>
      </c>
      <c r="V31" s="708">
        <f>SUM(I31:K31)</f>
        <v>29855.599999999999</v>
      </c>
    </row>
    <row r="32" spans="2:22" ht="15" customHeight="1" x14ac:dyDescent="0.3">
      <c r="B32" s="793"/>
      <c r="C32" s="897"/>
      <c r="D32" s="884"/>
      <c r="E32" s="884"/>
      <c r="F32" s="857"/>
      <c r="G32" s="900"/>
      <c r="H32" s="705" t="s">
        <v>673</v>
      </c>
      <c r="I32" s="706">
        <f>I31/I30</f>
        <v>1.074125467923067</v>
      </c>
      <c r="J32" s="706">
        <f>J31/J30</f>
        <v>0.65749208526128256</v>
      </c>
      <c r="K32" s="706">
        <f>K31/K30</f>
        <v>0.67770134009888094</v>
      </c>
      <c r="L32" s="706">
        <f>L31/L30</f>
        <v>0</v>
      </c>
      <c r="M32" s="706">
        <f>M31/M30</f>
        <v>0</v>
      </c>
      <c r="N32" s="706">
        <f t="shared" ref="N32:V32" si="9">N31/N30</f>
        <v>0</v>
      </c>
      <c r="O32" s="706">
        <f t="shared" si="9"/>
        <v>0</v>
      </c>
      <c r="P32" s="706">
        <f t="shared" si="9"/>
        <v>0</v>
      </c>
      <c r="Q32" s="706">
        <f t="shared" si="9"/>
        <v>0</v>
      </c>
      <c r="R32" s="706">
        <f t="shared" si="9"/>
        <v>0</v>
      </c>
      <c r="S32" s="706">
        <f t="shared" si="9"/>
        <v>0</v>
      </c>
      <c r="T32" s="706">
        <f t="shared" si="9"/>
        <v>0</v>
      </c>
      <c r="U32" s="706">
        <f t="shared" si="9"/>
        <v>0.21987560718472618</v>
      </c>
      <c r="V32" s="706">
        <f t="shared" si="9"/>
        <v>0.80309147015911408</v>
      </c>
    </row>
    <row r="33" spans="1:26" ht="15" customHeight="1" x14ac:dyDescent="0.3">
      <c r="B33" s="793"/>
      <c r="C33" s="897"/>
      <c r="D33" s="884"/>
      <c r="E33" s="884"/>
      <c r="F33" s="855" t="s">
        <v>110</v>
      </c>
      <c r="G33" s="898">
        <v>29</v>
      </c>
      <c r="H33" s="408" t="s">
        <v>705</v>
      </c>
      <c r="I33" s="409">
        <f>3498.85*0.984</f>
        <v>3442.8683999999998</v>
      </c>
      <c r="J33" s="409">
        <f>0.984*3523.645</f>
        <v>3467.2666799999997</v>
      </c>
      <c r="K33" s="409">
        <f>0.984*3471.3</f>
        <v>3415.7592</v>
      </c>
      <c r="L33" s="409">
        <f>0.984*3193.3205</f>
        <v>3142.2273719999998</v>
      </c>
      <c r="M33" s="409">
        <f>0.984*2972.645</f>
        <v>2925.08268</v>
      </c>
      <c r="N33" s="409">
        <f>0.984*2655.269</f>
        <v>2612.7846959999997</v>
      </c>
      <c r="O33" s="409">
        <f>0.984*2785.0295</f>
        <v>2740.469028</v>
      </c>
      <c r="P33" s="409">
        <f>0.984*3461.933</f>
        <v>3406.5420719999997</v>
      </c>
      <c r="Q33" s="409">
        <f>0.984*3147.0365</f>
        <v>3096.683916</v>
      </c>
      <c r="R33" s="409">
        <f>0.984*3205.9935</f>
        <v>3154.697604</v>
      </c>
      <c r="S33" s="409">
        <f>0.984*2941.789</f>
        <v>2894.7203760000002</v>
      </c>
      <c r="T33" s="409">
        <f>0.984*3471.5755</f>
        <v>3416.0302919999999</v>
      </c>
      <c r="U33" s="410">
        <f>SUM(I33:T33)</f>
        <v>37715.132316000003</v>
      </c>
      <c r="V33" s="409">
        <f>SUM(I33:K33)</f>
        <v>10325.89428</v>
      </c>
    </row>
    <row r="34" spans="1:26" ht="15" customHeight="1" x14ac:dyDescent="0.3">
      <c r="B34" s="793"/>
      <c r="C34" s="897"/>
      <c r="D34" s="884"/>
      <c r="E34" s="884"/>
      <c r="F34" s="856"/>
      <c r="G34" s="899"/>
      <c r="H34" s="707" t="s">
        <v>706</v>
      </c>
      <c r="I34" s="708">
        <f>'Janeiro 25'!AI15</f>
        <v>3697.5999999999995</v>
      </c>
      <c r="J34" s="708">
        <f>'Fevereiro 25'!AF15</f>
        <v>4015.3999999999996</v>
      </c>
      <c r="K34" s="708">
        <f>'Março 25'!AI15</f>
        <v>2230.2000000000003</v>
      </c>
      <c r="L34" s="708"/>
      <c r="M34" s="708"/>
      <c r="N34" s="708"/>
      <c r="O34" s="708"/>
      <c r="P34" s="708"/>
      <c r="Q34" s="708"/>
      <c r="R34" s="708"/>
      <c r="S34" s="708"/>
      <c r="T34" s="708"/>
      <c r="U34" s="708">
        <f>SUM(I34:T34)</f>
        <v>9943.1999999999989</v>
      </c>
      <c r="V34" s="708">
        <f>SUM(I34:K34)</f>
        <v>9943.1999999999989</v>
      </c>
    </row>
    <row r="35" spans="1:26" ht="15" customHeight="1" x14ac:dyDescent="0.3">
      <c r="B35" s="793"/>
      <c r="C35" s="897"/>
      <c r="D35" s="884" t="s">
        <v>673</v>
      </c>
      <c r="E35" s="922">
        <f>E31/E27</f>
        <v>0.93469730615852498</v>
      </c>
      <c r="F35" s="857"/>
      <c r="G35" s="900"/>
      <c r="H35" s="705" t="s">
        <v>673</v>
      </c>
      <c r="I35" s="706">
        <f>I34/I33</f>
        <v>1.07398818961538</v>
      </c>
      <c r="J35" s="706">
        <f>J34/J33</f>
        <v>1.1580880187733353</v>
      </c>
      <c r="K35" s="706">
        <f>K34/K33</f>
        <v>0.65291487760612643</v>
      </c>
      <c r="L35" s="706">
        <f>L34/L33</f>
        <v>0</v>
      </c>
      <c r="M35" s="706">
        <f>M34/M33</f>
        <v>0</v>
      </c>
      <c r="N35" s="706">
        <f t="shared" ref="N35:V35" si="10">N34/N33</f>
        <v>0</v>
      </c>
      <c r="O35" s="706">
        <f t="shared" si="10"/>
        <v>0</v>
      </c>
      <c r="P35" s="706">
        <f t="shared" si="10"/>
        <v>0</v>
      </c>
      <c r="Q35" s="706">
        <f t="shared" si="10"/>
        <v>0</v>
      </c>
      <c r="R35" s="706">
        <f t="shared" si="10"/>
        <v>0</v>
      </c>
      <c r="S35" s="706">
        <f t="shared" si="10"/>
        <v>0</v>
      </c>
      <c r="T35" s="706">
        <f t="shared" si="10"/>
        <v>0</v>
      </c>
      <c r="U35" s="706">
        <f t="shared" si="10"/>
        <v>0.26363953642505888</v>
      </c>
      <c r="V35" s="706">
        <f t="shared" si="10"/>
        <v>0.96293838871261406</v>
      </c>
    </row>
    <row r="36" spans="1:26" ht="15" customHeight="1" x14ac:dyDescent="0.3">
      <c r="B36" s="793"/>
      <c r="C36" s="897"/>
      <c r="D36" s="884"/>
      <c r="E36" s="922"/>
      <c r="F36" s="855" t="s">
        <v>20</v>
      </c>
      <c r="G36" s="898">
        <v>100</v>
      </c>
      <c r="H36" s="408" t="s">
        <v>705</v>
      </c>
      <c r="I36" s="409">
        <f>12700*0.984</f>
        <v>12496.8</v>
      </c>
      <c r="J36" s="409">
        <f>0.984*12790</f>
        <v>12585.36</v>
      </c>
      <c r="K36" s="409">
        <f>0.984*12600</f>
        <v>12398.4</v>
      </c>
      <c r="L36" s="409">
        <f>0.984*11591</f>
        <v>11405.544</v>
      </c>
      <c r="M36" s="409">
        <f>0.984*10790</f>
        <v>10617.36</v>
      </c>
      <c r="N36" s="409">
        <f>0.984*9638</f>
        <v>9483.7919999999995</v>
      </c>
      <c r="O36" s="409">
        <f>0.984*10109</f>
        <v>9947.2559999999994</v>
      </c>
      <c r="P36" s="409">
        <f>0.984*12566</f>
        <v>12364.944</v>
      </c>
      <c r="Q36" s="409">
        <f>0.984*11423</f>
        <v>11240.232</v>
      </c>
      <c r="R36" s="409">
        <f>0.984*11637</f>
        <v>11450.807999999999</v>
      </c>
      <c r="S36" s="409">
        <f>0.984*10678</f>
        <v>10507.152</v>
      </c>
      <c r="T36" s="409">
        <f>0.984*12601</f>
        <v>12399.384</v>
      </c>
      <c r="U36" s="410">
        <f>SUM(I36:T36)</f>
        <v>136897.03200000001</v>
      </c>
      <c r="V36" s="409">
        <f>SUM(I36:K36)</f>
        <v>37480.559999999998</v>
      </c>
    </row>
    <row r="37" spans="1:26" ht="15" customHeight="1" x14ac:dyDescent="0.3">
      <c r="B37" s="793"/>
      <c r="C37" s="897"/>
      <c r="D37" s="884"/>
      <c r="E37" s="922"/>
      <c r="F37" s="856"/>
      <c r="G37" s="899"/>
      <c r="H37" s="707" t="s">
        <v>706</v>
      </c>
      <c r="I37" s="708">
        <f>'Janeiro 25'!AI16</f>
        <v>12268.099999999999</v>
      </c>
      <c r="J37" s="708">
        <f>'Fevereiro 25'!AF16</f>
        <v>12269.899999999998</v>
      </c>
      <c r="K37" s="708">
        <f>'Março 25'!AI16</f>
        <v>12507.9</v>
      </c>
      <c r="L37" s="708"/>
      <c r="M37" s="708"/>
      <c r="N37" s="708"/>
      <c r="O37" s="708"/>
      <c r="P37" s="708"/>
      <c r="Q37" s="708"/>
      <c r="R37" s="708"/>
      <c r="S37" s="708"/>
      <c r="T37" s="708"/>
      <c r="U37" s="708">
        <f>SUM(I37:T37)</f>
        <v>37045.899999999994</v>
      </c>
      <c r="V37" s="708">
        <f>SUM(I37:K37)</f>
        <v>37045.899999999994</v>
      </c>
    </row>
    <row r="38" spans="1:26" ht="15" customHeight="1" x14ac:dyDescent="0.3">
      <c r="B38" s="794"/>
      <c r="C38" s="897"/>
      <c r="D38" s="884"/>
      <c r="E38" s="922"/>
      <c r="F38" s="857"/>
      <c r="G38" s="900"/>
      <c r="H38" s="705" t="s">
        <v>673</v>
      </c>
      <c r="I38" s="706">
        <f>I37/I36</f>
        <v>0.98169931502464625</v>
      </c>
      <c r="J38" s="706">
        <f>J37/J36</f>
        <v>0.97493436818652757</v>
      </c>
      <c r="K38" s="706">
        <f>K37/K36</f>
        <v>1.008831784746419</v>
      </c>
      <c r="L38" s="706">
        <f>L37/L36</f>
        <v>0</v>
      </c>
      <c r="M38" s="706">
        <f>M37/M36</f>
        <v>0</v>
      </c>
      <c r="N38" s="706">
        <f t="shared" ref="N38:V38" si="11">N37/N36</f>
        <v>0</v>
      </c>
      <c r="O38" s="706">
        <f t="shared" si="11"/>
        <v>0</v>
      </c>
      <c r="P38" s="706">
        <f t="shared" si="11"/>
        <v>0</v>
      </c>
      <c r="Q38" s="706">
        <f t="shared" si="11"/>
        <v>0</v>
      </c>
      <c r="R38" s="706">
        <f t="shared" si="11"/>
        <v>0</v>
      </c>
      <c r="S38" s="706">
        <f t="shared" si="11"/>
        <v>0</v>
      </c>
      <c r="T38" s="706">
        <f t="shared" si="11"/>
        <v>0</v>
      </c>
      <c r="U38" s="706">
        <f t="shared" si="11"/>
        <v>0.27061141836880725</v>
      </c>
      <c r="V38" s="706">
        <f t="shared" si="11"/>
        <v>0.98840305481028023</v>
      </c>
    </row>
    <row r="39" spans="1:26" ht="15" customHeight="1" x14ac:dyDescent="0.3">
      <c r="B39" s="865" t="s">
        <v>383</v>
      </c>
      <c r="C39" s="903" t="s">
        <v>1041</v>
      </c>
      <c r="D39" s="923" t="s">
        <v>705</v>
      </c>
      <c r="E39" s="924">
        <f>V39+V42+V45+V48+V51+V54+V57+V60+V63+V66+V69+V72+V75</f>
        <v>602282.70616800012</v>
      </c>
      <c r="F39" s="834" t="s">
        <v>22</v>
      </c>
      <c r="G39" s="840">
        <v>110</v>
      </c>
      <c r="H39" s="696" t="s">
        <v>705</v>
      </c>
      <c r="I39" s="697">
        <f>12992.1*0.992</f>
        <v>12888.163200000001</v>
      </c>
      <c r="J39" s="697">
        <f>0.992*13084.17</f>
        <v>12979.496639999999</v>
      </c>
      <c r="K39" s="697">
        <f>0.992*12889.8</f>
        <v>12786.6816</v>
      </c>
      <c r="L39" s="697">
        <f>0.992*11857.593</f>
        <v>11762.732256000001</v>
      </c>
      <c r="M39" s="697">
        <f>0.992*11038.17</f>
        <v>10949.86464</v>
      </c>
      <c r="N39" s="697">
        <f>0.992*9859.674</f>
        <v>9780.7966080000006</v>
      </c>
      <c r="O39" s="697">
        <f>0.992*10341.507</f>
        <v>10258.774943999999</v>
      </c>
      <c r="P39" s="697">
        <f>0.992*12855.018</f>
        <v>12752.177856</v>
      </c>
      <c r="Q39" s="697">
        <f>0.992*11685.729</f>
        <v>11592.243167999999</v>
      </c>
      <c r="R39" s="697">
        <f>0.992*11904.651</f>
        <v>11809.413791999999</v>
      </c>
      <c r="S39" s="697">
        <f>0.992*10923.594</f>
        <v>10836.205247999998</v>
      </c>
      <c r="T39" s="697">
        <f>0.992*12890.823</f>
        <v>12787.696416000001</v>
      </c>
      <c r="U39" s="698">
        <f>SUM(I39:T39)</f>
        <v>141184.24636800002</v>
      </c>
      <c r="V39" s="697">
        <f>SUM(I39:K39)</f>
        <v>38654.341440000004</v>
      </c>
    </row>
    <row r="40" spans="1:26" ht="15" customHeight="1" x14ac:dyDescent="0.3">
      <c r="B40" s="866"/>
      <c r="C40" s="903"/>
      <c r="D40" s="923"/>
      <c r="E40" s="923"/>
      <c r="F40" s="835"/>
      <c r="G40" s="841"/>
      <c r="H40" s="707" t="s">
        <v>706</v>
      </c>
      <c r="I40" s="708">
        <f>'Janeiro 25'!AI17</f>
        <v>13257.800000000001</v>
      </c>
      <c r="J40" s="708">
        <f>'Fevereiro 25'!AF17</f>
        <v>14318.099999999999</v>
      </c>
      <c r="K40" s="708">
        <f>'Março 25'!AI17</f>
        <v>12674.200000000006</v>
      </c>
      <c r="L40" s="708"/>
      <c r="M40" s="708"/>
      <c r="N40" s="708"/>
      <c r="O40" s="708"/>
      <c r="P40" s="708"/>
      <c r="Q40" s="708"/>
      <c r="R40" s="708"/>
      <c r="S40" s="708"/>
      <c r="T40" s="708"/>
      <c r="U40" s="708">
        <f>SUM(I40:T40)</f>
        <v>40250.100000000006</v>
      </c>
      <c r="V40" s="708">
        <f>SUM(I40:K40)</f>
        <v>40250.100000000006</v>
      </c>
    </row>
    <row r="41" spans="1:26" ht="15" customHeight="1" x14ac:dyDescent="0.3">
      <c r="B41" s="866"/>
      <c r="C41" s="903"/>
      <c r="D41" s="923"/>
      <c r="E41" s="923"/>
      <c r="F41" s="836"/>
      <c r="G41" s="842"/>
      <c r="H41" s="705" t="s">
        <v>673</v>
      </c>
      <c r="I41" s="706">
        <f>I40/I39</f>
        <v>1.0286803320429709</v>
      </c>
      <c r="J41" s="706">
        <f>J40/J39</f>
        <v>1.1031321473495908</v>
      </c>
      <c r="K41" s="706">
        <f>K40/K39</f>
        <v>0.99120322195244204</v>
      </c>
      <c r="L41" s="706">
        <f>L40/L39</f>
        <v>0</v>
      </c>
      <c r="M41" s="706">
        <f>M40/M39</f>
        <v>0</v>
      </c>
      <c r="N41" s="706">
        <f t="shared" ref="N41:V41" si="12">N40/N39</f>
        <v>0</v>
      </c>
      <c r="O41" s="706">
        <f t="shared" si="12"/>
        <v>0</v>
      </c>
      <c r="P41" s="706">
        <f t="shared" si="12"/>
        <v>0</v>
      </c>
      <c r="Q41" s="706">
        <f t="shared" si="12"/>
        <v>0</v>
      </c>
      <c r="R41" s="706">
        <f t="shared" si="12"/>
        <v>0</v>
      </c>
      <c r="S41" s="706">
        <f t="shared" si="12"/>
        <v>0</v>
      </c>
      <c r="T41" s="706">
        <f t="shared" si="12"/>
        <v>0</v>
      </c>
      <c r="U41" s="706">
        <f t="shared" si="12"/>
        <v>0.28508917273310497</v>
      </c>
      <c r="V41" s="706">
        <f t="shared" si="12"/>
        <v>1.0412827770582243</v>
      </c>
    </row>
    <row r="42" spans="1:26" ht="15" customHeight="1" x14ac:dyDescent="0.3">
      <c r="B42" s="866"/>
      <c r="C42" s="903"/>
      <c r="D42" s="923"/>
      <c r="E42" s="923"/>
      <c r="F42" s="834" t="s">
        <v>23</v>
      </c>
      <c r="G42" s="840">
        <v>110</v>
      </c>
      <c r="H42" s="696" t="s">
        <v>705</v>
      </c>
      <c r="I42" s="697">
        <f>12992.1*0.992</f>
        <v>12888.163200000001</v>
      </c>
      <c r="J42" s="697">
        <f>0.992*13084.17</f>
        <v>12979.496639999999</v>
      </c>
      <c r="K42" s="697">
        <f>0.992*12889.8</f>
        <v>12786.6816</v>
      </c>
      <c r="L42" s="697">
        <f>0.992*11857.593</f>
        <v>11762.732256000001</v>
      </c>
      <c r="M42" s="697">
        <f>0.992*11038.17</f>
        <v>10949.86464</v>
      </c>
      <c r="N42" s="697">
        <f>0.992*9859.674</f>
        <v>9780.7966080000006</v>
      </c>
      <c r="O42" s="697">
        <f>0.992*10341.507</f>
        <v>10258.774943999999</v>
      </c>
      <c r="P42" s="697">
        <f>0.992*12855.018</f>
        <v>12752.177856</v>
      </c>
      <c r="Q42" s="697">
        <f>0.992*11685.729</f>
        <v>11592.243167999999</v>
      </c>
      <c r="R42" s="697">
        <f>0.992*11904.651</f>
        <v>11809.413791999999</v>
      </c>
      <c r="S42" s="697">
        <f>0.992*10923.594</f>
        <v>10836.205247999998</v>
      </c>
      <c r="T42" s="697">
        <f>0.992*12890.823</f>
        <v>12787.696416000001</v>
      </c>
      <c r="U42" s="698">
        <f>SUM(I42:T42)</f>
        <v>141184.24636800002</v>
      </c>
      <c r="V42" s="697">
        <f>SUM(I42:K42)</f>
        <v>38654.341440000004</v>
      </c>
    </row>
    <row r="43" spans="1:26" ht="15" customHeight="1" x14ac:dyDescent="0.3">
      <c r="B43" s="866"/>
      <c r="C43" s="903"/>
      <c r="D43" s="923"/>
      <c r="E43" s="923"/>
      <c r="F43" s="835"/>
      <c r="G43" s="841"/>
      <c r="H43" s="707" t="s">
        <v>706</v>
      </c>
      <c r="I43" s="708">
        <f>'Janeiro 25'!AI18</f>
        <v>13850.400000000003</v>
      </c>
      <c r="J43" s="708">
        <f>'Fevereiro 25'!AF18</f>
        <v>15136.199999999999</v>
      </c>
      <c r="K43" s="708">
        <f>'Março 25'!AI18</f>
        <v>13642.300000000003</v>
      </c>
      <c r="L43" s="708"/>
      <c r="M43" s="708"/>
      <c r="N43" s="708"/>
      <c r="O43" s="708"/>
      <c r="P43" s="708"/>
      <c r="Q43" s="708"/>
      <c r="R43" s="708"/>
      <c r="S43" s="708"/>
      <c r="T43" s="708"/>
      <c r="U43" s="708">
        <f>SUM(I43:T43)</f>
        <v>42628.900000000009</v>
      </c>
      <c r="V43" s="708">
        <f>SUM(I43:K43)</f>
        <v>42628.900000000009</v>
      </c>
    </row>
    <row r="44" spans="1:26" ht="15" customHeight="1" x14ac:dyDescent="0.3">
      <c r="B44" s="866"/>
      <c r="C44" s="903"/>
      <c r="D44" s="923"/>
      <c r="E44" s="923"/>
      <c r="F44" s="836"/>
      <c r="G44" s="842"/>
      <c r="H44" s="705" t="s">
        <v>673</v>
      </c>
      <c r="I44" s="706">
        <f>I43/I42</f>
        <v>1.0746605070922755</v>
      </c>
      <c r="J44" s="706">
        <f>J43/J42</f>
        <v>1.1661623266154642</v>
      </c>
      <c r="K44" s="706">
        <f>K43/K42</f>
        <v>1.0669148123622632</v>
      </c>
      <c r="L44" s="706">
        <f>L43/L42</f>
        <v>0</v>
      </c>
      <c r="M44" s="706">
        <f>M43/M42</f>
        <v>0</v>
      </c>
      <c r="N44" s="706">
        <f t="shared" ref="N44:V44" si="13">N43/N42</f>
        <v>0</v>
      </c>
      <c r="O44" s="706">
        <f t="shared" si="13"/>
        <v>0</v>
      </c>
      <c r="P44" s="706">
        <f t="shared" si="13"/>
        <v>0</v>
      </c>
      <c r="Q44" s="706">
        <f t="shared" si="13"/>
        <v>0</v>
      </c>
      <c r="R44" s="706">
        <f t="shared" si="13"/>
        <v>0</v>
      </c>
      <c r="S44" s="706">
        <f t="shared" si="13"/>
        <v>0</v>
      </c>
      <c r="T44" s="706">
        <f t="shared" si="13"/>
        <v>0</v>
      </c>
      <c r="U44" s="706">
        <f t="shared" si="13"/>
        <v>0.30193807805501749</v>
      </c>
      <c r="V44" s="706">
        <f t="shared" si="13"/>
        <v>1.1028230830466841</v>
      </c>
    </row>
    <row r="45" spans="1:26" ht="15" customHeight="1" x14ac:dyDescent="0.3">
      <c r="B45" s="866"/>
      <c r="C45" s="903"/>
      <c r="D45" s="923"/>
      <c r="E45" s="923"/>
      <c r="F45" s="834" t="s">
        <v>24</v>
      </c>
      <c r="G45" s="840">
        <v>80</v>
      </c>
      <c r="H45" s="696" t="s">
        <v>705</v>
      </c>
      <c r="I45" s="697">
        <f>9652*0.984</f>
        <v>9497.5679999999993</v>
      </c>
      <c r="J45" s="697">
        <f>0.984*9720.4</f>
        <v>9564.873599999999</v>
      </c>
      <c r="K45" s="697">
        <f>0.984*9576</f>
        <v>9422.7839999999997</v>
      </c>
      <c r="L45" s="697">
        <f>0.984*8809.16</f>
        <v>8668.2134399999995</v>
      </c>
      <c r="M45" s="697">
        <f>0.984*8200.4</f>
        <v>8069.1935999999996</v>
      </c>
      <c r="N45" s="697">
        <f>0.984*7324.88</f>
        <v>7207.68192</v>
      </c>
      <c r="O45" s="697">
        <f>0.984*7682.84</f>
        <v>7559.9145600000002</v>
      </c>
      <c r="P45" s="697">
        <f>0.984*9550.16</f>
        <v>9397.3574399999998</v>
      </c>
      <c r="Q45" s="697">
        <f>0.984*8681.48</f>
        <v>8542.5763200000001</v>
      </c>
      <c r="R45" s="697">
        <f>0.984*8844.12</f>
        <v>8702.6140800000012</v>
      </c>
      <c r="S45" s="697">
        <f>0.984*8115.28</f>
        <v>7985.43552</v>
      </c>
      <c r="T45" s="697">
        <f>0.984*9576.76</f>
        <v>9423.5318399999996</v>
      </c>
      <c r="U45" s="698">
        <f>SUM(I45:T45)</f>
        <v>104041.74431999998</v>
      </c>
      <c r="V45" s="697">
        <f>SUM(I45:K45)</f>
        <v>28485.225599999998</v>
      </c>
    </row>
    <row r="46" spans="1:26" ht="15" customHeight="1" x14ac:dyDescent="0.3">
      <c r="B46" s="866"/>
      <c r="C46" s="903"/>
      <c r="D46" s="923"/>
      <c r="E46" s="923"/>
      <c r="F46" s="835"/>
      <c r="G46" s="841"/>
      <c r="H46" s="707" t="s">
        <v>706</v>
      </c>
      <c r="I46" s="708">
        <f>'Janeiro 25'!AI19</f>
        <v>11260.000000000002</v>
      </c>
      <c r="J46" s="708">
        <f>'Fevereiro 25'!AF19</f>
        <v>12107.600000000002</v>
      </c>
      <c r="K46" s="708">
        <f>'Março 25'!AI19</f>
        <v>10567.599999999999</v>
      </c>
      <c r="L46" s="708"/>
      <c r="M46" s="708"/>
      <c r="N46" s="708"/>
      <c r="O46" s="708"/>
      <c r="P46" s="708"/>
      <c r="Q46" s="708"/>
      <c r="R46" s="708"/>
      <c r="S46" s="708"/>
      <c r="T46" s="708"/>
      <c r="U46" s="708">
        <f>SUM(I46:T46)</f>
        <v>33935.200000000004</v>
      </c>
      <c r="V46" s="708">
        <f>SUM(I46:K46)</f>
        <v>33935.200000000004</v>
      </c>
    </row>
    <row r="47" spans="1:26" ht="15" customHeight="1" x14ac:dyDescent="0.3">
      <c r="B47" s="866"/>
      <c r="C47" s="903"/>
      <c r="D47" s="923"/>
      <c r="E47" s="923"/>
      <c r="F47" s="836"/>
      <c r="G47" s="842"/>
      <c r="H47" s="705" t="s">
        <v>673</v>
      </c>
      <c r="I47" s="706">
        <f>I46/I45</f>
        <v>1.1855666629604551</v>
      </c>
      <c r="J47" s="706">
        <f>J46/J45</f>
        <v>1.2658400420471843</v>
      </c>
      <c r="K47" s="706">
        <f>K46/K45</f>
        <v>1.1214944542929137</v>
      </c>
      <c r="L47" s="706">
        <f>L46/L45</f>
        <v>0</v>
      </c>
      <c r="M47" s="706">
        <f>M46/M45</f>
        <v>0</v>
      </c>
      <c r="N47" s="706">
        <f t="shared" ref="N47:V47" si="14">N46/N45</f>
        <v>0</v>
      </c>
      <c r="O47" s="706">
        <f t="shared" si="14"/>
        <v>0</v>
      </c>
      <c r="P47" s="706">
        <f t="shared" si="14"/>
        <v>0</v>
      </c>
      <c r="Q47" s="706">
        <f t="shared" si="14"/>
        <v>0</v>
      </c>
      <c r="R47" s="706">
        <f t="shared" si="14"/>
        <v>0</v>
      </c>
      <c r="S47" s="706">
        <f t="shared" si="14"/>
        <v>0</v>
      </c>
      <c r="T47" s="706">
        <f t="shared" si="14"/>
        <v>0</v>
      </c>
      <c r="U47" s="706">
        <f t="shared" si="14"/>
        <v>0.3261690797457788</v>
      </c>
      <c r="V47" s="706">
        <f t="shared" si="14"/>
        <v>1.1913263555125224</v>
      </c>
    </row>
    <row r="48" spans="1:26" s="401" customFormat="1" ht="15" customHeight="1" x14ac:dyDescent="0.3">
      <c r="A48"/>
      <c r="B48" s="866"/>
      <c r="C48" s="903"/>
      <c r="D48" s="923"/>
      <c r="E48" s="923"/>
      <c r="F48" s="834" t="s">
        <v>25</v>
      </c>
      <c r="G48" s="840">
        <v>100</v>
      </c>
      <c r="H48" s="696" t="s">
        <v>705</v>
      </c>
      <c r="I48" s="697">
        <f>12700*0.984</f>
        <v>12496.8</v>
      </c>
      <c r="J48" s="697">
        <f>0.984*12790</f>
        <v>12585.36</v>
      </c>
      <c r="K48" s="697">
        <f>0.984*12600</f>
        <v>12398.4</v>
      </c>
      <c r="L48" s="697">
        <f>0.984*11591</f>
        <v>11405.544</v>
      </c>
      <c r="M48" s="697">
        <f>0.984*10790</f>
        <v>10617.36</v>
      </c>
      <c r="N48" s="697">
        <f>0.984*9638</f>
        <v>9483.7919999999995</v>
      </c>
      <c r="O48" s="697">
        <f>0.984*10109</f>
        <v>9947.2559999999994</v>
      </c>
      <c r="P48" s="697">
        <f>0.984*12566</f>
        <v>12364.944</v>
      </c>
      <c r="Q48" s="697">
        <f>0.984*11423</f>
        <v>11240.232</v>
      </c>
      <c r="R48" s="697">
        <f>0.984*11637</f>
        <v>11450.807999999999</v>
      </c>
      <c r="S48" s="697">
        <f>0.984*10678</f>
        <v>10507.152</v>
      </c>
      <c r="T48" s="697">
        <f>0.984*12601</f>
        <v>12399.384</v>
      </c>
      <c r="U48" s="698">
        <f>SUM(I48:T48)</f>
        <v>136897.03200000001</v>
      </c>
      <c r="V48" s="697">
        <f>SUM(I48:K48)</f>
        <v>37480.559999999998</v>
      </c>
      <c r="W48" s="393"/>
      <c r="X48" s="393"/>
      <c r="Y48" s="393"/>
      <c r="Z48" s="393"/>
    </row>
    <row r="49" spans="1:26" s="401" customFormat="1" ht="15" customHeight="1" x14ac:dyDescent="0.3">
      <c r="A49"/>
      <c r="B49" s="866"/>
      <c r="C49" s="903"/>
      <c r="D49" s="923"/>
      <c r="E49" s="923"/>
      <c r="F49" s="835"/>
      <c r="G49" s="841"/>
      <c r="H49" s="707" t="s">
        <v>706</v>
      </c>
      <c r="I49" s="708">
        <f>'Janeiro 25'!AI20</f>
        <v>13553.900000000001</v>
      </c>
      <c r="J49" s="708">
        <f>'Fevereiro 25'!AF20</f>
        <v>14397.699999999999</v>
      </c>
      <c r="K49" s="708">
        <f>'Março 25'!AI20</f>
        <v>12503.4</v>
      </c>
      <c r="L49" s="708"/>
      <c r="M49" s="708"/>
      <c r="N49" s="708"/>
      <c r="O49" s="708"/>
      <c r="P49" s="708"/>
      <c r="Q49" s="708"/>
      <c r="R49" s="708"/>
      <c r="S49" s="708"/>
      <c r="T49" s="708"/>
      <c r="U49" s="708">
        <f>SUM(I49:T49)</f>
        <v>40455</v>
      </c>
      <c r="V49" s="708">
        <f>SUM(I49:K49)</f>
        <v>40455</v>
      </c>
      <c r="W49" s="393"/>
      <c r="X49" s="393"/>
      <c r="Y49" s="393"/>
      <c r="Z49" s="393"/>
    </row>
    <row r="50" spans="1:26" s="401" customFormat="1" ht="15" customHeight="1" x14ac:dyDescent="0.3">
      <c r="A50"/>
      <c r="B50" s="866"/>
      <c r="C50" s="903"/>
      <c r="D50" s="923"/>
      <c r="E50" s="923"/>
      <c r="F50" s="836"/>
      <c r="G50" s="842"/>
      <c r="H50" s="705" t="s">
        <v>673</v>
      </c>
      <c r="I50" s="706">
        <f t="shared" ref="I50:V50" si="15">I49/I48</f>
        <v>1.0845896549516678</v>
      </c>
      <c r="J50" s="706">
        <f t="shared" si="15"/>
        <v>1.1440038266684465</v>
      </c>
      <c r="K50" s="706">
        <f t="shared" si="15"/>
        <v>1.0084688346883468</v>
      </c>
      <c r="L50" s="706">
        <f t="shared" si="15"/>
        <v>0</v>
      </c>
      <c r="M50" s="706">
        <f t="shared" si="15"/>
        <v>0</v>
      </c>
      <c r="N50" s="706">
        <f t="shared" si="15"/>
        <v>0</v>
      </c>
      <c r="O50" s="706">
        <f t="shared" si="15"/>
        <v>0</v>
      </c>
      <c r="P50" s="706">
        <f t="shared" si="15"/>
        <v>0</v>
      </c>
      <c r="Q50" s="706">
        <f t="shared" si="15"/>
        <v>0</v>
      </c>
      <c r="R50" s="706">
        <f t="shared" si="15"/>
        <v>0</v>
      </c>
      <c r="S50" s="706">
        <f t="shared" si="15"/>
        <v>0</v>
      </c>
      <c r="T50" s="706">
        <f t="shared" si="15"/>
        <v>0</v>
      </c>
      <c r="U50" s="706">
        <f t="shared" si="15"/>
        <v>0.29551407659444362</v>
      </c>
      <c r="V50" s="706">
        <f t="shared" si="15"/>
        <v>1.0793595399855285</v>
      </c>
      <c r="W50" s="393"/>
      <c r="X50" s="393"/>
      <c r="Y50" s="393"/>
      <c r="Z50" s="393"/>
    </row>
    <row r="51" spans="1:26" ht="15" customHeight="1" x14ac:dyDescent="0.3">
      <c r="B51" s="866"/>
      <c r="C51" s="903"/>
      <c r="D51" s="923"/>
      <c r="E51" s="923"/>
      <c r="F51" s="834" t="s">
        <v>26</v>
      </c>
      <c r="G51" s="840">
        <v>100</v>
      </c>
      <c r="H51" s="696" t="s">
        <v>705</v>
      </c>
      <c r="I51" s="697">
        <f>12700*0.984</f>
        <v>12496.8</v>
      </c>
      <c r="J51" s="697">
        <f>0.984*12790</f>
        <v>12585.36</v>
      </c>
      <c r="K51" s="697">
        <f>0.984*12600</f>
        <v>12398.4</v>
      </c>
      <c r="L51" s="697">
        <f>0.984*11591</f>
        <v>11405.544</v>
      </c>
      <c r="M51" s="697">
        <f>0.984*10790</f>
        <v>10617.36</v>
      </c>
      <c r="N51" s="697">
        <f>0.984*9638</f>
        <v>9483.7919999999995</v>
      </c>
      <c r="O51" s="697">
        <f>0.984*10109</f>
        <v>9947.2559999999994</v>
      </c>
      <c r="P51" s="697">
        <f>0.984*12566</f>
        <v>12364.944</v>
      </c>
      <c r="Q51" s="697">
        <f>0.984*11423</f>
        <v>11240.232</v>
      </c>
      <c r="R51" s="697">
        <f>0.984*11637</f>
        <v>11450.807999999999</v>
      </c>
      <c r="S51" s="697">
        <f>0.984*10678</f>
        <v>10507.152</v>
      </c>
      <c r="T51" s="697">
        <f>0.984*12601</f>
        <v>12399.384</v>
      </c>
      <c r="U51" s="698">
        <f>SUM(I51:T51)</f>
        <v>136897.03200000001</v>
      </c>
      <c r="V51" s="697">
        <f>SUM(I51:K51)</f>
        <v>37480.559999999998</v>
      </c>
    </row>
    <row r="52" spans="1:26" ht="15" customHeight="1" x14ac:dyDescent="0.3">
      <c r="B52" s="866"/>
      <c r="C52" s="903"/>
      <c r="D52" s="923"/>
      <c r="E52" s="923"/>
      <c r="F52" s="835"/>
      <c r="G52" s="841"/>
      <c r="H52" s="707" t="s">
        <v>706</v>
      </c>
      <c r="I52" s="708">
        <f>'Janeiro 25'!AI21</f>
        <v>11098.699999999999</v>
      </c>
      <c r="J52" s="708">
        <f>'Fevereiro 25'!AF21</f>
        <v>11530.299999999997</v>
      </c>
      <c r="K52" s="708">
        <f>'Março 25'!AI21</f>
        <v>9516.1999999999989</v>
      </c>
      <c r="L52" s="708"/>
      <c r="M52" s="708"/>
      <c r="N52" s="708"/>
      <c r="O52" s="708"/>
      <c r="P52" s="708"/>
      <c r="Q52" s="708"/>
      <c r="R52" s="708"/>
      <c r="S52" s="708"/>
      <c r="T52" s="708"/>
      <c r="U52" s="708">
        <f>SUM(I52:T52)</f>
        <v>32145.199999999997</v>
      </c>
      <c r="V52" s="708">
        <f>SUM(I52:K52)</f>
        <v>32145.199999999997</v>
      </c>
    </row>
    <row r="53" spans="1:26" ht="15" customHeight="1" x14ac:dyDescent="0.3">
      <c r="B53" s="866"/>
      <c r="C53" s="903"/>
      <c r="D53" s="923"/>
      <c r="E53" s="923"/>
      <c r="F53" s="836"/>
      <c r="G53" s="842"/>
      <c r="H53" s="705" t="s">
        <v>673</v>
      </c>
      <c r="I53" s="706">
        <f>I52/I51</f>
        <v>0.88812335958005251</v>
      </c>
      <c r="J53" s="706">
        <f>J52/J51</f>
        <v>0.9161676741865149</v>
      </c>
      <c r="K53" s="706">
        <f>K52/K51</f>
        <v>0.76753452058330096</v>
      </c>
      <c r="L53" s="706">
        <f>L52/L51</f>
        <v>0</v>
      </c>
      <c r="M53" s="706">
        <f>M52/M51</f>
        <v>0</v>
      </c>
      <c r="N53" s="706">
        <f t="shared" ref="N53:V53" si="16">N52/N51</f>
        <v>0</v>
      </c>
      <c r="O53" s="706">
        <f t="shared" si="16"/>
        <v>0</v>
      </c>
      <c r="P53" s="706">
        <f t="shared" si="16"/>
        <v>0</v>
      </c>
      <c r="Q53" s="706">
        <f t="shared" si="16"/>
        <v>0</v>
      </c>
      <c r="R53" s="706">
        <f t="shared" si="16"/>
        <v>0</v>
      </c>
      <c r="S53" s="706">
        <f t="shared" si="16"/>
        <v>0</v>
      </c>
      <c r="T53" s="706">
        <f t="shared" si="16"/>
        <v>0</v>
      </c>
      <c r="U53" s="706">
        <f t="shared" si="16"/>
        <v>0.23481297972917334</v>
      </c>
      <c r="V53" s="706">
        <f t="shared" si="16"/>
        <v>0.85764993906174292</v>
      </c>
    </row>
    <row r="54" spans="1:26" ht="15" customHeight="1" x14ac:dyDescent="0.3">
      <c r="B54" s="866"/>
      <c r="C54" s="903"/>
      <c r="D54" s="923" t="s">
        <v>706</v>
      </c>
      <c r="E54" s="924">
        <f>V40+V43+V46+V49+V52+V55+V58+V61+V64+V67+V70+V73+V76</f>
        <v>597097.30000000005</v>
      </c>
      <c r="F54" s="834" t="s">
        <v>28</v>
      </c>
      <c r="G54" s="837">
        <v>110</v>
      </c>
      <c r="H54" s="696" t="s">
        <v>705</v>
      </c>
      <c r="I54" s="697">
        <f>12992.1*0.984</f>
        <v>12784.2264</v>
      </c>
      <c r="J54" s="697">
        <f>0.984*13084.17</f>
        <v>12874.823280000001</v>
      </c>
      <c r="K54" s="697">
        <f>0.984*12889.8</f>
        <v>12683.563199999999</v>
      </c>
      <c r="L54" s="697">
        <f>0.984*11857.593</f>
        <v>11667.871512</v>
      </c>
      <c r="M54" s="697">
        <f>0.984*11038.17</f>
        <v>10861.559279999999</v>
      </c>
      <c r="N54" s="697">
        <f>0.984*9859.674</f>
        <v>9701.9192160000002</v>
      </c>
      <c r="O54" s="697">
        <f>0.984*10341.507</f>
        <v>10176.042888</v>
      </c>
      <c r="P54" s="697">
        <f>0.984*12855.018</f>
        <v>12649.337712</v>
      </c>
      <c r="Q54" s="697">
        <f>0.984*11685.729</f>
        <v>11498.757335999999</v>
      </c>
      <c r="R54" s="697">
        <f>0.984*11904.651</f>
        <v>11714.176583999999</v>
      </c>
      <c r="S54" s="697">
        <f>0.984*10923.594</f>
        <v>10748.816495999999</v>
      </c>
      <c r="T54" s="697">
        <f>0.984*12890.823</f>
        <v>12684.569831999999</v>
      </c>
      <c r="U54" s="698">
        <f>SUM(I54:T54)</f>
        <v>140045.66373599999</v>
      </c>
      <c r="V54" s="697">
        <f>SUM(I54:K54)</f>
        <v>38342.612880000001</v>
      </c>
    </row>
    <row r="55" spans="1:26" ht="15" customHeight="1" x14ac:dyDescent="0.3">
      <c r="B55" s="866"/>
      <c r="C55" s="903"/>
      <c r="D55" s="923"/>
      <c r="E55" s="923"/>
      <c r="F55" s="835"/>
      <c r="G55" s="838"/>
      <c r="H55" s="707" t="s">
        <v>706</v>
      </c>
      <c r="I55" s="708">
        <f>'Janeiro 25'!AI22</f>
        <v>13625.500000000002</v>
      </c>
      <c r="J55" s="708">
        <f>'Fevereiro 25'!AF22</f>
        <v>14884.100000000002</v>
      </c>
      <c r="K55" s="708">
        <f>'Março 25'!AI22</f>
        <v>13858.199999999999</v>
      </c>
      <c r="L55" s="708"/>
      <c r="M55" s="708"/>
      <c r="N55" s="708"/>
      <c r="O55" s="708"/>
      <c r="P55" s="708"/>
      <c r="Q55" s="708"/>
      <c r="R55" s="708"/>
      <c r="S55" s="708"/>
      <c r="T55" s="708"/>
      <c r="U55" s="708">
        <f>SUM(I55:T55)</f>
        <v>42367.8</v>
      </c>
      <c r="V55" s="708">
        <f>SUM(I55:K55)</f>
        <v>42367.8</v>
      </c>
    </row>
    <row r="56" spans="1:26" ht="15" customHeight="1" x14ac:dyDescent="0.3">
      <c r="B56" s="866"/>
      <c r="C56" s="903"/>
      <c r="D56" s="923"/>
      <c r="E56" s="923"/>
      <c r="F56" s="836"/>
      <c r="G56" s="839"/>
      <c r="H56" s="705" t="s">
        <v>673</v>
      </c>
      <c r="I56" s="706">
        <f>I55/I54</f>
        <v>1.0658055930548915</v>
      </c>
      <c r="J56" s="706">
        <f>J55/J54</f>
        <v>1.1560624698531785</v>
      </c>
      <c r="K56" s="706">
        <f>K55/K54</f>
        <v>1.0926109470562657</v>
      </c>
      <c r="L56" s="706">
        <f>L55/L54</f>
        <v>0</v>
      </c>
      <c r="M56" s="706">
        <f>M55/M54</f>
        <v>0</v>
      </c>
      <c r="N56" s="706">
        <f t="shared" ref="N56:V56" si="17">N55/N54</f>
        <v>0</v>
      </c>
      <c r="O56" s="706">
        <f t="shared" si="17"/>
        <v>0</v>
      </c>
      <c r="P56" s="706">
        <f t="shared" si="17"/>
        <v>0</v>
      </c>
      <c r="Q56" s="706">
        <f t="shared" si="17"/>
        <v>0</v>
      </c>
      <c r="R56" s="706">
        <f t="shared" si="17"/>
        <v>0</v>
      </c>
      <c r="S56" s="706">
        <f t="shared" si="17"/>
        <v>0</v>
      </c>
      <c r="T56" s="706">
        <f t="shared" si="17"/>
        <v>0</v>
      </c>
      <c r="U56" s="706">
        <f t="shared" si="17"/>
        <v>0.30252846728526722</v>
      </c>
      <c r="V56" s="706">
        <f t="shared" si="17"/>
        <v>1.1049794684727809</v>
      </c>
    </row>
    <row r="57" spans="1:26" ht="15" customHeight="1" x14ac:dyDescent="0.3">
      <c r="B57" s="866"/>
      <c r="C57" s="903"/>
      <c r="D57" s="923"/>
      <c r="E57" s="923"/>
      <c r="F57" s="834" t="s">
        <v>29</v>
      </c>
      <c r="G57" s="840">
        <v>120</v>
      </c>
      <c r="H57" s="696" t="s">
        <v>705</v>
      </c>
      <c r="I57" s="697">
        <f>13983.97*0.984</f>
        <v>13760.226479999999</v>
      </c>
      <c r="J57" s="697">
        <f>0.984*14083.069</f>
        <v>13857.739895999999</v>
      </c>
      <c r="K57" s="697">
        <f>0.984*13873.86</f>
        <v>13651.87824</v>
      </c>
      <c r="L57" s="697">
        <f>0.984*12762.8501</f>
        <v>12558.644498399999</v>
      </c>
      <c r="M57" s="697">
        <f>0.984*11880.869</f>
        <v>11690.775096000001</v>
      </c>
      <c r="N57" s="697">
        <f>0.984*10612.4018</f>
        <v>10442.603371199999</v>
      </c>
      <c r="O57" s="697">
        <f>0.984*11131.0199</f>
        <v>10952.9235816</v>
      </c>
      <c r="P57" s="697">
        <f>0.984*13836.4226</f>
        <v>13615.0398384</v>
      </c>
      <c r="Q57" s="697">
        <f>0.984*12577.8653</f>
        <v>12376.6194552</v>
      </c>
      <c r="R57" s="697">
        <f>0.984*12813.5007</f>
        <v>12608.484688800001</v>
      </c>
      <c r="S57" s="697">
        <f>0.984*11757.5458</f>
        <v>11569.4250672</v>
      </c>
      <c r="T57" s="697">
        <f>0.984*13874.9611</f>
        <v>13652.961722399999</v>
      </c>
      <c r="U57" s="698">
        <f>SUM(I57:T57)</f>
        <v>150737.32193520002</v>
      </c>
      <c r="V57" s="697">
        <f>SUM(I57:K57)</f>
        <v>41269.844615999995</v>
      </c>
    </row>
    <row r="58" spans="1:26" ht="15" customHeight="1" x14ac:dyDescent="0.3">
      <c r="B58" s="866"/>
      <c r="C58" s="903"/>
      <c r="D58" s="923"/>
      <c r="E58" s="923"/>
      <c r="F58" s="835"/>
      <c r="G58" s="841"/>
      <c r="H58" s="707" t="s">
        <v>706</v>
      </c>
      <c r="I58" s="708">
        <f>'Janeiro 25'!AI23</f>
        <v>12305.899999999998</v>
      </c>
      <c r="J58" s="708">
        <f>'Fevereiro 25'!AF23</f>
        <v>12326.899999999998</v>
      </c>
      <c r="K58" s="708">
        <f>'Março 25'!AI23</f>
        <v>11377.700000000004</v>
      </c>
      <c r="L58" s="708"/>
      <c r="M58" s="708"/>
      <c r="N58" s="708"/>
      <c r="O58" s="708"/>
      <c r="P58" s="708"/>
      <c r="Q58" s="708"/>
      <c r="R58" s="708"/>
      <c r="S58" s="708"/>
      <c r="T58" s="708"/>
      <c r="U58" s="708">
        <f>SUM(I58:T58)</f>
        <v>36010.5</v>
      </c>
      <c r="V58" s="708">
        <f>SUM(I58:K58)</f>
        <v>36010.5</v>
      </c>
    </row>
    <row r="59" spans="1:26" ht="15" customHeight="1" x14ac:dyDescent="0.3">
      <c r="B59" s="866"/>
      <c r="C59" s="903"/>
      <c r="D59" s="923"/>
      <c r="E59" s="923"/>
      <c r="F59" s="836"/>
      <c r="G59" s="842"/>
      <c r="H59" s="705" t="s">
        <v>673</v>
      </c>
      <c r="I59" s="706">
        <f>I58/I57</f>
        <v>0.89430940819805449</v>
      </c>
      <c r="J59" s="706">
        <f>J58/J57</f>
        <v>0.88953177736855382</v>
      </c>
      <c r="K59" s="706">
        <f>K58/K57</f>
        <v>0.83341645742659398</v>
      </c>
      <c r="L59" s="706">
        <f>L58/L57</f>
        <v>0</v>
      </c>
      <c r="M59" s="706">
        <f>M58/M57</f>
        <v>0</v>
      </c>
      <c r="N59" s="706">
        <f t="shared" ref="N59:V59" si="18">N58/N57</f>
        <v>0</v>
      </c>
      <c r="O59" s="706">
        <f t="shared" si="18"/>
        <v>0</v>
      </c>
      <c r="P59" s="706">
        <f t="shared" si="18"/>
        <v>0</v>
      </c>
      <c r="Q59" s="706">
        <f t="shared" si="18"/>
        <v>0</v>
      </c>
      <c r="R59" s="706">
        <f t="shared" si="18"/>
        <v>0</v>
      </c>
      <c r="S59" s="706">
        <f t="shared" si="18"/>
        <v>0</v>
      </c>
      <c r="T59" s="706">
        <f t="shared" si="18"/>
        <v>0</v>
      </c>
      <c r="U59" s="706">
        <f t="shared" si="18"/>
        <v>0.23889571300384677</v>
      </c>
      <c r="V59" s="706">
        <f t="shared" si="18"/>
        <v>0.87256204463728493</v>
      </c>
    </row>
    <row r="60" spans="1:26" ht="15" customHeight="1" x14ac:dyDescent="0.3">
      <c r="B60" s="866"/>
      <c r="C60" s="903"/>
      <c r="D60" s="923"/>
      <c r="E60" s="923"/>
      <c r="F60" s="834" t="s">
        <v>30</v>
      </c>
      <c r="G60" s="840">
        <v>395</v>
      </c>
      <c r="H60" s="696" t="s">
        <v>705</v>
      </c>
      <c r="I60" s="697">
        <f>49844.96*0.992</f>
        <v>49446.200319999996</v>
      </c>
      <c r="J60" s="697">
        <f>0.992*50198.192</f>
        <v>49796.606464000004</v>
      </c>
      <c r="K60" s="697">
        <f>0.992*49452.48</f>
        <v>49056.860160000004</v>
      </c>
      <c r="L60" s="697">
        <f>0.992*45492.3568</f>
        <v>45128.417945599998</v>
      </c>
      <c r="M60" s="697">
        <f>0.992*42348.592</f>
        <v>42009.803263999995</v>
      </c>
      <c r="N60" s="697">
        <f>0.992*37827.2224</f>
        <v>37524.604620799997</v>
      </c>
      <c r="O60" s="697">
        <f>0.992*39675.8032</f>
        <v>39358.396774400004</v>
      </c>
      <c r="P60" s="697">
        <f>0.992*49319.0368</f>
        <v>48924.484505600005</v>
      </c>
      <c r="Q60" s="697">
        <f>0.992*44832.9904</f>
        <v>44474.326476800001</v>
      </c>
      <c r="R60" s="697">
        <f>0.992*45672.8976</f>
        <v>45307.514419199993</v>
      </c>
      <c r="S60" s="697">
        <f>0.992*41909.0144</f>
        <v>41573.742284799999</v>
      </c>
      <c r="T60" s="697">
        <f>0.992*49456.4048</f>
        <v>49060.753561599995</v>
      </c>
      <c r="U60" s="698">
        <f>SUM(I60:T60)</f>
        <v>541661.71079679998</v>
      </c>
      <c r="V60" s="697">
        <f>SUM(I60:K60)</f>
        <v>148299.666944</v>
      </c>
    </row>
    <row r="61" spans="1:26" ht="15" customHeight="1" x14ac:dyDescent="0.3">
      <c r="B61" s="866"/>
      <c r="C61" s="903"/>
      <c r="D61" s="923"/>
      <c r="E61" s="923"/>
      <c r="F61" s="835"/>
      <c r="G61" s="841"/>
      <c r="H61" s="707" t="s">
        <v>706</v>
      </c>
      <c r="I61" s="708">
        <f>'Janeiro 25'!AI24</f>
        <v>47234.299999999996</v>
      </c>
      <c r="J61" s="708">
        <f>'Fevereiro 25'!AF24</f>
        <v>51202.6</v>
      </c>
      <c r="K61" s="708">
        <f>'Março 25'!AI24</f>
        <v>47953.700000000012</v>
      </c>
      <c r="L61" s="708"/>
      <c r="M61" s="708"/>
      <c r="N61" s="708"/>
      <c r="O61" s="708"/>
      <c r="P61" s="708"/>
      <c r="Q61" s="708"/>
      <c r="R61" s="708"/>
      <c r="S61" s="708"/>
      <c r="T61" s="708"/>
      <c r="U61" s="708">
        <f>SUM(I61:T61)</f>
        <v>146390.6</v>
      </c>
      <c r="V61" s="708">
        <f>SUM(I61:K61)</f>
        <v>146390.6</v>
      </c>
    </row>
    <row r="62" spans="1:26" ht="15" customHeight="1" x14ac:dyDescent="0.3">
      <c r="B62" s="866"/>
      <c r="C62" s="903"/>
      <c r="D62" s="923"/>
      <c r="E62" s="923"/>
      <c r="F62" s="836"/>
      <c r="G62" s="842"/>
      <c r="H62" s="705" t="s">
        <v>673</v>
      </c>
      <c r="I62" s="706">
        <f>I61/I60</f>
        <v>0.95526652592746686</v>
      </c>
      <c r="J62" s="706">
        <f>J61/J60</f>
        <v>1.0282347259349178</v>
      </c>
      <c r="K62" s="706">
        <f>K61/K60</f>
        <v>0.97751262195741817</v>
      </c>
      <c r="L62" s="706">
        <f>L61/L60</f>
        <v>0</v>
      </c>
      <c r="M62" s="706">
        <f>M61/M60</f>
        <v>0</v>
      </c>
      <c r="N62" s="706">
        <f t="shared" ref="N62:V62" si="19">N61/N60</f>
        <v>0</v>
      </c>
      <c r="O62" s="706">
        <f t="shared" si="19"/>
        <v>0</v>
      </c>
      <c r="P62" s="706">
        <f t="shared" si="19"/>
        <v>0</v>
      </c>
      <c r="Q62" s="706">
        <f t="shared" si="19"/>
        <v>0</v>
      </c>
      <c r="R62" s="706">
        <f t="shared" si="19"/>
        <v>0</v>
      </c>
      <c r="S62" s="706">
        <f t="shared" si="19"/>
        <v>0</v>
      </c>
      <c r="T62" s="706">
        <f t="shared" si="19"/>
        <v>0</v>
      </c>
      <c r="U62" s="706">
        <f t="shared" si="19"/>
        <v>0.27026204193878722</v>
      </c>
      <c r="V62" s="706">
        <f t="shared" si="19"/>
        <v>0.98712696404961664</v>
      </c>
    </row>
    <row r="63" spans="1:26" ht="15" customHeight="1" x14ac:dyDescent="0.3">
      <c r="B63" s="866"/>
      <c r="C63" s="903"/>
      <c r="D63" s="923"/>
      <c r="E63" s="923"/>
      <c r="F63" s="834" t="s">
        <v>111</v>
      </c>
      <c r="G63" s="840">
        <v>120</v>
      </c>
      <c r="H63" s="696" t="s">
        <v>705</v>
      </c>
      <c r="I63" s="697">
        <f>13983.97*0.992</f>
        <v>13872.098239999999</v>
      </c>
      <c r="J63" s="697">
        <f>0.992*14083.069</f>
        <v>13970.404447999999</v>
      </c>
      <c r="K63" s="697">
        <f>0.992*13873.86</f>
        <v>13762.869120000001</v>
      </c>
      <c r="L63" s="697">
        <f>0.992*12762.8501</f>
        <v>12660.7472992</v>
      </c>
      <c r="M63" s="697">
        <f>0.992*11880.869</f>
        <v>11785.822048</v>
      </c>
      <c r="N63" s="697">
        <f>0.992*10612.4018</f>
        <v>10527.502585599999</v>
      </c>
      <c r="O63" s="697">
        <f>0.992*11131.0199</f>
        <v>11041.9717408</v>
      </c>
      <c r="P63" s="697">
        <f>0.992*13836.4226</f>
        <v>13725.731219199999</v>
      </c>
      <c r="Q63" s="697">
        <f>0.992*12577.8653</f>
        <v>12477.2423776</v>
      </c>
      <c r="R63" s="697">
        <f>0.992*12813.5007</f>
        <v>12710.9926944</v>
      </c>
      <c r="S63" s="697">
        <f>0.992*11757.5458</f>
        <v>11663.485433599999</v>
      </c>
      <c r="T63" s="697">
        <f>0.992*13874.9611</f>
        <v>13763.9614112</v>
      </c>
      <c r="U63" s="698">
        <f>SUM(I63:T63)</f>
        <v>151962.82861760003</v>
      </c>
      <c r="V63" s="697">
        <f>SUM(I63:K63)</f>
        <v>41605.371808000004</v>
      </c>
      <c r="W63" s="402"/>
    </row>
    <row r="64" spans="1:26" ht="15" customHeight="1" x14ac:dyDescent="0.3">
      <c r="B64" s="866"/>
      <c r="C64" s="903"/>
      <c r="D64" s="923"/>
      <c r="E64" s="923"/>
      <c r="F64" s="835"/>
      <c r="G64" s="841"/>
      <c r="H64" s="707" t="s">
        <v>706</v>
      </c>
      <c r="I64" s="708">
        <f>'Janeiro 25'!AI25</f>
        <v>13130.099999999999</v>
      </c>
      <c r="J64" s="708">
        <f>'Fevereiro 25'!AF25</f>
        <v>14934.100000000002</v>
      </c>
      <c r="K64" s="708">
        <f>'Março 25'!AI25</f>
        <v>14151.1</v>
      </c>
      <c r="L64" s="708"/>
      <c r="M64" s="708"/>
      <c r="N64" s="708"/>
      <c r="O64" s="708"/>
      <c r="P64" s="708"/>
      <c r="Q64" s="708"/>
      <c r="R64" s="708"/>
      <c r="S64" s="708"/>
      <c r="T64" s="708"/>
      <c r="U64" s="708">
        <f>SUM(I64:T64)</f>
        <v>42215.3</v>
      </c>
      <c r="V64" s="708">
        <f>SUM(I64:K64)</f>
        <v>42215.3</v>
      </c>
      <c r="W64" s="402"/>
    </row>
    <row r="65" spans="2:23" ht="15" customHeight="1" x14ac:dyDescent="0.3">
      <c r="B65" s="866"/>
      <c r="C65" s="903"/>
      <c r="D65" s="923"/>
      <c r="E65" s="923"/>
      <c r="F65" s="836"/>
      <c r="G65" s="842"/>
      <c r="H65" s="705" t="s">
        <v>673</v>
      </c>
      <c r="I65" s="706">
        <f>I64/I63</f>
        <v>0.94651146299840505</v>
      </c>
      <c r="J65" s="706">
        <f>J64/J63</f>
        <v>1.0689812206645144</v>
      </c>
      <c r="K65" s="706">
        <f>K64/K63</f>
        <v>1.0282085716731715</v>
      </c>
      <c r="L65" s="706">
        <f>L64/L63</f>
        <v>0</v>
      </c>
      <c r="M65" s="706">
        <f>M64/M63</f>
        <v>0</v>
      </c>
      <c r="N65" s="706">
        <f t="shared" ref="N65:V65" si="20">N64/N63</f>
        <v>0</v>
      </c>
      <c r="O65" s="706">
        <f t="shared" si="20"/>
        <v>0</v>
      </c>
      <c r="P65" s="706">
        <f t="shared" si="20"/>
        <v>0</v>
      </c>
      <c r="Q65" s="706">
        <f t="shared" si="20"/>
        <v>0</v>
      </c>
      <c r="R65" s="706">
        <f t="shared" si="20"/>
        <v>0</v>
      </c>
      <c r="S65" s="706">
        <f t="shared" si="20"/>
        <v>0</v>
      </c>
      <c r="T65" s="706">
        <f t="shared" si="20"/>
        <v>0</v>
      </c>
      <c r="U65" s="706">
        <f t="shared" si="20"/>
        <v>0.2778001724765915</v>
      </c>
      <c r="V65" s="706">
        <f t="shared" si="20"/>
        <v>1.0146598423591715</v>
      </c>
      <c r="W65" s="402"/>
    </row>
    <row r="66" spans="2:23" ht="15" customHeight="1" x14ac:dyDescent="0.3">
      <c r="B66" s="866"/>
      <c r="C66" s="903"/>
      <c r="D66" s="923" t="s">
        <v>673</v>
      </c>
      <c r="E66" s="925">
        <f>E54/E39</f>
        <v>0.9913904116540353</v>
      </c>
      <c r="F66" s="834" t="s">
        <v>711</v>
      </c>
      <c r="G66" s="840">
        <v>110</v>
      </c>
      <c r="H66" s="696" t="s">
        <v>705</v>
      </c>
      <c r="I66" s="697">
        <f>12992.1*0.992</f>
        <v>12888.163200000001</v>
      </c>
      <c r="J66" s="697">
        <f>0.992*13084.17</f>
        <v>12979.496639999999</v>
      </c>
      <c r="K66" s="697">
        <f>0.992*12889.8</f>
        <v>12786.6816</v>
      </c>
      <c r="L66" s="697">
        <f>0.992*11857.593</f>
        <v>11762.732256000001</v>
      </c>
      <c r="M66" s="697">
        <f>0.992*11038.17</f>
        <v>10949.86464</v>
      </c>
      <c r="N66" s="697">
        <f>0.992*9859.674</f>
        <v>9780.7966080000006</v>
      </c>
      <c r="O66" s="697">
        <f>0.992*10341.507</f>
        <v>10258.774943999999</v>
      </c>
      <c r="P66" s="697">
        <f>0.992*12855.018</f>
        <v>12752.177856</v>
      </c>
      <c r="Q66" s="697">
        <f>0.992*11685.729</f>
        <v>11592.243167999999</v>
      </c>
      <c r="R66" s="697">
        <f>0.992*11904.651</f>
        <v>11809.413791999999</v>
      </c>
      <c r="S66" s="697">
        <f>0.992*10923.594</f>
        <v>10836.205247999998</v>
      </c>
      <c r="T66" s="697">
        <f>0.992*12890.823</f>
        <v>12787.696416000001</v>
      </c>
      <c r="U66" s="698">
        <f>SUM(I66:T66)</f>
        <v>141184.24636800002</v>
      </c>
      <c r="V66" s="697">
        <f>SUM(I66:K66)</f>
        <v>38654.341440000004</v>
      </c>
      <c r="W66" s="404"/>
    </row>
    <row r="67" spans="2:23" ht="15" customHeight="1" x14ac:dyDescent="0.3">
      <c r="B67" s="866"/>
      <c r="C67" s="903"/>
      <c r="D67" s="923"/>
      <c r="E67" s="925"/>
      <c r="F67" s="835"/>
      <c r="G67" s="841"/>
      <c r="H67" s="707" t="s">
        <v>706</v>
      </c>
      <c r="I67" s="708">
        <f>'Janeiro 25'!AI26</f>
        <v>11553</v>
      </c>
      <c r="J67" s="708">
        <f>'Fevereiro 25'!AF26</f>
        <v>12893.800000000001</v>
      </c>
      <c r="K67" s="708">
        <f>'Março 25'!AI26</f>
        <v>13093.9</v>
      </c>
      <c r="L67" s="708"/>
      <c r="M67" s="708"/>
      <c r="N67" s="708"/>
      <c r="O67" s="708"/>
      <c r="P67" s="708"/>
      <c r="Q67" s="708"/>
      <c r="R67" s="708"/>
      <c r="S67" s="708"/>
      <c r="T67" s="708"/>
      <c r="U67" s="708">
        <f>SUM(I67:T67)</f>
        <v>37540.700000000004</v>
      </c>
      <c r="V67" s="708">
        <f>SUM(I67:K67)</f>
        <v>37540.700000000004</v>
      </c>
      <c r="W67" s="404"/>
    </row>
    <row r="68" spans="2:23" ht="15" customHeight="1" x14ac:dyDescent="0.3">
      <c r="B68" s="867"/>
      <c r="C68" s="903"/>
      <c r="D68" s="923"/>
      <c r="E68" s="925"/>
      <c r="F68" s="836"/>
      <c r="G68" s="842"/>
      <c r="H68" s="705" t="s">
        <v>673</v>
      </c>
      <c r="I68" s="706">
        <f>I67/I66</f>
        <v>0.89640391890754445</v>
      </c>
      <c r="J68" s="706">
        <f>J67/J66</f>
        <v>0.99339753748724735</v>
      </c>
      <c r="K68" s="706">
        <f>K67/K66</f>
        <v>1.0240264370077066</v>
      </c>
      <c r="L68" s="706">
        <f>L67/L66</f>
        <v>0</v>
      </c>
      <c r="M68" s="706">
        <f>M67/M66</f>
        <v>0</v>
      </c>
      <c r="N68" s="706">
        <f t="shared" ref="N68:V68" si="21">N67/N66</f>
        <v>0</v>
      </c>
      <c r="O68" s="706">
        <f t="shared" si="21"/>
        <v>0</v>
      </c>
      <c r="P68" s="706">
        <f t="shared" si="21"/>
        <v>0</v>
      </c>
      <c r="Q68" s="706">
        <f t="shared" si="21"/>
        <v>0</v>
      </c>
      <c r="R68" s="706">
        <f t="shared" si="21"/>
        <v>0</v>
      </c>
      <c r="S68" s="706">
        <f t="shared" si="21"/>
        <v>0</v>
      </c>
      <c r="T68" s="706">
        <f t="shared" si="21"/>
        <v>0</v>
      </c>
      <c r="U68" s="706">
        <f t="shared" si="21"/>
        <v>0.26589864638402572</v>
      </c>
      <c r="V68" s="706">
        <f t="shared" si="21"/>
        <v>0.97118974483814158</v>
      </c>
      <c r="W68" s="404"/>
    </row>
    <row r="69" spans="2:23" ht="15" customHeight="1" x14ac:dyDescent="0.3">
      <c r="B69" s="695"/>
      <c r="C69" s="903"/>
      <c r="D69" s="923"/>
      <c r="E69" s="925"/>
      <c r="F69" s="834" t="s">
        <v>27</v>
      </c>
      <c r="G69" s="840">
        <v>100</v>
      </c>
      <c r="H69" s="696" t="s">
        <v>705</v>
      </c>
      <c r="I69" s="697">
        <f>12700*0.992</f>
        <v>12598.4</v>
      </c>
      <c r="J69" s="697">
        <f>0.992*12790</f>
        <v>12687.68</v>
      </c>
      <c r="K69" s="697">
        <f>0.992*12600</f>
        <v>12499.2</v>
      </c>
      <c r="L69" s="697">
        <f>0.992*11591</f>
        <v>11498.271999999999</v>
      </c>
      <c r="M69" s="697">
        <f>0.992*10790</f>
        <v>10703.68</v>
      </c>
      <c r="N69" s="697">
        <f>0.992*9638</f>
        <v>9560.8960000000006</v>
      </c>
      <c r="O69" s="697">
        <f>0.992*10109</f>
        <v>10028.128000000001</v>
      </c>
      <c r="P69" s="697">
        <f>0.992*12566</f>
        <v>12465.472</v>
      </c>
      <c r="Q69" s="697">
        <f>0.992*11423</f>
        <v>11331.616</v>
      </c>
      <c r="R69" s="697">
        <f>0.992*11637</f>
        <v>11543.904</v>
      </c>
      <c r="S69" s="697">
        <f>0.992*10678</f>
        <v>10592.575999999999</v>
      </c>
      <c r="T69" s="697">
        <f>0.992*12601</f>
        <v>12500.191999999999</v>
      </c>
      <c r="U69" s="698">
        <f>SUM(I69:T69)</f>
        <v>138010.01599999997</v>
      </c>
      <c r="V69" s="697">
        <f>SUM(I69:K69)</f>
        <v>37785.279999999999</v>
      </c>
    </row>
    <row r="70" spans="2:23" ht="15" customHeight="1" x14ac:dyDescent="0.3">
      <c r="B70" s="695"/>
      <c r="C70" s="903"/>
      <c r="D70" s="923"/>
      <c r="E70" s="925"/>
      <c r="F70" s="835"/>
      <c r="G70" s="841"/>
      <c r="H70" s="707" t="s">
        <v>706</v>
      </c>
      <c r="I70" s="708">
        <f>'Janeiro 25'!AI27</f>
        <v>12436.900000000003</v>
      </c>
      <c r="J70" s="708">
        <f>'Fevereiro 25'!AF27</f>
        <v>13065.399999999998</v>
      </c>
      <c r="K70" s="708">
        <f>'Março 25'!AI27</f>
        <v>12157.900000000001</v>
      </c>
      <c r="L70" s="708"/>
      <c r="M70" s="708"/>
      <c r="N70" s="708"/>
      <c r="O70" s="708"/>
      <c r="P70" s="708"/>
      <c r="Q70" s="708"/>
      <c r="R70" s="708"/>
      <c r="S70" s="708"/>
      <c r="T70" s="708"/>
      <c r="U70" s="708">
        <f>SUM(I70:T70)</f>
        <v>37660.200000000004</v>
      </c>
      <c r="V70" s="708">
        <f>SUM(I70:K70)</f>
        <v>37660.200000000004</v>
      </c>
    </row>
    <row r="71" spans="2:23" ht="15" customHeight="1" x14ac:dyDescent="0.3">
      <c r="B71" s="695"/>
      <c r="C71" s="903"/>
      <c r="D71" s="923"/>
      <c r="E71" s="925"/>
      <c r="F71" s="836"/>
      <c r="G71" s="842"/>
      <c r="H71" s="705" t="s">
        <v>673</v>
      </c>
      <c r="I71" s="706">
        <f>I70/I69</f>
        <v>0.987180911861824</v>
      </c>
      <c r="J71" s="706">
        <f>J70/J69</f>
        <v>1.0297706121213648</v>
      </c>
      <c r="K71" s="706">
        <f>K70/K69</f>
        <v>0.97269425243215568</v>
      </c>
      <c r="L71" s="706">
        <f>L70/L69</f>
        <v>0</v>
      </c>
      <c r="M71" s="706">
        <f>M70/M69</f>
        <v>0</v>
      </c>
      <c r="N71" s="706">
        <f t="shared" ref="N71:V71" si="22">N70/N69</f>
        <v>0</v>
      </c>
      <c r="O71" s="706">
        <f t="shared" si="22"/>
        <v>0</v>
      </c>
      <c r="P71" s="706">
        <f t="shared" si="22"/>
        <v>0</v>
      </c>
      <c r="Q71" s="706">
        <f t="shared" si="22"/>
        <v>0</v>
      </c>
      <c r="R71" s="706">
        <f t="shared" si="22"/>
        <v>0</v>
      </c>
      <c r="S71" s="706">
        <f t="shared" si="22"/>
        <v>0</v>
      </c>
      <c r="T71" s="706">
        <f t="shared" si="22"/>
        <v>0</v>
      </c>
      <c r="U71" s="706">
        <f t="shared" si="22"/>
        <v>0.27288019443458372</v>
      </c>
      <c r="V71" s="706">
        <f t="shared" si="22"/>
        <v>0.99668971620694635</v>
      </c>
    </row>
    <row r="72" spans="2:23" ht="15" customHeight="1" x14ac:dyDescent="0.3">
      <c r="B72" s="695"/>
      <c r="C72" s="903"/>
      <c r="D72" s="923"/>
      <c r="E72" s="925"/>
      <c r="F72" s="834" t="s">
        <v>708</v>
      </c>
      <c r="G72" s="840">
        <v>100</v>
      </c>
      <c r="H72" s="696" t="s">
        <v>705</v>
      </c>
      <c r="I72" s="697">
        <f>12700*0.992</f>
        <v>12598.4</v>
      </c>
      <c r="J72" s="697">
        <f>0.992*12790</f>
        <v>12687.68</v>
      </c>
      <c r="K72" s="697">
        <f>0.992*12600</f>
        <v>12499.2</v>
      </c>
      <c r="L72" s="697">
        <f>0.992*11591</f>
        <v>11498.271999999999</v>
      </c>
      <c r="M72" s="697">
        <f>0.992*10790</f>
        <v>10703.68</v>
      </c>
      <c r="N72" s="697">
        <f>0.992*9638</f>
        <v>9560.8960000000006</v>
      </c>
      <c r="O72" s="697">
        <f>0.992*10109</f>
        <v>10028.128000000001</v>
      </c>
      <c r="P72" s="697">
        <f>0.992*12566</f>
        <v>12465.472</v>
      </c>
      <c r="Q72" s="697">
        <f>0.992*11423</f>
        <v>11331.616</v>
      </c>
      <c r="R72" s="697">
        <f>0.992*11637</f>
        <v>11543.904</v>
      </c>
      <c r="S72" s="697">
        <f>0.992*10678</f>
        <v>10592.575999999999</v>
      </c>
      <c r="T72" s="697">
        <f>0.992*12601</f>
        <v>12500.191999999999</v>
      </c>
      <c r="U72" s="698">
        <f>SUM(I72:T72)</f>
        <v>138010.01599999997</v>
      </c>
      <c r="V72" s="697">
        <f>SUM(I72:K72)</f>
        <v>37785.279999999999</v>
      </c>
    </row>
    <row r="73" spans="2:23" ht="15" customHeight="1" x14ac:dyDescent="0.3">
      <c r="B73" s="695"/>
      <c r="C73" s="903"/>
      <c r="D73" s="923"/>
      <c r="E73" s="925"/>
      <c r="F73" s="835"/>
      <c r="G73" s="841"/>
      <c r="H73" s="707" t="s">
        <v>706</v>
      </c>
      <c r="I73" s="708">
        <f>'Janeiro 25'!AI28</f>
        <v>11542.499999999998</v>
      </c>
      <c r="J73" s="708">
        <f>'Fevereiro 25'!AF28</f>
        <v>11175.400000000003</v>
      </c>
      <c r="K73" s="708">
        <f>'Março 25'!AI28</f>
        <v>11211.399999999998</v>
      </c>
      <c r="L73" s="708"/>
      <c r="M73" s="708"/>
      <c r="N73" s="708"/>
      <c r="O73" s="708"/>
      <c r="P73" s="708"/>
      <c r="Q73" s="708"/>
      <c r="R73" s="708"/>
      <c r="S73" s="708"/>
      <c r="T73" s="708"/>
      <c r="U73" s="708">
        <f>SUM(I73:T73)</f>
        <v>33929.300000000003</v>
      </c>
      <c r="V73" s="708">
        <f>SUM(I73:K73)</f>
        <v>33929.300000000003</v>
      </c>
    </row>
    <row r="74" spans="2:23" ht="15" customHeight="1" x14ac:dyDescent="0.3">
      <c r="B74" s="695"/>
      <c r="C74" s="903"/>
      <c r="D74" s="923"/>
      <c r="E74" s="925"/>
      <c r="F74" s="836"/>
      <c r="G74" s="842"/>
      <c r="H74" s="705" t="s">
        <v>673</v>
      </c>
      <c r="I74" s="706">
        <f>I73/I72</f>
        <v>0.91618776987553963</v>
      </c>
      <c r="J74" s="706">
        <f>J73/J72</f>
        <v>0.88080720825241521</v>
      </c>
      <c r="K74" s="706">
        <f>K73/K72</f>
        <v>0.89696940604198649</v>
      </c>
      <c r="L74" s="706">
        <f>L73/L72</f>
        <v>0</v>
      </c>
      <c r="M74" s="706">
        <f>M73/M72</f>
        <v>0</v>
      </c>
      <c r="N74" s="706">
        <f t="shared" ref="N74:V74" si="23">N73/N72</f>
        <v>0</v>
      </c>
      <c r="O74" s="706">
        <f t="shared" si="23"/>
        <v>0</v>
      </c>
      <c r="P74" s="706">
        <f t="shared" si="23"/>
        <v>0</v>
      </c>
      <c r="Q74" s="706">
        <f t="shared" si="23"/>
        <v>0</v>
      </c>
      <c r="R74" s="706">
        <f t="shared" si="23"/>
        <v>0</v>
      </c>
      <c r="S74" s="706">
        <f t="shared" si="23"/>
        <v>0</v>
      </c>
      <c r="T74" s="706">
        <f t="shared" si="23"/>
        <v>0</v>
      </c>
      <c r="U74" s="706">
        <f t="shared" si="23"/>
        <v>0.24584664927507877</v>
      </c>
      <c r="V74" s="706">
        <f t="shared" si="23"/>
        <v>0.89795020706476181</v>
      </c>
    </row>
    <row r="75" spans="2:23" ht="15" customHeight="1" x14ac:dyDescent="0.3">
      <c r="B75" s="695"/>
      <c r="C75" s="903"/>
      <c r="D75" s="923"/>
      <c r="E75" s="925"/>
      <c r="F75" s="834" t="s">
        <v>709</v>
      </c>
      <c r="G75" s="840">
        <v>100</v>
      </c>
      <c r="H75" s="696" t="s">
        <v>705</v>
      </c>
      <c r="I75" s="697">
        <f>12700*0.992</f>
        <v>12598.4</v>
      </c>
      <c r="J75" s="697">
        <f>0.992*12790</f>
        <v>12687.68</v>
      </c>
      <c r="K75" s="697">
        <f>0.992*12600</f>
        <v>12499.2</v>
      </c>
      <c r="L75" s="697">
        <f>0.992*11591</f>
        <v>11498.271999999999</v>
      </c>
      <c r="M75" s="697">
        <f>0.992*10790</f>
        <v>10703.68</v>
      </c>
      <c r="N75" s="697">
        <f>0.992*9638</f>
        <v>9560.8960000000006</v>
      </c>
      <c r="O75" s="697">
        <f>0.992*10109</f>
        <v>10028.128000000001</v>
      </c>
      <c r="P75" s="697">
        <f>0.992*12566</f>
        <v>12465.472</v>
      </c>
      <c r="Q75" s="697">
        <f>0.992*11423</f>
        <v>11331.616</v>
      </c>
      <c r="R75" s="697">
        <f>0.992*11637</f>
        <v>11543.904</v>
      </c>
      <c r="S75" s="697">
        <f>0.992*10678</f>
        <v>10592.575999999999</v>
      </c>
      <c r="T75" s="697">
        <f>0.992*12601</f>
        <v>12500.191999999999</v>
      </c>
      <c r="U75" s="698">
        <f>SUM(I75:T75)</f>
        <v>138010.01599999997</v>
      </c>
      <c r="V75" s="697">
        <f>SUM(I75:K75)</f>
        <v>37785.279999999999</v>
      </c>
    </row>
    <row r="76" spans="2:23" ht="15" customHeight="1" x14ac:dyDescent="0.3">
      <c r="B76" s="695"/>
      <c r="C76" s="903"/>
      <c r="D76" s="923"/>
      <c r="E76" s="925"/>
      <c r="F76" s="835"/>
      <c r="G76" s="841"/>
      <c r="H76" s="707" t="s">
        <v>706</v>
      </c>
      <c r="I76" s="708">
        <f>'Janeiro 25'!AI29</f>
        <v>10897.4</v>
      </c>
      <c r="J76" s="708">
        <f>'Fevereiro 25'!AF29</f>
        <v>10938.500000000004</v>
      </c>
      <c r="K76" s="708">
        <f>'Março 25'!AI29</f>
        <v>9732.5999999999985</v>
      </c>
      <c r="L76" s="708"/>
      <c r="M76" s="708"/>
      <c r="N76" s="708"/>
      <c r="O76" s="708"/>
      <c r="P76" s="708"/>
      <c r="Q76" s="708"/>
      <c r="R76" s="708"/>
      <c r="S76" s="708"/>
      <c r="T76" s="708"/>
      <c r="U76" s="708">
        <f>SUM(I76:T76)</f>
        <v>31568.5</v>
      </c>
      <c r="V76" s="708">
        <f>SUM(I76:K76)</f>
        <v>31568.5</v>
      </c>
    </row>
    <row r="77" spans="2:23" ht="15" customHeight="1" x14ac:dyDescent="0.3">
      <c r="B77" s="695"/>
      <c r="C77" s="903"/>
      <c r="D77" s="923"/>
      <c r="E77" s="925"/>
      <c r="F77" s="836"/>
      <c r="G77" s="842"/>
      <c r="H77" s="705" t="s">
        <v>673</v>
      </c>
      <c r="I77" s="706">
        <f>I76/I75</f>
        <v>0.86498285496570992</v>
      </c>
      <c r="J77" s="706">
        <f>J76/J75</f>
        <v>0.86213555196852409</v>
      </c>
      <c r="K77" s="706">
        <f>K76/K75</f>
        <v>0.77865783410138234</v>
      </c>
      <c r="L77" s="706">
        <f>L76/L75</f>
        <v>0</v>
      </c>
      <c r="M77" s="706">
        <f>M76/M75</f>
        <v>0</v>
      </c>
      <c r="N77" s="706">
        <f t="shared" ref="N77:V77" si="24">N76/N75</f>
        <v>0</v>
      </c>
      <c r="O77" s="706">
        <f t="shared" si="24"/>
        <v>0</v>
      </c>
      <c r="P77" s="706">
        <f t="shared" si="24"/>
        <v>0</v>
      </c>
      <c r="Q77" s="706">
        <f t="shared" si="24"/>
        <v>0</v>
      </c>
      <c r="R77" s="706">
        <f t="shared" si="24"/>
        <v>0</v>
      </c>
      <c r="S77" s="706">
        <f t="shared" si="24"/>
        <v>0</v>
      </c>
      <c r="T77" s="706">
        <f t="shared" si="24"/>
        <v>0</v>
      </c>
      <c r="U77" s="706">
        <f t="shared" si="24"/>
        <v>0.22874064444713929</v>
      </c>
      <c r="V77" s="706">
        <f t="shared" si="24"/>
        <v>0.83547085002413646</v>
      </c>
    </row>
    <row r="78" spans="2:23" ht="15" customHeight="1" x14ac:dyDescent="0.3">
      <c r="B78" s="868" t="s">
        <v>712</v>
      </c>
      <c r="C78" s="904" t="s">
        <v>1042</v>
      </c>
      <c r="D78" s="910" t="s">
        <v>705</v>
      </c>
      <c r="E78" s="912">
        <f>V78+V81</f>
        <v>66502.092799999999</v>
      </c>
      <c r="F78" s="847" t="s">
        <v>291</v>
      </c>
      <c r="G78" s="906">
        <v>80</v>
      </c>
      <c r="H78" s="699" t="s">
        <v>705</v>
      </c>
      <c r="I78" s="700">
        <f>0.992*12700</f>
        <v>12598.4</v>
      </c>
      <c r="J78" s="700">
        <f>0.992*12790</f>
        <v>12687.68</v>
      </c>
      <c r="K78" s="700">
        <f>0.992*12600</f>
        <v>12499.2</v>
      </c>
      <c r="L78" s="700">
        <f>0.992*11591</f>
        <v>11498.271999999999</v>
      </c>
      <c r="M78" s="700">
        <f>0.992*10790</f>
        <v>10703.68</v>
      </c>
      <c r="N78" s="700">
        <f>0.992*9638</f>
        <v>9560.8960000000006</v>
      </c>
      <c r="O78" s="700">
        <f>0.992*10109</f>
        <v>10028.128000000001</v>
      </c>
      <c r="P78" s="700">
        <f>0.992*12566</f>
        <v>12465.472</v>
      </c>
      <c r="Q78" s="700">
        <f>0.992*11423</f>
        <v>11331.616</v>
      </c>
      <c r="R78" s="700">
        <f>0.992*11637</f>
        <v>11543.904</v>
      </c>
      <c r="S78" s="700">
        <f>0.992*10678</f>
        <v>10592.575999999999</v>
      </c>
      <c r="T78" s="700">
        <f>0.992*12601</f>
        <v>12500.191999999999</v>
      </c>
      <c r="U78" s="701">
        <f>SUM(I78:T78)</f>
        <v>138010.01599999997</v>
      </c>
      <c r="V78" s="700">
        <f>SUM(I78:K78)</f>
        <v>37785.279999999999</v>
      </c>
      <c r="W78" s="404"/>
    </row>
    <row r="79" spans="2:23" ht="15" customHeight="1" x14ac:dyDescent="0.3">
      <c r="B79" s="868"/>
      <c r="C79" s="905"/>
      <c r="D79" s="910"/>
      <c r="E79" s="910"/>
      <c r="F79" s="848"/>
      <c r="G79" s="907"/>
      <c r="H79" s="707" t="s">
        <v>706</v>
      </c>
      <c r="I79" s="708">
        <f>'Janeiro 25'!AI30</f>
        <v>11437.7</v>
      </c>
      <c r="J79" s="708">
        <f>'Fevereiro 25'!AF30</f>
        <v>13171.199999999999</v>
      </c>
      <c r="K79" s="708">
        <f>'Março 25'!AI30</f>
        <v>11595.9</v>
      </c>
      <c r="L79" s="708"/>
      <c r="M79" s="708"/>
      <c r="N79" s="708"/>
      <c r="O79" s="708"/>
      <c r="P79" s="708"/>
      <c r="Q79" s="708"/>
      <c r="R79" s="708"/>
      <c r="S79" s="708"/>
      <c r="T79" s="708"/>
      <c r="U79" s="708">
        <f>SUM(I79:T79)</f>
        <v>36204.800000000003</v>
      </c>
      <c r="V79" s="708">
        <f>SUM(I79:K79)</f>
        <v>36204.800000000003</v>
      </c>
      <c r="W79" s="404"/>
    </row>
    <row r="80" spans="2:23" ht="15" customHeight="1" x14ac:dyDescent="0.3">
      <c r="B80" s="868"/>
      <c r="C80" s="905"/>
      <c r="D80" s="911" t="s">
        <v>706</v>
      </c>
      <c r="E80" s="913">
        <f>V79+V82</f>
        <v>64919.63</v>
      </c>
      <c r="F80" s="849"/>
      <c r="G80" s="908"/>
      <c r="H80" s="705" t="s">
        <v>673</v>
      </c>
      <c r="I80" s="706">
        <f t="shared" ref="I80:N80" si="25">I79/I78</f>
        <v>0.90786925323850654</v>
      </c>
      <c r="J80" s="706">
        <f t="shared" si="25"/>
        <v>1.0381094100733939</v>
      </c>
      <c r="K80" s="706">
        <f t="shared" si="25"/>
        <v>0.92773137480798762</v>
      </c>
      <c r="L80" s="706">
        <f t="shared" si="25"/>
        <v>0</v>
      </c>
      <c r="M80" s="706">
        <f t="shared" si="25"/>
        <v>0</v>
      </c>
      <c r="N80" s="706">
        <f t="shared" si="25"/>
        <v>0</v>
      </c>
      <c r="O80" s="706">
        <f t="shared" ref="O80:V80" si="26">O79/O78</f>
        <v>0</v>
      </c>
      <c r="P80" s="706">
        <f t="shared" si="26"/>
        <v>0</v>
      </c>
      <c r="Q80" s="706">
        <f t="shared" si="26"/>
        <v>0</v>
      </c>
      <c r="R80" s="706">
        <f t="shared" si="26"/>
        <v>0</v>
      </c>
      <c r="S80" s="706">
        <f t="shared" si="26"/>
        <v>0</v>
      </c>
      <c r="T80" s="706">
        <f t="shared" si="26"/>
        <v>0</v>
      </c>
      <c r="U80" s="706">
        <f t="shared" si="26"/>
        <v>0.26233458302040924</v>
      </c>
      <c r="V80" s="706">
        <f t="shared" si="26"/>
        <v>0.95817207124044079</v>
      </c>
      <c r="W80" s="404"/>
    </row>
    <row r="81" spans="1:23" ht="15" customHeight="1" x14ac:dyDescent="0.3">
      <c r="B81" s="868"/>
      <c r="C81" s="905"/>
      <c r="D81" s="911"/>
      <c r="E81" s="911"/>
      <c r="F81" s="853" t="s">
        <v>947</v>
      </c>
      <c r="G81" s="909">
        <v>100</v>
      </c>
      <c r="H81" s="699" t="s">
        <v>705</v>
      </c>
      <c r="I81" s="700">
        <f>9652*0.992</f>
        <v>9574.7839999999997</v>
      </c>
      <c r="J81" s="700">
        <f>0.992*9720.4</f>
        <v>9642.6368000000002</v>
      </c>
      <c r="K81" s="700">
        <f>0.992*9576</f>
        <v>9499.3919999999998</v>
      </c>
      <c r="L81" s="700">
        <f>0.992*8809.16</f>
        <v>8738.6867199999997</v>
      </c>
      <c r="M81" s="700">
        <f>0.992*8200.4</f>
        <v>8134.7967999999992</v>
      </c>
      <c r="N81" s="700">
        <f>0.992*7324.88</f>
        <v>7266.2809600000001</v>
      </c>
      <c r="O81" s="700">
        <f>0.992*7682.84</f>
        <v>7621.3772799999997</v>
      </c>
      <c r="P81" s="700">
        <f>0.992*9550.16</f>
        <v>9473.7587199999998</v>
      </c>
      <c r="Q81" s="700">
        <f>0.992*8681.48</f>
        <v>8612.0281599999998</v>
      </c>
      <c r="R81" s="700">
        <f>0.992*8844.12</f>
        <v>8773.367040000001</v>
      </c>
      <c r="S81" s="700">
        <f>0.992*8115.28</f>
        <v>8050.3577599999999</v>
      </c>
      <c r="T81" s="700">
        <f>0.992*9576.76</f>
        <v>9500.1459200000008</v>
      </c>
      <c r="U81" s="701">
        <f>SUM(I81:T81)</f>
        <v>104887.61215999999</v>
      </c>
      <c r="V81" s="700">
        <f>SUM(I81:K81)</f>
        <v>28716.8128</v>
      </c>
      <c r="W81" s="404"/>
    </row>
    <row r="82" spans="1:23" ht="15" customHeight="1" x14ac:dyDescent="0.3">
      <c r="B82" s="868"/>
      <c r="C82" s="905"/>
      <c r="D82" s="911" t="s">
        <v>673</v>
      </c>
      <c r="E82" s="914">
        <f>E80/E78</f>
        <v>0.9762043157835778</v>
      </c>
      <c r="F82" s="853"/>
      <c r="G82" s="909"/>
      <c r="H82" s="707" t="s">
        <v>706</v>
      </c>
      <c r="I82" s="708">
        <f>'Janeiro 25'!AI31</f>
        <v>7643.9999999999991</v>
      </c>
      <c r="J82" s="708">
        <f>'Fevereiro 25'!AF31</f>
        <v>10384.710000000001</v>
      </c>
      <c r="K82" s="708">
        <f>'Março 25'!AI31</f>
        <v>10686.119999999997</v>
      </c>
      <c r="L82" s="708"/>
      <c r="M82" s="708"/>
      <c r="N82" s="708"/>
      <c r="O82" s="708"/>
      <c r="P82" s="708"/>
      <c r="Q82" s="708"/>
      <c r="R82" s="708"/>
      <c r="S82" s="708"/>
      <c r="T82" s="708"/>
      <c r="U82" s="708">
        <f>SUM(I82:T82)</f>
        <v>28714.829999999994</v>
      </c>
      <c r="V82" s="708">
        <f>SUM(I82:O82)</f>
        <v>28714.829999999994</v>
      </c>
      <c r="W82" s="404"/>
    </row>
    <row r="83" spans="1:23" s="393" customFormat="1" ht="15" customHeight="1" x14ac:dyDescent="0.3">
      <c r="A83"/>
      <c r="B83" s="868"/>
      <c r="C83" s="905"/>
      <c r="D83" s="911"/>
      <c r="E83" s="914"/>
      <c r="F83" s="853"/>
      <c r="G83" s="909"/>
      <c r="H83" s="705" t="s">
        <v>673</v>
      </c>
      <c r="I83" s="706">
        <f>I82/I81</f>
        <v>0.79834699143082488</v>
      </c>
      <c r="J83" s="706">
        <f>J82/J81</f>
        <v>1.0769574977665861</v>
      </c>
      <c r="K83" s="706">
        <f>K82/K81</f>
        <v>1.1249267321529628</v>
      </c>
      <c r="L83" s="706">
        <f>L82/L81</f>
        <v>0</v>
      </c>
      <c r="M83" s="706">
        <f>M82/M81</f>
        <v>0</v>
      </c>
      <c r="N83" s="706">
        <f t="shared" ref="N83:V83" si="27">N82/N81</f>
        <v>0</v>
      </c>
      <c r="O83" s="706">
        <f t="shared" si="27"/>
        <v>0</v>
      </c>
      <c r="P83" s="706">
        <f t="shared" si="27"/>
        <v>0</v>
      </c>
      <c r="Q83" s="706">
        <f t="shared" si="27"/>
        <v>0</v>
      </c>
      <c r="R83" s="706">
        <f t="shared" si="27"/>
        <v>0</v>
      </c>
      <c r="S83" s="706">
        <f t="shared" si="27"/>
        <v>0</v>
      </c>
      <c r="T83" s="706">
        <f t="shared" si="27"/>
        <v>0</v>
      </c>
      <c r="U83" s="706">
        <f t="shared" si="27"/>
        <v>0.27376760142272266</v>
      </c>
      <c r="V83" s="706">
        <f t="shared" si="27"/>
        <v>0.9999309533403371</v>
      </c>
      <c r="W83" s="404"/>
    </row>
    <row r="84" spans="1:23" s="393" customFormat="1" ht="10.95" customHeight="1" x14ac:dyDescent="0.3">
      <c r="A84"/>
      <c r="B84" s="422"/>
      <c r="C84" s="422"/>
      <c r="D84" s="422"/>
      <c r="E84" s="422"/>
      <c r="F84" s="108"/>
      <c r="G84" s="15"/>
      <c r="H84" s="408"/>
      <c r="I84" s="423"/>
      <c r="J84" s="423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10"/>
      <c r="V84" s="423"/>
      <c r="W84" s="404"/>
    </row>
    <row r="85" spans="1:23" s="393" customFormat="1" x14ac:dyDescent="0.3">
      <c r="A85"/>
      <c r="B85"/>
      <c r="C85"/>
      <c r="D85"/>
      <c r="E85"/>
      <c r="F85"/>
      <c r="G85" s="421" t="s">
        <v>672</v>
      </c>
      <c r="H85" s="421" t="s">
        <v>673</v>
      </c>
      <c r="I85" s="420">
        <v>45658</v>
      </c>
      <c r="J85" s="420">
        <v>45689</v>
      </c>
      <c r="K85" s="420">
        <v>45717</v>
      </c>
      <c r="L85" s="420">
        <v>45748</v>
      </c>
      <c r="M85" s="420">
        <v>45778</v>
      </c>
      <c r="N85" s="420">
        <v>45809</v>
      </c>
      <c r="O85" s="420">
        <v>45839</v>
      </c>
      <c r="P85" s="420">
        <v>45870</v>
      </c>
      <c r="Q85" s="420">
        <v>45901</v>
      </c>
      <c r="R85" s="420">
        <v>45931</v>
      </c>
      <c r="S85" s="420">
        <v>45962</v>
      </c>
      <c r="T85" s="420">
        <v>45992</v>
      </c>
      <c r="U85" s="420" t="s">
        <v>674</v>
      </c>
      <c r="V85" s="420" t="s">
        <v>704</v>
      </c>
      <c r="W85" s="404"/>
    </row>
    <row r="86" spans="1:23" s="393" customFormat="1" ht="15.6" x14ac:dyDescent="0.3">
      <c r="A86"/>
      <c r="B86"/>
      <c r="C86"/>
      <c r="D86"/>
      <c r="E86"/>
      <c r="F86" s="792"/>
      <c r="G86" s="891">
        <f>SUM(G3:G83)</f>
        <v>2500</v>
      </c>
      <c r="H86" s="712" t="s">
        <v>705</v>
      </c>
      <c r="I86" s="712">
        <f>SUM(I3,I6,I9,I12,I15,I18,I21,I24,I27,I30,I33,I36,I39,I42,I45,I48,I51,I54,I57,I60,I63,I66,I69,I72,I75,I78,I81)</f>
        <v>306617.44944000005</v>
      </c>
      <c r="J86" s="712">
        <f t="shared" ref="J86:U87" si="28">SUM(J3,J6,J9,J12,J15,J18,J21,J24,J27,J30,J33,J36,J39,J42,J45,J48,J51,J54,J57,J60,J63,J66,J69,J72,J75,J78,J81)</f>
        <v>306893.83588799997</v>
      </c>
      <c r="K86" s="712">
        <f t="shared" si="28"/>
        <v>303501.46272000001</v>
      </c>
      <c r="L86" s="712">
        <f t="shared" si="28"/>
        <v>279151.50567520002</v>
      </c>
      <c r="M86" s="712">
        <f t="shared" si="28"/>
        <v>260804.69348799996</v>
      </c>
      <c r="N86" s="712">
        <f t="shared" si="28"/>
        <v>233178.87335360004</v>
      </c>
      <c r="O86" s="712">
        <f t="shared" si="28"/>
        <v>245572.92456479996</v>
      </c>
      <c r="P86" s="712">
        <f t="shared" si="28"/>
        <v>300890.5081952</v>
      </c>
      <c r="Q86" s="712">
        <f t="shared" si="28"/>
        <v>275834.52190559998</v>
      </c>
      <c r="R86" s="712">
        <f t="shared" si="28"/>
        <v>280295.4333264</v>
      </c>
      <c r="S86" s="712">
        <f t="shared" si="28"/>
        <v>257168.03764160004</v>
      </c>
      <c r="T86" s="712">
        <f t="shared" si="28"/>
        <v>304112.25314719998</v>
      </c>
      <c r="U86" s="712">
        <f>SUM(U3,U6,U9,U12,U15,U18,U21,U24,U27,U30,U33,U36,U39,U42,U45,U48,U51,U54,U57,U60,U63,U66,U69,U72,U75,U78,U81)</f>
        <v>3354021.4993455992</v>
      </c>
      <c r="V86" s="713">
        <f>SUM(I86:K86)</f>
        <v>917012.74804800004</v>
      </c>
    </row>
    <row r="87" spans="1:23" ht="15.6" x14ac:dyDescent="0.3">
      <c r="F87" s="792"/>
      <c r="G87" s="891"/>
      <c r="H87" s="714" t="s">
        <v>706</v>
      </c>
      <c r="I87" s="715">
        <f>SUM(I4,I7,I10,I13,I16,I19,I22,I25,I28,I31,I34,I37,I40,I43,I46,I49,I52,I55,I58,I61,I64,I67,I70,I73,I76,I79,I82)</f>
        <v>289458.30000000005</v>
      </c>
      <c r="J87" s="715">
        <f t="shared" si="28"/>
        <v>312070.11000000004</v>
      </c>
      <c r="K87" s="715">
        <f t="shared" si="28"/>
        <v>289630.92000000004</v>
      </c>
      <c r="L87" s="715">
        <f t="shared" si="28"/>
        <v>0</v>
      </c>
      <c r="M87" s="715">
        <f t="shared" si="28"/>
        <v>0</v>
      </c>
      <c r="N87" s="715">
        <f t="shared" si="28"/>
        <v>0</v>
      </c>
      <c r="O87" s="715">
        <f t="shared" si="28"/>
        <v>0</v>
      </c>
      <c r="P87" s="715">
        <f t="shared" si="28"/>
        <v>0</v>
      </c>
      <c r="Q87" s="715">
        <f t="shared" si="28"/>
        <v>0</v>
      </c>
      <c r="R87" s="715">
        <f t="shared" si="28"/>
        <v>0</v>
      </c>
      <c r="S87" s="715">
        <f t="shared" si="28"/>
        <v>0</v>
      </c>
      <c r="T87" s="715">
        <f t="shared" si="28"/>
        <v>0</v>
      </c>
      <c r="U87" s="715">
        <f t="shared" si="28"/>
        <v>891159.33000000007</v>
      </c>
      <c r="V87" s="716">
        <f>SUM(I87:T87)</f>
        <v>891159.33000000019</v>
      </c>
    </row>
    <row r="88" spans="1:23" ht="15.6" x14ac:dyDescent="0.3">
      <c r="F88" s="792"/>
      <c r="G88" s="891"/>
      <c r="H88" s="717" t="s">
        <v>713</v>
      </c>
      <c r="I88" s="718">
        <f>I87/I86</f>
        <v>0.94403727031407003</v>
      </c>
      <c r="J88" s="718">
        <f>J87/J86</f>
        <v>1.0168666604105048</v>
      </c>
      <c r="K88" s="718">
        <f t="shared" ref="K88:U88" si="29">K87/K86</f>
        <v>0.95429826731083511</v>
      </c>
      <c r="L88" s="718">
        <f t="shared" si="29"/>
        <v>0</v>
      </c>
      <c r="M88" s="718">
        <f t="shared" si="29"/>
        <v>0</v>
      </c>
      <c r="N88" s="718">
        <f t="shared" si="29"/>
        <v>0</v>
      </c>
      <c r="O88" s="718">
        <f t="shared" si="29"/>
        <v>0</v>
      </c>
      <c r="P88" s="718">
        <f t="shared" si="29"/>
        <v>0</v>
      </c>
      <c r="Q88" s="718">
        <f t="shared" si="29"/>
        <v>0</v>
      </c>
      <c r="R88" s="718">
        <f t="shared" si="29"/>
        <v>0</v>
      </c>
      <c r="S88" s="718">
        <f t="shared" si="29"/>
        <v>0</v>
      </c>
      <c r="T88" s="718">
        <f t="shared" si="29"/>
        <v>0</v>
      </c>
      <c r="U88" s="718">
        <f t="shared" si="29"/>
        <v>0.26569875302644114</v>
      </c>
      <c r="V88" s="719">
        <f>V87/V86</f>
        <v>0.97180691533129415</v>
      </c>
    </row>
    <row r="89" spans="1:23" x14ac:dyDescent="0.3">
      <c r="I89" s="634"/>
      <c r="J89" s="414"/>
    </row>
  </sheetData>
  <mergeCells count="87">
    <mergeCell ref="D39:D53"/>
    <mergeCell ref="D54:D65"/>
    <mergeCell ref="D66:D77"/>
    <mergeCell ref="E39:E53"/>
    <mergeCell ref="E54:E65"/>
    <mergeCell ref="E66:E77"/>
    <mergeCell ref="D27:D30"/>
    <mergeCell ref="D31:D34"/>
    <mergeCell ref="D35:D38"/>
    <mergeCell ref="E27:E30"/>
    <mergeCell ref="E31:E34"/>
    <mergeCell ref="E35:E38"/>
    <mergeCell ref="F86:F88"/>
    <mergeCell ref="G86:G88"/>
    <mergeCell ref="D3:D11"/>
    <mergeCell ref="D12:D18"/>
    <mergeCell ref="D19:D26"/>
    <mergeCell ref="E3:E11"/>
    <mergeCell ref="E12:E18"/>
    <mergeCell ref="E19:E26"/>
    <mergeCell ref="F69:F71"/>
    <mergeCell ref="G69:G71"/>
    <mergeCell ref="F72:F74"/>
    <mergeCell ref="G72:G74"/>
    <mergeCell ref="F75:F77"/>
    <mergeCell ref="G75:G77"/>
    <mergeCell ref="F60:F62"/>
    <mergeCell ref="G60:G62"/>
    <mergeCell ref="B78:B83"/>
    <mergeCell ref="C78:C83"/>
    <mergeCell ref="F78:F80"/>
    <mergeCell ref="G78:G80"/>
    <mergeCell ref="F81:F83"/>
    <mergeCell ref="G81:G83"/>
    <mergeCell ref="D78:D79"/>
    <mergeCell ref="D80:D81"/>
    <mergeCell ref="D82:D83"/>
    <mergeCell ref="E78:E79"/>
    <mergeCell ref="E80:E81"/>
    <mergeCell ref="E82:E83"/>
    <mergeCell ref="F66:F68"/>
    <mergeCell ref="G66:G68"/>
    <mergeCell ref="G48:G50"/>
    <mergeCell ref="F51:F53"/>
    <mergeCell ref="G51:G53"/>
    <mergeCell ref="F54:F56"/>
    <mergeCell ref="G54:G56"/>
    <mergeCell ref="F57:F59"/>
    <mergeCell ref="G57:G59"/>
    <mergeCell ref="G36:G38"/>
    <mergeCell ref="B39:B68"/>
    <mergeCell ref="C39:C77"/>
    <mergeCell ref="F39:F41"/>
    <mergeCell ref="G39:G41"/>
    <mergeCell ref="F42:F44"/>
    <mergeCell ref="G42:G44"/>
    <mergeCell ref="F45:F47"/>
    <mergeCell ref="G45:G47"/>
    <mergeCell ref="F48:F50"/>
    <mergeCell ref="B3:B38"/>
    <mergeCell ref="G9:G11"/>
    <mergeCell ref="F12:F14"/>
    <mergeCell ref="G12:G14"/>
    <mergeCell ref="F63:F65"/>
    <mergeCell ref="G63:G65"/>
    <mergeCell ref="F24:F26"/>
    <mergeCell ref="G24:G26"/>
    <mergeCell ref="C27:C38"/>
    <mergeCell ref="F27:F29"/>
    <mergeCell ref="G27:G29"/>
    <mergeCell ref="F30:F32"/>
    <mergeCell ref="G30:G32"/>
    <mergeCell ref="F33:F35"/>
    <mergeCell ref="G33:G35"/>
    <mergeCell ref="F36:F38"/>
    <mergeCell ref="C3:C26"/>
    <mergeCell ref="F3:F5"/>
    <mergeCell ref="G3:G5"/>
    <mergeCell ref="F6:F8"/>
    <mergeCell ref="G6:G8"/>
    <mergeCell ref="F9:F11"/>
    <mergeCell ref="F15:F17"/>
    <mergeCell ref="G15:G17"/>
    <mergeCell ref="F18:F20"/>
    <mergeCell ref="G18:G20"/>
    <mergeCell ref="F21:F23"/>
    <mergeCell ref="G21:G23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V5 V8 V11 V14 V17 V19:V20 V23 V26 V29 V32 V35 V38 V41 V44 V47 V50 V53 V56 V59 V62 V65 V68 V71 V74 V77 V80 V82:V83" formula="1"/>
  </ignoredError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676E9-E0A3-4C92-A2E5-8F58E31F8458}">
  <dimension ref="B1:AC18"/>
  <sheetViews>
    <sheetView showGridLines="0" workbookViewId="0">
      <selection activeCell="G13" sqref="G13"/>
    </sheetView>
  </sheetViews>
  <sheetFormatPr defaultRowHeight="14.4" x14ac:dyDescent="0.3"/>
  <cols>
    <col min="1" max="1" width="20.21875" customWidth="1"/>
    <col min="2" max="2" width="19.5546875" customWidth="1"/>
    <col min="4" max="4" width="15.5546875" customWidth="1"/>
    <col min="5" max="5" width="25" customWidth="1"/>
    <col min="6" max="6" width="12.109375" customWidth="1"/>
    <col min="7" max="7" width="10.88671875" customWidth="1"/>
    <col min="8" max="8" width="10.21875" customWidth="1"/>
    <col min="9" max="9" width="9.88671875" customWidth="1"/>
    <col min="10" max="16" width="10.33203125" customWidth="1"/>
    <col min="17" max="17" width="17.33203125" customWidth="1"/>
  </cols>
  <sheetData>
    <row r="1" spans="2:29" ht="15" thickBot="1" x14ac:dyDescent="0.35"/>
    <row r="2" spans="2:29" ht="20.399999999999999" customHeight="1" thickBot="1" x14ac:dyDescent="0.35">
      <c r="N2" s="534" t="s">
        <v>671</v>
      </c>
      <c r="O2" s="535" t="s">
        <v>672</v>
      </c>
      <c r="P2" s="535" t="s">
        <v>673</v>
      </c>
      <c r="Q2" s="536">
        <v>45292</v>
      </c>
      <c r="R2" s="536">
        <v>45323</v>
      </c>
      <c r="S2" s="536">
        <v>45352</v>
      </c>
      <c r="T2" s="536">
        <v>45383</v>
      </c>
      <c r="U2" s="536">
        <v>45413</v>
      </c>
      <c r="V2" s="536">
        <v>45444</v>
      </c>
      <c r="W2" s="536">
        <v>45474</v>
      </c>
      <c r="X2" s="536">
        <v>45505</v>
      </c>
      <c r="Y2" s="536">
        <v>45536</v>
      </c>
      <c r="Z2" s="536">
        <v>45566</v>
      </c>
      <c r="AA2" s="536">
        <v>45597</v>
      </c>
      <c r="AB2" s="536">
        <v>45627</v>
      </c>
      <c r="AC2" s="537" t="s">
        <v>674</v>
      </c>
    </row>
    <row r="3" spans="2:29" ht="24.6" customHeight="1" x14ac:dyDescent="0.3">
      <c r="N3" s="926" t="s">
        <v>675</v>
      </c>
      <c r="O3" s="928">
        <v>75</v>
      </c>
      <c r="P3" s="543" t="s">
        <v>676</v>
      </c>
      <c r="Q3" s="544"/>
      <c r="R3" s="544"/>
      <c r="S3" s="544"/>
      <c r="T3" s="544"/>
      <c r="U3" s="544"/>
      <c r="V3" s="544">
        <v>15000</v>
      </c>
      <c r="W3" s="544">
        <v>15000</v>
      </c>
      <c r="X3" s="544">
        <v>15000</v>
      </c>
      <c r="Y3" s="544">
        <v>15000</v>
      </c>
      <c r="Z3" s="544">
        <v>15000</v>
      </c>
      <c r="AA3" s="544">
        <v>15000</v>
      </c>
      <c r="AB3" s="544">
        <v>15000</v>
      </c>
      <c r="AC3" s="545">
        <f>SUM(Q3:AB3)</f>
        <v>105000</v>
      </c>
    </row>
    <row r="4" spans="2:29" ht="24.6" customHeight="1" thickBot="1" x14ac:dyDescent="0.35">
      <c r="N4" s="927"/>
      <c r="O4" s="929"/>
      <c r="P4" s="546" t="s">
        <v>677</v>
      </c>
      <c r="Q4" s="533"/>
      <c r="R4" s="533"/>
      <c r="S4" s="533"/>
      <c r="T4" s="533"/>
      <c r="U4" s="533"/>
      <c r="V4" s="533">
        <v>300</v>
      </c>
      <c r="W4" s="533">
        <v>300</v>
      </c>
      <c r="X4" s="533">
        <v>300</v>
      </c>
      <c r="Y4" s="533">
        <v>300</v>
      </c>
      <c r="Z4" s="533">
        <v>300</v>
      </c>
      <c r="AA4" s="533">
        <v>300</v>
      </c>
      <c r="AB4" s="533">
        <v>300</v>
      </c>
      <c r="AC4" s="538">
        <f>SUM(Q4:AB4)</f>
        <v>2100</v>
      </c>
    </row>
    <row r="5" spans="2:29" ht="24.6" customHeight="1" x14ac:dyDescent="0.3">
      <c r="N5" s="930" t="s">
        <v>678</v>
      </c>
      <c r="O5" s="932">
        <v>75</v>
      </c>
      <c r="P5" s="540" t="s">
        <v>676</v>
      </c>
      <c r="Q5" s="541"/>
      <c r="R5" s="541"/>
      <c r="S5" s="541"/>
      <c r="T5" s="541"/>
      <c r="U5" s="541"/>
      <c r="V5" s="541">
        <v>15000</v>
      </c>
      <c r="W5" s="541">
        <v>15000</v>
      </c>
      <c r="X5" s="541">
        <v>15000</v>
      </c>
      <c r="Y5" s="541">
        <v>15000</v>
      </c>
      <c r="Z5" s="541">
        <v>15000</v>
      </c>
      <c r="AA5" s="541">
        <v>15000</v>
      </c>
      <c r="AB5" s="541">
        <v>15000</v>
      </c>
      <c r="AC5" s="542">
        <f>SUM(Q5:AB5)</f>
        <v>105000</v>
      </c>
    </row>
    <row r="6" spans="2:29" ht="24.6" customHeight="1" thickBot="1" x14ac:dyDescent="0.35">
      <c r="N6" s="931"/>
      <c r="O6" s="933"/>
      <c r="P6" s="539" t="s">
        <v>677</v>
      </c>
      <c r="Q6" s="533"/>
      <c r="R6" s="533"/>
      <c r="S6" s="533"/>
      <c r="T6" s="533"/>
      <c r="U6" s="533"/>
      <c r="V6" s="533">
        <v>300</v>
      </c>
      <c r="W6" s="533">
        <v>300</v>
      </c>
      <c r="X6" s="533">
        <v>300</v>
      </c>
      <c r="Y6" s="533">
        <v>300</v>
      </c>
      <c r="Z6" s="533">
        <v>300</v>
      </c>
      <c r="AA6" s="533">
        <v>300</v>
      </c>
      <c r="AB6" s="533">
        <v>300</v>
      </c>
      <c r="AC6" s="538">
        <f>SUM(Q6:AB6)</f>
        <v>2100</v>
      </c>
    </row>
    <row r="9" spans="2:29" x14ac:dyDescent="0.3">
      <c r="B9" s="645" t="s">
        <v>906</v>
      </c>
    </row>
    <row r="10" spans="2:29" x14ac:dyDescent="0.3">
      <c r="B10" s="645" t="s">
        <v>907</v>
      </c>
    </row>
    <row r="11" spans="2:29" x14ac:dyDescent="0.3">
      <c r="B11" s="645" t="s">
        <v>908</v>
      </c>
    </row>
    <row r="14" spans="2:29" ht="35.4" customHeight="1" x14ac:dyDescent="0.3">
      <c r="B14" s="651" t="s">
        <v>703</v>
      </c>
      <c r="C14" s="652" t="s">
        <v>911</v>
      </c>
      <c r="D14" s="652" t="s">
        <v>913</v>
      </c>
      <c r="E14" s="653" t="s">
        <v>912</v>
      </c>
    </row>
    <row r="15" spans="2:29" x14ac:dyDescent="0.3">
      <c r="B15" s="646" t="s">
        <v>909</v>
      </c>
      <c r="C15" s="141">
        <v>27</v>
      </c>
      <c r="D15" s="141">
        <v>2.5</v>
      </c>
      <c r="E15" s="647">
        <v>3044.886</v>
      </c>
    </row>
    <row r="16" spans="2:29" x14ac:dyDescent="0.3">
      <c r="B16" s="646" t="s">
        <v>914</v>
      </c>
      <c r="C16" s="141">
        <v>2</v>
      </c>
      <c r="D16" s="141">
        <v>0.15</v>
      </c>
      <c r="E16" s="647">
        <v>183.38399999999999</v>
      </c>
    </row>
    <row r="17" spans="2:5" x14ac:dyDescent="0.3">
      <c r="B17" s="646" t="s">
        <v>910</v>
      </c>
      <c r="C17" s="141">
        <v>1</v>
      </c>
      <c r="D17" s="141">
        <v>2.7</v>
      </c>
      <c r="E17" s="647">
        <v>4560</v>
      </c>
    </row>
    <row r="18" spans="2:5" x14ac:dyDescent="0.3">
      <c r="B18" s="648" t="s">
        <v>667</v>
      </c>
      <c r="C18" s="649">
        <f>SUM(C15:C17)</f>
        <v>30</v>
      </c>
      <c r="D18" s="649">
        <f>SUM(D15:D17)</f>
        <v>5.35</v>
      </c>
      <c r="E18" s="650">
        <f>SUM(E15:E17)</f>
        <v>7788.27</v>
      </c>
    </row>
  </sheetData>
  <mergeCells count="4">
    <mergeCell ref="N3:N4"/>
    <mergeCell ref="O3:O4"/>
    <mergeCell ref="N5:N6"/>
    <mergeCell ref="O5:O6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C08FC-C773-4AFD-9A63-6DEB8E1BC331}">
  <dimension ref="B2:P5"/>
  <sheetViews>
    <sheetView workbookViewId="0">
      <selection activeCell="P10" sqref="P10"/>
    </sheetView>
  </sheetViews>
  <sheetFormatPr defaultRowHeight="14.4" x14ac:dyDescent="0.3"/>
  <cols>
    <col min="2" max="2" width="19" bestFit="1" customWidth="1"/>
    <col min="16" max="16" width="14.21875" customWidth="1"/>
  </cols>
  <sheetData>
    <row r="2" spans="2:16" x14ac:dyDescent="0.3">
      <c r="B2" s="635" t="s">
        <v>671</v>
      </c>
      <c r="C2" s="635" t="s">
        <v>672</v>
      </c>
      <c r="D2" s="397">
        <v>45292</v>
      </c>
      <c r="E2" s="397">
        <v>45323</v>
      </c>
      <c r="F2" s="397">
        <v>45352</v>
      </c>
      <c r="G2" s="397">
        <v>45383</v>
      </c>
      <c r="H2" s="397">
        <v>45413</v>
      </c>
      <c r="I2" s="397">
        <v>45444</v>
      </c>
      <c r="J2" s="397">
        <v>45474</v>
      </c>
      <c r="K2" s="397">
        <v>45505</v>
      </c>
      <c r="L2" s="397">
        <v>45536</v>
      </c>
      <c r="M2" s="397">
        <v>45566</v>
      </c>
      <c r="N2" s="397">
        <v>45597</v>
      </c>
      <c r="O2" s="397">
        <v>45627</v>
      </c>
      <c r="P2" s="397" t="s">
        <v>674</v>
      </c>
    </row>
    <row r="3" spans="2:16" ht="16.8" customHeight="1" x14ac:dyDescent="0.3">
      <c r="B3" s="636" t="s">
        <v>669</v>
      </c>
      <c r="C3" s="637">
        <v>75</v>
      </c>
      <c r="D3" s="643">
        <v>9840</v>
      </c>
      <c r="E3" s="643">
        <v>13572</v>
      </c>
      <c r="F3" s="643">
        <v>13428</v>
      </c>
      <c r="G3" s="643">
        <v>7185</v>
      </c>
      <c r="H3" s="643">
        <v>15718</v>
      </c>
      <c r="I3" s="643">
        <v>13879</v>
      </c>
      <c r="J3" s="643">
        <v>14534</v>
      </c>
      <c r="K3" s="643">
        <v>10231</v>
      </c>
      <c r="L3" s="643">
        <v>12849</v>
      </c>
      <c r="M3" s="643">
        <v>247</v>
      </c>
      <c r="N3" s="643">
        <v>8638</v>
      </c>
      <c r="O3" s="643"/>
      <c r="P3" s="638">
        <f>SUM(D3:O3)</f>
        <v>120121</v>
      </c>
    </row>
    <row r="4" spans="2:16" ht="16.8" customHeight="1" x14ac:dyDescent="0.3">
      <c r="B4" s="639" t="s">
        <v>670</v>
      </c>
      <c r="C4" s="640">
        <v>75</v>
      </c>
      <c r="D4" s="644">
        <v>9343</v>
      </c>
      <c r="E4" s="644">
        <v>21520</v>
      </c>
      <c r="F4" s="644">
        <v>16829</v>
      </c>
      <c r="G4" s="644">
        <v>5403</v>
      </c>
      <c r="H4" s="644">
        <v>5036</v>
      </c>
      <c r="I4" s="644">
        <v>29437</v>
      </c>
      <c r="J4" s="644">
        <v>20201</v>
      </c>
      <c r="K4" s="644">
        <v>3450</v>
      </c>
      <c r="L4" s="644">
        <v>3493</v>
      </c>
      <c r="M4" s="644">
        <v>2826</v>
      </c>
      <c r="N4" s="644">
        <v>0</v>
      </c>
      <c r="O4" s="644"/>
      <c r="P4" s="641">
        <f>SUM(D4:O4)</f>
        <v>117538</v>
      </c>
    </row>
    <row r="5" spans="2:16" ht="15.6" x14ac:dyDescent="0.3">
      <c r="B5" s="642" t="s">
        <v>905</v>
      </c>
      <c r="C5" s="415">
        <f>SUM(C3:C4)</f>
        <v>150</v>
      </c>
      <c r="D5" s="415">
        <f>SUM(D3:D4)</f>
        <v>19183</v>
      </c>
      <c r="E5" s="415">
        <f>SUM(E3:E4)</f>
        <v>35092</v>
      </c>
      <c r="F5" s="415">
        <f>SUM(F3:F4)</f>
        <v>30257</v>
      </c>
      <c r="G5" s="415">
        <f>SUM(G3:G4)+F5</f>
        <v>42845</v>
      </c>
      <c r="H5" s="415">
        <f t="shared" ref="H5:N5" si="0">SUM(H3:H4)+G5</f>
        <v>63599</v>
      </c>
      <c r="I5" s="415">
        <f t="shared" si="0"/>
        <v>106915</v>
      </c>
      <c r="J5" s="415">
        <f t="shared" si="0"/>
        <v>141650</v>
      </c>
      <c r="K5" s="415">
        <f t="shared" si="0"/>
        <v>155331</v>
      </c>
      <c r="L5" s="415">
        <f t="shared" si="0"/>
        <v>171673</v>
      </c>
      <c r="M5" s="415">
        <f t="shared" si="0"/>
        <v>174746</v>
      </c>
      <c r="N5" s="415">
        <f t="shared" si="0"/>
        <v>183384</v>
      </c>
      <c r="O5" s="415"/>
      <c r="P5" s="654">
        <f>SUM(P3:P4)</f>
        <v>237659</v>
      </c>
    </row>
  </sheetData>
  <pageMargins left="0.511811024" right="0.511811024" top="0.78740157499999996" bottom="0.78740157499999996" header="0.31496062000000002" footer="0.31496062000000002"/>
  <ignoredErrors>
    <ignoredError sqref="D5:N5 P3:P4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220FF-C235-4618-B907-BF0A120B228D}">
  <dimension ref="A4:H47"/>
  <sheetViews>
    <sheetView topLeftCell="A24" zoomScale="85" zoomScaleNormal="85" workbookViewId="0">
      <selection activeCell="G29" sqref="G29"/>
    </sheetView>
  </sheetViews>
  <sheetFormatPr defaultRowHeight="14.4" x14ac:dyDescent="0.3"/>
  <cols>
    <col min="1" max="1" width="18.33203125" customWidth="1"/>
    <col min="2" max="2" width="33.21875" customWidth="1"/>
    <col min="3" max="3" width="28.5546875" customWidth="1"/>
    <col min="4" max="4" width="20.109375" customWidth="1"/>
    <col min="5" max="5" width="18.33203125" bestFit="1" customWidth="1"/>
    <col min="6" max="6" width="21" customWidth="1"/>
    <col min="7" max="7" width="39.33203125" customWidth="1"/>
    <col min="8" max="8" width="33.33203125" customWidth="1"/>
  </cols>
  <sheetData>
    <row r="4" spans="1:4" ht="18.600000000000001" customHeight="1" x14ac:dyDescent="0.3">
      <c r="A4" s="693"/>
      <c r="B4" s="693" t="s">
        <v>703</v>
      </c>
      <c r="C4" s="693" t="s">
        <v>672</v>
      </c>
    </row>
    <row r="5" spans="1:4" ht="19.2" customHeight="1" x14ac:dyDescent="0.3">
      <c r="A5" s="861" t="s">
        <v>1039</v>
      </c>
      <c r="B5" s="734" t="s">
        <v>7</v>
      </c>
      <c r="C5" s="734">
        <v>13</v>
      </c>
    </row>
    <row r="6" spans="1:4" ht="19.2" customHeight="1" x14ac:dyDescent="0.3">
      <c r="A6" s="862"/>
      <c r="B6" s="734" t="s">
        <v>8</v>
      </c>
      <c r="C6" s="734">
        <v>67</v>
      </c>
    </row>
    <row r="7" spans="1:4" ht="19.2" customHeight="1" x14ac:dyDescent="0.3">
      <c r="A7" s="862"/>
      <c r="B7" s="734" t="s">
        <v>9</v>
      </c>
      <c r="C7" s="734">
        <v>50</v>
      </c>
    </row>
    <row r="8" spans="1:4" ht="19.2" customHeight="1" x14ac:dyDescent="0.3">
      <c r="A8" s="862"/>
      <c r="B8" s="734" t="s">
        <v>10</v>
      </c>
      <c r="C8" s="734">
        <v>34</v>
      </c>
    </row>
    <row r="9" spans="1:4" ht="19.2" customHeight="1" x14ac:dyDescent="0.3">
      <c r="A9" s="862"/>
      <c r="B9" s="734" t="s">
        <v>707</v>
      </c>
      <c r="C9" s="734">
        <v>12</v>
      </c>
    </row>
    <row r="10" spans="1:4" ht="19.2" customHeight="1" x14ac:dyDescent="0.3">
      <c r="A10" s="862"/>
      <c r="B10" s="734" t="s">
        <v>12</v>
      </c>
      <c r="C10" s="734">
        <v>26</v>
      </c>
    </row>
    <row r="11" spans="1:4" ht="19.2" customHeight="1" x14ac:dyDescent="0.3">
      <c r="A11" s="862"/>
      <c r="B11" s="734" t="s">
        <v>13</v>
      </c>
      <c r="C11" s="746">
        <v>119</v>
      </c>
      <c r="D11" s="31" t="s">
        <v>1153</v>
      </c>
    </row>
    <row r="12" spans="1:4" ht="19.2" customHeight="1" x14ac:dyDescent="0.3">
      <c r="A12" s="862"/>
      <c r="B12" s="734" t="s">
        <v>14</v>
      </c>
      <c r="C12" s="734">
        <v>61</v>
      </c>
    </row>
    <row r="13" spans="1:4" ht="19.2" customHeight="1" x14ac:dyDescent="0.3">
      <c r="A13" s="869" t="s">
        <v>1040</v>
      </c>
      <c r="B13" s="28" t="s">
        <v>17</v>
      </c>
      <c r="C13" s="28">
        <v>100</v>
      </c>
    </row>
    <row r="14" spans="1:4" ht="19.2" customHeight="1" x14ac:dyDescent="0.3">
      <c r="A14" s="869"/>
      <c r="B14" s="28" t="s">
        <v>18</v>
      </c>
      <c r="C14" s="28">
        <v>100</v>
      </c>
    </row>
    <row r="15" spans="1:4" ht="19.2" customHeight="1" x14ac:dyDescent="0.3">
      <c r="A15" s="869"/>
      <c r="B15" s="28" t="s">
        <v>110</v>
      </c>
      <c r="C15" s="28">
        <v>30</v>
      </c>
    </row>
    <row r="16" spans="1:4" ht="19.2" customHeight="1" x14ac:dyDescent="0.3">
      <c r="A16" s="869"/>
      <c r="B16" s="28" t="s">
        <v>20</v>
      </c>
      <c r="C16" s="28">
        <v>100</v>
      </c>
    </row>
    <row r="17" spans="1:5" ht="19.2" customHeight="1" x14ac:dyDescent="0.3">
      <c r="A17" s="869"/>
      <c r="B17" s="28" t="s">
        <v>1078</v>
      </c>
      <c r="C17" s="746">
        <v>106</v>
      </c>
      <c r="D17" t="s">
        <v>1154</v>
      </c>
      <c r="E17" t="s">
        <v>1155</v>
      </c>
    </row>
    <row r="18" spans="1:5" ht="19.2" customHeight="1" x14ac:dyDescent="0.3">
      <c r="A18" s="863" t="s">
        <v>1041</v>
      </c>
      <c r="B18" s="736" t="s">
        <v>22</v>
      </c>
      <c r="C18" s="737">
        <v>109</v>
      </c>
    </row>
    <row r="19" spans="1:5" ht="19.2" customHeight="1" x14ac:dyDescent="0.3">
      <c r="A19" s="863"/>
      <c r="B19" s="736" t="s">
        <v>23</v>
      </c>
      <c r="C19" s="737">
        <v>108</v>
      </c>
    </row>
    <row r="20" spans="1:5" ht="19.2" customHeight="1" x14ac:dyDescent="0.3">
      <c r="A20" s="863"/>
      <c r="B20" s="736" t="s">
        <v>1148</v>
      </c>
      <c r="C20" s="745">
        <v>209</v>
      </c>
    </row>
    <row r="21" spans="1:5" ht="19.2" customHeight="1" x14ac:dyDescent="0.3">
      <c r="A21" s="863"/>
      <c r="B21" s="736" t="s">
        <v>24</v>
      </c>
      <c r="C21" s="737">
        <v>80</v>
      </c>
    </row>
    <row r="22" spans="1:5" ht="19.2" customHeight="1" x14ac:dyDescent="0.3">
      <c r="A22" s="863"/>
      <c r="B22" s="736" t="s">
        <v>25</v>
      </c>
      <c r="C22" s="737">
        <v>112</v>
      </c>
    </row>
    <row r="23" spans="1:5" ht="19.2" customHeight="1" x14ac:dyDescent="0.3">
      <c r="A23" s="863"/>
      <c r="B23" s="736" t="s">
        <v>26</v>
      </c>
      <c r="C23" s="737">
        <v>98</v>
      </c>
    </row>
    <row r="24" spans="1:5" ht="19.2" customHeight="1" x14ac:dyDescent="0.3">
      <c r="A24" s="863"/>
      <c r="B24" s="736" t="s">
        <v>28</v>
      </c>
      <c r="C24" s="748">
        <v>110</v>
      </c>
    </row>
    <row r="25" spans="1:5" ht="19.2" customHeight="1" x14ac:dyDescent="0.3">
      <c r="A25" s="863"/>
      <c r="B25" s="736" t="s">
        <v>29</v>
      </c>
      <c r="C25" s="747">
        <v>120</v>
      </c>
    </row>
    <row r="26" spans="1:5" ht="19.2" customHeight="1" x14ac:dyDescent="0.3">
      <c r="A26" s="863"/>
      <c r="B26" s="736" t="s">
        <v>30</v>
      </c>
      <c r="C26" s="747">
        <v>395</v>
      </c>
    </row>
    <row r="27" spans="1:5" ht="19.2" customHeight="1" x14ac:dyDescent="0.3">
      <c r="A27" s="863"/>
      <c r="B27" s="736" t="s">
        <v>111</v>
      </c>
      <c r="C27" s="747">
        <v>122</v>
      </c>
    </row>
    <row r="28" spans="1:5" ht="19.2" customHeight="1" x14ac:dyDescent="0.3">
      <c r="A28" s="863"/>
      <c r="B28" s="736" t="s">
        <v>711</v>
      </c>
      <c r="C28" s="747">
        <v>111</v>
      </c>
    </row>
    <row r="29" spans="1:5" ht="19.2" customHeight="1" x14ac:dyDescent="0.3">
      <c r="A29" s="863"/>
      <c r="B29" s="736" t="s">
        <v>27</v>
      </c>
      <c r="C29" s="747">
        <v>100</v>
      </c>
    </row>
    <row r="30" spans="1:5" ht="19.2" customHeight="1" x14ac:dyDescent="0.3">
      <c r="A30" s="863"/>
      <c r="B30" s="736" t="s">
        <v>708</v>
      </c>
      <c r="C30" s="747">
        <v>100</v>
      </c>
    </row>
    <row r="31" spans="1:5" ht="19.2" customHeight="1" x14ac:dyDescent="0.3">
      <c r="A31" s="863"/>
      <c r="B31" s="736" t="s">
        <v>709</v>
      </c>
      <c r="C31" s="747">
        <v>100</v>
      </c>
    </row>
    <row r="32" spans="1:5" ht="19.2" customHeight="1" x14ac:dyDescent="0.3">
      <c r="A32" s="864" t="s">
        <v>1042</v>
      </c>
      <c r="B32" s="738" t="s">
        <v>291</v>
      </c>
      <c r="C32" s="739">
        <v>97</v>
      </c>
    </row>
    <row r="33" spans="1:8" ht="19.2" customHeight="1" x14ac:dyDescent="0.3">
      <c r="A33" s="854"/>
      <c r="B33" s="740" t="s">
        <v>947</v>
      </c>
      <c r="C33" s="735">
        <v>100</v>
      </c>
    </row>
    <row r="34" spans="1:8" ht="19.2" customHeight="1" x14ac:dyDescent="0.3">
      <c r="A34" s="854"/>
      <c r="B34" s="740" t="s">
        <v>1147</v>
      </c>
      <c r="C34" s="193">
        <v>1000</v>
      </c>
    </row>
    <row r="35" spans="1:8" ht="18" customHeight="1" x14ac:dyDescent="0.3">
      <c r="A35" s="854"/>
      <c r="B35" s="742"/>
      <c r="C35" s="743"/>
    </row>
    <row r="36" spans="1:8" x14ac:dyDescent="0.3">
      <c r="C36" s="438">
        <f>SUM(C5:C35)</f>
        <v>3889</v>
      </c>
    </row>
    <row r="38" spans="1:8" ht="19.8" customHeight="1" x14ac:dyDescent="0.3"/>
    <row r="39" spans="1:8" ht="19.8" customHeight="1" x14ac:dyDescent="0.3">
      <c r="A39" s="767" t="s">
        <v>1149</v>
      </c>
      <c r="B39" s="749" t="s">
        <v>1151</v>
      </c>
      <c r="C39" s="141">
        <v>78.2</v>
      </c>
      <c r="D39" s="141">
        <v>39</v>
      </c>
      <c r="E39" s="141">
        <f>C39-D39</f>
        <v>39.200000000000003</v>
      </c>
      <c r="G39" t="s">
        <v>1161</v>
      </c>
      <c r="H39" t="s">
        <v>1160</v>
      </c>
    </row>
    <row r="40" spans="1:8" ht="19.8" customHeight="1" x14ac:dyDescent="0.3">
      <c r="A40" s="767"/>
      <c r="B40" s="139" t="s">
        <v>1152</v>
      </c>
      <c r="C40" s="141">
        <v>5.5</v>
      </c>
      <c r="D40" s="141">
        <v>5.5</v>
      </c>
      <c r="E40" s="141">
        <f t="shared" ref="E40:E44" si="0">C40-D40</f>
        <v>0</v>
      </c>
    </row>
    <row r="41" spans="1:8" ht="19.8" customHeight="1" x14ac:dyDescent="0.3">
      <c r="A41" s="767"/>
      <c r="B41" s="139" t="s">
        <v>1150</v>
      </c>
      <c r="C41" s="141">
        <v>230</v>
      </c>
      <c r="D41" s="141">
        <v>230</v>
      </c>
      <c r="E41" s="141">
        <f t="shared" si="0"/>
        <v>0</v>
      </c>
    </row>
    <row r="42" spans="1:8" ht="19.8" customHeight="1" x14ac:dyDescent="0.3">
      <c r="A42" s="767"/>
      <c r="B42" s="139" t="s">
        <v>1157</v>
      </c>
      <c r="C42" s="141">
        <v>23.98</v>
      </c>
      <c r="D42" s="141"/>
      <c r="E42" s="141">
        <f t="shared" si="0"/>
        <v>23.98</v>
      </c>
    </row>
    <row r="43" spans="1:8" ht="19.8" customHeight="1" x14ac:dyDescent="0.3">
      <c r="A43" s="767"/>
      <c r="B43" s="139" t="s">
        <v>1156</v>
      </c>
      <c r="C43" s="141">
        <v>10</v>
      </c>
      <c r="D43" s="139"/>
      <c r="E43" s="141">
        <f t="shared" si="0"/>
        <v>10</v>
      </c>
    </row>
    <row r="44" spans="1:8" ht="19.8" customHeight="1" x14ac:dyDescent="0.3">
      <c r="A44" s="767"/>
      <c r="B44" s="139" t="s">
        <v>1159</v>
      </c>
      <c r="C44" s="141">
        <v>19.8</v>
      </c>
      <c r="D44" s="139"/>
      <c r="E44" s="141">
        <f t="shared" si="0"/>
        <v>19.8</v>
      </c>
    </row>
    <row r="45" spans="1:8" ht="19.2" customHeight="1" x14ac:dyDescent="0.3">
      <c r="A45" s="139"/>
      <c r="B45" s="139"/>
      <c r="C45" s="426">
        <f>SUM(C39:C44)</f>
        <v>367.48</v>
      </c>
      <c r="D45" s="426">
        <f>SUM(D39:D44)</f>
        <v>274.5</v>
      </c>
      <c r="E45" s="426">
        <f>SUM(E39:E44)</f>
        <v>92.98</v>
      </c>
    </row>
    <row r="46" spans="1:8" ht="19.8" customHeight="1" x14ac:dyDescent="0.3"/>
    <row r="47" spans="1:8" ht="19.8" customHeight="1" x14ac:dyDescent="0.3">
      <c r="B47" s="744" t="s">
        <v>1158</v>
      </c>
      <c r="C47" s="438">
        <f>SUM(C36:C44)</f>
        <v>4256.4799999999996</v>
      </c>
      <c r="D47" s="438">
        <f>C36+D45</f>
        <v>4163.5</v>
      </c>
    </row>
  </sheetData>
  <mergeCells count="5">
    <mergeCell ref="A32:A35"/>
    <mergeCell ref="A39:A44"/>
    <mergeCell ref="A18:A31"/>
    <mergeCell ref="A13:A17"/>
    <mergeCell ref="A5:A12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ba242aa-90b6-4bcf-8517-ae5585e9c5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AF4451EFF9EC4EB41FF04C50598FD0" ma:contentTypeVersion="15" ma:contentTypeDescription="Create a new document." ma:contentTypeScope="" ma:versionID="6ad2911d5dd910981c1264dc3c280aa6">
  <xsd:schema xmlns:xsd="http://www.w3.org/2001/XMLSchema" xmlns:xs="http://www.w3.org/2001/XMLSchema" xmlns:p="http://schemas.microsoft.com/office/2006/metadata/properties" xmlns:ns3="3ba242aa-90b6-4bcf-8517-ae5585e9c5a5" xmlns:ns4="b63d2d51-f5b2-448b-b2c0-17d84e6757f3" targetNamespace="http://schemas.microsoft.com/office/2006/metadata/properties" ma:root="true" ma:fieldsID="6a9f81c2ccedcb9bc8f1a7bb8bd21500" ns3:_="" ns4:_="">
    <xsd:import namespace="3ba242aa-90b6-4bcf-8517-ae5585e9c5a5"/>
    <xsd:import namespace="b63d2d51-f5b2-448b-b2c0-17d84e6757f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SearchProperties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a242aa-90b6-4bcf-8517-ae5585e9c5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3d2d51-f5b2-448b-b2c0-17d84e6757f3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634EE2A-D222-4478-A151-1D0C6D80CD29}">
  <ds:schemaRefs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purl.org/dc/terms/"/>
    <ds:schemaRef ds:uri="http://www.w3.org/XML/1998/namespace"/>
    <ds:schemaRef ds:uri="b63d2d51-f5b2-448b-b2c0-17d84e6757f3"/>
    <ds:schemaRef ds:uri="http://schemas.microsoft.com/office/infopath/2007/PartnerControls"/>
    <ds:schemaRef ds:uri="http://schemas.openxmlformats.org/package/2006/metadata/core-properties"/>
    <ds:schemaRef ds:uri="3ba242aa-90b6-4bcf-8517-ae5585e9c5a5"/>
  </ds:schemaRefs>
</ds:datastoreItem>
</file>

<file path=customXml/itemProps2.xml><?xml version="1.0" encoding="utf-8"?>
<ds:datastoreItem xmlns:ds="http://schemas.openxmlformats.org/officeDocument/2006/customXml" ds:itemID="{79F3BD95-23CE-457F-863B-D226358A10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a242aa-90b6-4bcf-8517-ae5585e9c5a5"/>
    <ds:schemaRef ds:uri="b63d2d51-f5b2-448b-b2c0-17d84e6757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480F7F1-5DCB-4C92-8BC5-2B2F04DB56C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43</vt:i4>
      </vt:variant>
    </vt:vector>
  </HeadingPairs>
  <TitlesOfParts>
    <vt:vector size="43" baseType="lpstr">
      <vt:lpstr>Planilha6 (2)</vt:lpstr>
      <vt:lpstr>Julho23</vt:lpstr>
      <vt:lpstr>Agosto23</vt:lpstr>
      <vt:lpstr>Setembro23</vt:lpstr>
      <vt:lpstr>Outubro23</vt:lpstr>
      <vt:lpstr>Novembro23</vt:lpstr>
      <vt:lpstr>Dezembro23</vt:lpstr>
      <vt:lpstr>Janeiro 24</vt:lpstr>
      <vt:lpstr>Planilha4</vt:lpstr>
      <vt:lpstr>BD_USINAS_2024</vt:lpstr>
      <vt:lpstr>Folha1</vt:lpstr>
      <vt:lpstr>Fevereiro 24</vt:lpstr>
      <vt:lpstr>Folha3</vt:lpstr>
      <vt:lpstr>Folha2</vt:lpstr>
      <vt:lpstr>Março 24</vt:lpstr>
      <vt:lpstr>Abril 24</vt:lpstr>
      <vt:lpstr>Maio 24</vt:lpstr>
      <vt:lpstr>Junho 24</vt:lpstr>
      <vt:lpstr>Julho 24</vt:lpstr>
      <vt:lpstr>Agosto 24</vt:lpstr>
      <vt:lpstr>Setembro 24</vt:lpstr>
      <vt:lpstr>Outubro 24</vt:lpstr>
      <vt:lpstr>Novembro 24</vt:lpstr>
      <vt:lpstr>Dezembro 24</vt:lpstr>
      <vt:lpstr>Janeiro 25</vt:lpstr>
      <vt:lpstr>Fevereiro 25</vt:lpstr>
      <vt:lpstr>Março 25</vt:lpstr>
      <vt:lpstr>Abril 25</vt:lpstr>
      <vt:lpstr>Maio 25</vt:lpstr>
      <vt:lpstr>Junho 25</vt:lpstr>
      <vt:lpstr>Julho 25</vt:lpstr>
      <vt:lpstr>Planilha2</vt:lpstr>
      <vt:lpstr>Planilha1</vt:lpstr>
      <vt:lpstr>Controle ANO</vt:lpstr>
      <vt:lpstr>FCs estimados em PVsyst</vt:lpstr>
      <vt:lpstr>OESTE BIOGAS</vt:lpstr>
      <vt:lpstr>Geração - 01_2025</vt:lpstr>
      <vt:lpstr>Cadastro de OS</vt:lpstr>
      <vt:lpstr>Geração - 01_2024</vt:lpstr>
      <vt:lpstr>Geração - 01_2025 CM</vt:lpstr>
      <vt:lpstr>Planilha3</vt:lpstr>
      <vt:lpstr>Planilha7</vt:lpstr>
      <vt:lpstr>POT INST 25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Feital</dc:creator>
  <cp:keywords/>
  <dc:description/>
  <cp:lastModifiedBy>Cleoberto Wagner - Criativa Energia</cp:lastModifiedBy>
  <cp:revision/>
  <dcterms:created xsi:type="dcterms:W3CDTF">2023-07-19T13:55:06Z</dcterms:created>
  <dcterms:modified xsi:type="dcterms:W3CDTF">2025-07-28T16:38:44Z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0x01010056AF4451EFF9EC4EB41FF04C50598FD0</vt:lpwstr>
  </property>
  <property fmtid="{D5CDD505-2E9C-101B-9397-08002B2CF9AE}" pid="3" name="MediaServiceImageTags">
    <vt:lpwstr/>
  </property>
</Properties>
</file>