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s" sheetId="1" r:id="rId4"/>
    <sheet state="visible" name="chatgpt" sheetId="2" r:id="rId5"/>
    <sheet state="visible" name="Total_de_acoes" sheetId="3" r:id="rId6"/>
    <sheet state="visible" name="Principal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<sst xmlns="http://schemas.openxmlformats.org/spreadsheetml/2006/main" count="1521" uniqueCount="1064">
  <si>
    <t>Maior</t>
  </si>
  <si>
    <t>Menor</t>
  </si>
  <si>
    <t>Média</t>
  </si>
  <si>
    <t>Média que Subiu</t>
  </si>
  <si>
    <t>Média quem desceu</t>
  </si>
  <si>
    <t>Variação</t>
  </si>
  <si>
    <t>Varição Quem Subiu</t>
  </si>
  <si>
    <t>Variação $</t>
  </si>
  <si>
    <t>Ánalise por faixa etária</t>
  </si>
  <si>
    <t>Quantidade de Empresas</t>
  </si>
  <si>
    <t>Nome da Empresa</t>
  </si>
  <si>
    <t>Segmento</t>
  </si>
  <si>
    <t>Idade (em anos)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</si>
  <si>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</si>
  <si>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</si>
  <si>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</si>
  <si>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</si>
  <si>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</si>
  <si>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</si>
  <si>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</si>
  <si>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</si>
  <si>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</si>
  <si>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</si>
  <si>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</si>
  <si>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</si>
  <si>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</si>
  <si>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</t>
  </si>
  <si>
    <t>Itaú Unibanco</t>
  </si>
  <si>
    <t>Bancário</t>
  </si>
  <si>
    <t>Rede D'Or</t>
  </si>
  <si>
    <t>Saúde</t>
  </si>
  <si>
    <t>Braskem</t>
  </si>
  <si>
    <t>Química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</si>
  <si>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</si>
  <si>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</si>
  <si>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</si>
  <si>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</si>
  <si>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</si>
  <si>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</si>
  <si>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</si>
  <si>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</si>
  <si>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Energia/Química</t>
  </si>
  <si>
    <t>MRV</t>
  </si>
  <si>
    <t>Construção Civil</t>
  </si>
  <si>
    <t>Arezzo</t>
  </si>
  <si>
    <t>Vestuário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</si>
  <si>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</si>
  <si>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</si>
  <si>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</si>
  <si>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</si>
  <si>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</si>
  <si>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</si>
  <si>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</si>
  <si>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</si>
  <si>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Cielo</t>
  </si>
  <si>
    <t>Serviços Financeiros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</si>
  <si>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</si>
  <si>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</si>
  <si>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</si>
  <si>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</si>
  <si>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</si>
  <si>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</si>
  <si>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</si>
  <si>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</si>
  <si>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</si>
  <si>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</si>
  <si>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Varejo/Farmacêutico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</si>
  <si>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</si>
  <si>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</si>
  <si>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</si>
  <si>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</si>
  <si>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</si>
  <si>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</si>
  <si>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</si>
  <si>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</si>
  <si>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</si>
  <si>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Logística</t>
  </si>
  <si>
    <t>Marfrig</t>
  </si>
  <si>
    <t>Ambev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</si>
  <si>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</si>
  <si>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</si>
  <si>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</si>
  <si>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</si>
  <si>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</si>
  <si>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</si>
  <si>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</si>
  <si>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</si>
  <si>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</si>
  <si>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</si>
  <si>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Agricultura</t>
  </si>
  <si>
    <t>ALOS3</t>
  </si>
  <si>
    <t>Grupo CCR</t>
  </si>
  <si>
    <t>Cogna</t>
  </si>
  <si>
    <t>Transmissão Paulista</t>
  </si>
  <si>
    <t>Engie</t>
  </si>
  <si>
    <t>Vibra Energia</t>
  </si>
  <si>
    <t>IRB Brasil RE</t>
  </si>
  <si>
    <t>Petz</t>
  </si>
  <si>
    <t>Varejo/Pet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</si>
  <si>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</si>
  <si>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</si>
  <si>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</si>
  <si>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</si>
  <si>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</si>
  <si>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</si>
  <si>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</si>
  <si>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</si>
  <si>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Beleza</t>
  </si>
  <si>
    <t>Assaí</t>
  </si>
  <si>
    <t>Varejo/Alimentos</t>
  </si>
  <si>
    <t>B3</t>
  </si>
  <si>
    <t>Financeiro</t>
  </si>
  <si>
    <t>Hypera</t>
  </si>
  <si>
    <t>Farmacêutico</t>
  </si>
  <si>
    <t>São Martinho</t>
  </si>
  <si>
    <t>Agronegócio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</si>
  <si>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</si>
  <si>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</si>
  <si>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</si>
  <si>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</si>
  <si>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</si>
  <si>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</si>
  <si>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</si>
  <si>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Viagens</t>
  </si>
  <si>
    <t>GOL</t>
  </si>
  <si>
    <t>Código</t>
  </si>
  <si>
    <t>Qtde. Teórica</t>
  </si>
  <si>
    <t>RRRP3</t>
  </si>
  <si>
    <t>ALPA4</t>
  </si>
  <si>
    <t>ABEV3</t>
  </si>
  <si>
    <t>ARZZ3</t>
  </si>
  <si>
    <t>ASAI3</t>
  </si>
  <si>
    <t>AZUL4</t>
  </si>
  <si>
    <t>B3SA3</t>
  </si>
  <si>
    <t>BBSE3</t>
  </si>
  <si>
    <t>BBDC3</t>
  </si>
  <si>
    <t>BBDC4</t>
  </si>
  <si>
    <t>BRAP4</t>
  </si>
  <si>
    <t>BBAS3</t>
  </si>
  <si>
    <t>BRKM5</t>
  </si>
  <si>
    <t>BRFS3</t>
  </si>
  <si>
    <t>BPAC11</t>
  </si>
  <si>
    <t>CRFB3</t>
  </si>
  <si>
    <t>BHIA3</t>
  </si>
  <si>
    <t>CCRO3</t>
  </si>
  <si>
    <t>CMIG4</t>
  </si>
  <si>
    <t>CIEL3</t>
  </si>
  <si>
    <t>COGN3</t>
  </si>
  <si>
    <t>CPLE6</t>
  </si>
  <si>
    <t>CSAN3</t>
  </si>
  <si>
    <t>CPFE3</t>
  </si>
  <si>
    <t>CMIN3</t>
  </si>
  <si>
    <t>CVCB3</t>
  </si>
  <si>
    <t>CYRE3</t>
  </si>
  <si>
    <t>DXCO3</t>
  </si>
  <si>
    <t>ELET3</t>
  </si>
  <si>
    <t>ELET6</t>
  </si>
  <si>
    <t>EMBR3</t>
  </si>
  <si>
    <t>ENGI11</t>
  </si>
  <si>
    <t>ENEV3</t>
  </si>
  <si>
    <t>EGIE3</t>
  </si>
  <si>
    <t>EQTL3</t>
  </si>
  <si>
    <t>EZTC3</t>
  </si>
  <si>
    <t>FLRY3</t>
  </si>
  <si>
    <t>GGBR4</t>
  </si>
  <si>
    <t>GOAU4</t>
  </si>
  <si>
    <t>GOLL4</t>
  </si>
  <si>
    <t>NTCO3</t>
  </si>
  <si>
    <t>SOMA3</t>
  </si>
  <si>
    <t>HAPV3</t>
  </si>
  <si>
    <t>HYPE3</t>
  </si>
  <si>
    <t>IGTI11</t>
  </si>
  <si>
    <t>IRBR3</t>
  </si>
  <si>
    <t>ITSA4</t>
  </si>
  <si>
    <t>ITUB4</t>
  </si>
  <si>
    <t>JBSS3</t>
  </si>
  <si>
    <t>KLBN11</t>
  </si>
  <si>
    <t>RENT3</t>
  </si>
  <si>
    <t>LREN3</t>
  </si>
  <si>
    <t>LWSA3</t>
  </si>
  <si>
    <t>MGLU3</t>
  </si>
  <si>
    <t>MRFG3</t>
  </si>
  <si>
    <t>BEEF3</t>
  </si>
  <si>
    <t>MRVE3</t>
  </si>
  <si>
    <t>MULT3</t>
  </si>
  <si>
    <t>PCAR3</t>
  </si>
  <si>
    <t>PETR3</t>
  </si>
  <si>
    <t>PETR4</t>
  </si>
  <si>
    <t>RECV3</t>
  </si>
  <si>
    <t>PRIO3</t>
  </si>
  <si>
    <t>PETZ3</t>
  </si>
  <si>
    <t>RADL3</t>
  </si>
  <si>
    <t>RAIZ4</t>
  </si>
  <si>
    <t>RDOR3</t>
  </si>
  <si>
    <t>RAIL3</t>
  </si>
  <si>
    <t>SBSP3</t>
  </si>
  <si>
    <t>SANB11</t>
  </si>
  <si>
    <t>SMTO3</t>
  </si>
  <si>
    <t>CSNA3</t>
  </si>
  <si>
    <t>SLCE3</t>
  </si>
  <si>
    <t>SUZB3</t>
  </si>
  <si>
    <t>TAEE11</t>
  </si>
  <si>
    <t>VIVT3</t>
  </si>
  <si>
    <t>TIMS3</t>
  </si>
  <si>
    <t>TOTS3</t>
  </si>
  <si>
    <t>TRPL4</t>
  </si>
  <si>
    <t>UGPA3</t>
  </si>
  <si>
    <t>USIM5</t>
  </si>
  <si>
    <t>VALE3</t>
  </si>
  <si>
    <t>VAMO3</t>
  </si>
  <si>
    <t>VBBR3</t>
  </si>
  <si>
    <t>WEGE3</t>
  </si>
  <si>
    <t>YDUQ3</t>
  </si>
  <si>
    <t>Quantidade Teórica Total</t>
  </si>
  <si>
    <t>Redutor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</si>
  <si>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</si>
  <si>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</si>
  <si>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</si>
  <si>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</si>
  <si>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</si>
  <si>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</si>
  <si>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</si>
  <si>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</si>
  <si>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</si>
  <si>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</si>
  <si>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</si>
  <si>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</si>
  <si>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 xml:space="preserve">Valor Inicial (R$) </t>
  </si>
  <si>
    <t>Quantidade de Ações</t>
  </si>
  <si>
    <t>Resultado</t>
  </si>
  <si>
    <t>Idade</t>
  </si>
  <si>
    <t>Cat_Idade</t>
  </si>
  <si>
    <t>319,16 M</t>
  </si>
  <si>
    <t>32,65 M</t>
  </si>
  <si>
    <t>436,69 M</t>
  </si>
  <si>
    <t>162,55 M</t>
  </si>
  <si>
    <t>73,42 M</t>
  </si>
  <si>
    <t>319,92 M</t>
  </si>
  <si>
    <t>1,64 B</t>
  </si>
  <si>
    <t>1,89 B</t>
  </si>
  <si>
    <t>104,16 M</t>
  </si>
  <si>
    <t>473,2 M</t>
  </si>
  <si>
    <t>71,62 M</t>
  </si>
  <si>
    <t>43,31 M</t>
  </si>
  <si>
    <t>270,24 M</t>
  </si>
  <si>
    <t>78,44 M</t>
  </si>
  <si>
    <t>412,31 M</t>
  </si>
  <si>
    <t>109,86 M</t>
  </si>
  <si>
    <t>63,48 M</t>
  </si>
  <si>
    <t>104,52 M</t>
  </si>
  <si>
    <t>109,48 M</t>
  </si>
  <si>
    <t>202,83 M</t>
  </si>
  <si>
    <t>354,3 M</t>
  </si>
  <si>
    <t>42,44 M</t>
  </si>
  <si>
    <t>21,18 M</t>
  </si>
  <si>
    <t>101,38 M</t>
  </si>
  <si>
    <t>64,92 M</t>
  </si>
  <si>
    <t>178,44 M</t>
  </si>
  <si>
    <t>144,47 M</t>
  </si>
  <si>
    <t>21,5 M</t>
  </si>
  <si>
    <t>62,54 M</t>
  </si>
  <si>
    <t>69,45 M</t>
  </si>
  <si>
    <t>56,4 M</t>
  </si>
  <si>
    <t>58,9 M</t>
  </si>
  <si>
    <t>168,56 M</t>
  </si>
  <si>
    <t>465,62 M</t>
  </si>
  <si>
    <t>100,44 M</t>
  </si>
  <si>
    <t>37,01 M</t>
  </si>
  <si>
    <t>43,43 M</t>
  </si>
  <si>
    <t>40,71 M</t>
  </si>
  <si>
    <t>277,34 M</t>
  </si>
  <si>
    <t>45,86 M</t>
  </si>
  <si>
    <t>109,02 M</t>
  </si>
  <si>
    <t>19,84 M</t>
  </si>
  <si>
    <t>97,05 M</t>
  </si>
  <si>
    <t>41,64 M</t>
  </si>
  <si>
    <t>39,65 M</t>
  </si>
  <si>
    <t>86,92 M</t>
  </si>
  <si>
    <t>99,61 M</t>
  </si>
  <si>
    <t>128,66 M</t>
  </si>
  <si>
    <t>42,83 M</t>
  </si>
  <si>
    <t>63,32 M</t>
  </si>
  <si>
    <t>19,04 M</t>
  </si>
  <si>
    <t>32,03 M</t>
  </si>
  <si>
    <t>127,36 M</t>
  </si>
  <si>
    <t>29,74 M</t>
  </si>
  <si>
    <t>34,33 M</t>
  </si>
  <si>
    <t>32,04 M</t>
  </si>
  <si>
    <t>56,12 M</t>
  </si>
  <si>
    <t>27,59 M</t>
  </si>
  <si>
    <t>43,45 M</t>
  </si>
  <si>
    <t>58,22 M</t>
  </si>
  <si>
    <t>74,33 M</t>
  </si>
  <si>
    <t>109,87 M</t>
  </si>
  <si>
    <t>49,03 M</t>
  </si>
  <si>
    <t>22,15 M</t>
  </si>
  <si>
    <t>60,82 M</t>
  </si>
  <si>
    <t>14 M</t>
  </si>
  <si>
    <t>104,26 M</t>
  </si>
  <si>
    <t>60,86 M</t>
  </si>
  <si>
    <t>213,23 M</t>
  </si>
  <si>
    <t>79,67 M</t>
  </si>
  <si>
    <t>487,27 M</t>
  </si>
  <si>
    <t>107,71 M</t>
  </si>
  <si>
    <t>73,55 M</t>
  </si>
  <si>
    <t>277,57 M</t>
  </si>
  <si>
    <t>194,2 M</t>
  </si>
  <si>
    <t>38,19 M</t>
  </si>
  <si>
    <t>27,54 M</t>
  </si>
  <si>
    <t>624,74 M</t>
  </si>
  <si>
    <t>101,46 M</t>
  </si>
  <si>
    <t>154,36 M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</si>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</sst>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Söhne"/>
    </font>
    <font>
      <color rgb="FF000000"/>
      <name val="Arial"/>
      <scheme val="minor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b/>
      <sz val="11.0"/>
      <color theme="1"/>
      <name val="&quot;aptos narrow&quot;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164" xfId="0" applyBorder="1" applyFill="1" applyFont="1" applyNumberFormat="1"/>
    <xf borderId="1" fillId="4" fontId="1" numFmtId="0" xfId="0" applyBorder="1" applyFill="1" applyFont="1"/>
    <xf borderId="1" fillId="5" fontId="1" numFmtId="164" xfId="0" applyBorder="1" applyFill="1" applyFont="1" applyNumberFormat="1"/>
    <xf borderId="0" fillId="0" fontId="1" numFmtId="0" xfId="0" applyAlignment="1" applyFont="1">
      <alignment readingOrder="0"/>
    </xf>
    <xf borderId="1" fillId="6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164" xfId="0" applyBorder="1" applyFont="1" applyNumberFormat="1"/>
    <xf borderId="0" fillId="0" fontId="2" numFmtId="0" xfId="0" applyFont="1"/>
    <xf borderId="0" fillId="0" fontId="2" numFmtId="164" xfId="0" applyFont="1" applyNumberFormat="1"/>
    <xf borderId="1" fillId="7" fontId="1" numFmtId="0" xfId="0" applyAlignment="1" applyBorder="1" applyFill="1" applyFont="1">
      <alignment horizontal="center"/>
    </xf>
    <xf borderId="1" fillId="7" fontId="1" numFmtId="164" xfId="0" applyAlignment="1" applyBorder="1" applyFont="1" applyNumberFormat="1">
      <alignment horizontal="center"/>
    </xf>
    <xf borderId="1" fillId="3" fontId="2" numFmtId="0" xfId="0" applyBorder="1" applyFont="1"/>
    <xf borderId="1" fillId="8" fontId="2" numFmtId="164" xfId="0" applyBorder="1" applyFill="1" applyFont="1" applyNumberFormat="1"/>
    <xf borderId="1" fillId="5" fontId="2" numFmtId="0" xfId="0" applyBorder="1" applyFont="1"/>
    <xf borderId="1" fillId="9" fontId="1" numFmtId="0" xfId="0" applyAlignment="1" applyBorder="1" applyFill="1" applyFont="1">
      <alignment horizontal="center" readingOrder="0"/>
    </xf>
    <xf borderId="1" fillId="9" fontId="1" numFmtId="0" xfId="0" applyAlignment="1" applyBorder="1" applyFont="1">
      <alignment readingOrder="0"/>
    </xf>
    <xf borderId="2" fillId="10" fontId="3" numFmtId="0" xfId="0" applyAlignment="1" applyBorder="1" applyFill="1" applyFont="1">
      <alignment horizontal="center" readingOrder="0" vertical="bottom"/>
    </xf>
    <xf borderId="3" fillId="10" fontId="3" numFmtId="0" xfId="0" applyAlignment="1" applyBorder="1" applyFont="1">
      <alignment horizontal="center" readingOrder="0" vertical="bottom"/>
    </xf>
    <xf borderId="0" fillId="0" fontId="4" numFmtId="0" xfId="0" applyFont="1"/>
    <xf borderId="4" fillId="11" fontId="5" numFmtId="0" xfId="0" applyAlignment="1" applyBorder="1" applyFill="1" applyFont="1">
      <alignment horizontal="left" readingOrder="0"/>
    </xf>
    <xf borderId="5" fillId="11" fontId="5" numFmtId="0" xfId="0" applyAlignment="1" applyBorder="1" applyFont="1">
      <alignment horizontal="left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12" fontId="9" numFmtId="0" xfId="0" applyAlignment="1" applyFill="1" applyFont="1">
      <alignment vertical="bottom"/>
    </xf>
    <xf borderId="0" fillId="12" fontId="9" numFmtId="2" xfId="0" applyAlignment="1" applyFont="1" applyNumberFormat="1">
      <alignment vertical="bottom"/>
    </xf>
    <xf borderId="0" fillId="12" fontId="9" numFmtId="164" xfId="0" applyAlignment="1" applyFont="1" applyNumberFormat="1">
      <alignment horizontal="center" vertical="bottom"/>
    </xf>
    <xf borderId="0" fillId="12" fontId="9" numFmtId="0" xfId="0" applyAlignment="1" applyFont="1">
      <alignment horizontal="left" vertical="bottom"/>
    </xf>
    <xf borderId="0" fillId="12" fontId="9" numFmtId="0" xfId="0" applyAlignment="1" applyFont="1">
      <alignment horizontal="center" readingOrder="0" vertical="bottom"/>
    </xf>
    <xf borderId="0" fillId="13" fontId="10" numFmtId="0" xfId="0" applyAlignment="1" applyFill="1" applyFont="1">
      <alignment vertical="bottom"/>
    </xf>
    <xf borderId="0" fillId="13" fontId="10" numFmtId="14" xfId="0" applyAlignment="1" applyFont="1" applyNumberFormat="1">
      <alignment horizontal="right" vertical="bottom"/>
    </xf>
    <xf borderId="0" fillId="13" fontId="10" numFmtId="0" xfId="0" applyAlignment="1" applyFont="1">
      <alignment horizontal="right" vertical="bottom"/>
    </xf>
    <xf borderId="0" fillId="13" fontId="11" numFmtId="0" xfId="0" applyAlignment="1" applyFont="1">
      <alignment horizontal="right" vertical="bottom"/>
    </xf>
    <xf borderId="0" fillId="13" fontId="11" numFmtId="2" xfId="0" applyAlignment="1" applyFont="1" applyNumberFormat="1">
      <alignment horizontal="right" vertical="bottom"/>
    </xf>
    <xf borderId="0" fillId="13" fontId="11" numFmtId="3" xfId="0" applyAlignment="1" applyFont="1" applyNumberFormat="1">
      <alignment horizontal="right" vertical="bottom"/>
    </xf>
    <xf borderId="0" fillId="13" fontId="11" numFmtId="164" xfId="0" applyAlignment="1" applyFont="1" applyNumberFormat="1">
      <alignment horizontal="right" vertical="bottom"/>
    </xf>
    <xf borderId="0" fillId="13" fontId="11" numFmtId="0" xfId="0" applyAlignment="1" applyFont="1">
      <alignment horizontal="left" vertical="bottom"/>
    </xf>
    <xf borderId="0" fillId="13" fontId="12" numFmtId="0" xfId="0" applyAlignment="1" applyFont="1">
      <alignment horizontal="right" vertical="bottom"/>
    </xf>
    <xf borderId="0" fillId="14" fontId="10" numFmtId="0" xfId="0" applyAlignment="1" applyFill="1" applyFont="1">
      <alignment vertical="bottom"/>
    </xf>
    <xf borderId="0" fillId="14" fontId="10" numFmtId="14" xfId="0" applyAlignment="1" applyFont="1" applyNumberFormat="1">
      <alignment horizontal="right" vertical="bottom"/>
    </xf>
    <xf borderId="0" fillId="14" fontId="10" numFmtId="0" xfId="0" applyAlignment="1" applyFont="1">
      <alignment horizontal="right" vertical="bottom"/>
    </xf>
    <xf borderId="0" fillId="14" fontId="11" numFmtId="0" xfId="0" applyAlignment="1" applyFont="1">
      <alignment horizontal="right" vertical="bottom"/>
    </xf>
    <xf borderId="0" fillId="14" fontId="11" numFmtId="2" xfId="0" applyAlignment="1" applyFont="1" applyNumberFormat="1">
      <alignment horizontal="right" vertical="bottom"/>
    </xf>
    <xf borderId="0" fillId="14" fontId="11" numFmtId="3" xfId="0" applyAlignment="1" applyFont="1" applyNumberFormat="1">
      <alignment horizontal="right" vertical="bottom"/>
    </xf>
    <xf borderId="0" fillId="14" fontId="11" numFmtId="164" xfId="0" applyAlignment="1" applyFont="1" applyNumberFormat="1">
      <alignment horizontal="right" vertical="bottom"/>
    </xf>
    <xf borderId="0" fillId="14" fontId="11" numFmtId="0" xfId="0" applyAlignment="1" applyFont="1">
      <alignment horizontal="left" vertical="bottom"/>
    </xf>
    <xf borderId="0" fillId="14" fontId="12" numFmtId="0" xfId="0" applyAlignment="1" applyFont="1">
      <alignment horizontal="right" vertical="bottom"/>
    </xf>
    <xf borderId="0" fillId="14" fontId="8" numFmtId="0" xfId="0" applyAlignment="1" applyFont="1">
      <alignment vertical="bottom"/>
    </xf>
    <xf borderId="0" fillId="14" fontId="13" numFmtId="0" xfId="0" applyAlignment="1" applyFont="1">
      <alignment vertical="bottom"/>
    </xf>
    <xf borderId="0" fillId="14" fontId="13" numFmtId="2" xfId="0" applyAlignment="1" applyFont="1" applyNumberFormat="1">
      <alignment vertical="bottom"/>
    </xf>
    <xf borderId="0" fillId="14" fontId="13" numFmtId="164" xfId="0" applyAlignment="1" applyFont="1" applyNumberFormat="1">
      <alignment vertical="bottom"/>
    </xf>
    <xf borderId="0" fillId="14" fontId="13" numFmtId="0" xfId="0" applyAlignment="1" applyFont="1">
      <alignment horizontal="left" vertical="bottom"/>
    </xf>
    <xf borderId="0" fillId="14" fontId="14" numFmtId="0" xfId="0" applyAlignment="1" applyFont="1">
      <alignment vertical="bottom"/>
    </xf>
    <xf borderId="0" fillId="13" fontId="8" numFmtId="0" xfId="0" applyAlignment="1" applyFont="1">
      <alignment vertical="bottom"/>
    </xf>
    <xf borderId="0" fillId="13" fontId="13" numFmtId="0" xfId="0" applyAlignment="1" applyFont="1">
      <alignment vertical="bottom"/>
    </xf>
    <xf borderId="0" fillId="13" fontId="13" numFmtId="2" xfId="0" applyAlignment="1" applyFont="1" applyNumberFormat="1">
      <alignment vertical="bottom"/>
    </xf>
    <xf borderId="0" fillId="13" fontId="13" numFmtId="164" xfId="0" applyAlignment="1" applyFont="1" applyNumberFormat="1">
      <alignment vertical="bottom"/>
    </xf>
    <xf borderId="0" fillId="13" fontId="13" numFmtId="0" xfId="0" applyAlignment="1" applyFont="1">
      <alignment horizontal="left" vertical="bottom"/>
    </xf>
    <xf borderId="0" fillId="13" fontId="14" numFmtId="0" xfId="0" applyAlignment="1" applyFont="1">
      <alignment vertical="bottom"/>
    </xf>
    <xf borderId="0" fillId="12" fontId="7" numFmtId="0" xfId="0" applyAlignment="1" applyFont="1">
      <alignment vertical="bottom"/>
    </xf>
    <xf borderId="0" fillId="0" fontId="7" numFmtId="0" xfId="0" applyFont="1"/>
    <xf borderId="0" fillId="13" fontId="7" numFmtId="0" xfId="0" applyAlignment="1" applyFont="1">
      <alignment vertical="bottom"/>
    </xf>
    <xf borderId="0" fillId="14" fontId="7" numFmtId="0" xfId="0" applyAlignment="1" applyFont="1">
      <alignment vertical="bottom"/>
    </xf>
    <xf borderId="0" fillId="1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Varição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2061076771"/>
        <c:axId val="1995077344"/>
      </c:barChart>
      <c:catAx>
        <c:axId val="20610767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077344"/>
      </c:catAx>
      <c:valAx>
        <c:axId val="1995077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0767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Ánalise por faixa etária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overlap val="100"/>
        <c:axId val="34246204"/>
        <c:axId val="1908015574"/>
      </c:barChart>
      <c:catAx>
        <c:axId val="34246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Ánalise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015574"/>
      </c:catAx>
      <c:valAx>
        <c:axId val="1908015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46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Ánalise por faixa etária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'Análises'!$B$1:$B$2</c:f>
              <c:numCache/>
            </c:numRef>
          </c:val>
        </c:ser>
        <c:ser>
          <c:idx val="1"/>
          <c:order val="1"/>
          <c:val>
            <c:numRef>
              <c:f>'Análises'!$C$1:$C$2</c:f>
              <c:numCache/>
            </c:numRef>
          </c:val>
        </c:ser>
        <c:overlap val="100"/>
        <c:axId val="1218384935"/>
        <c:axId val="1691473655"/>
      </c:barChart>
      <c:catAx>
        <c:axId val="1218384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473655"/>
      </c:catAx>
      <c:valAx>
        <c:axId val="1691473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384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10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1581150</xdr:colOff>
      <xdr:row>46</xdr:row>
      <xdr:rowOff>95250</xdr:rowOff>
    </xdr:from>
    <xdr:ext cx="6334125" cy="1943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180975</xdr:colOff>
      <xdr:row>62</xdr:row>
      <xdr:rowOff>0</xdr:rowOff>
    </xdr:from>
    <xdr:ext cx="4600575" cy="2847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62</xdr:row>
      <xdr:rowOff>0</xdr:rowOff>
    </xdr:from>
    <xdr:ext cx="4600575" cy="2847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0</xdr:rowOff>
    </xdr:from>
    <xdr:ext cx="6086475" cy="14097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13"/>
    <col customWidth="1" min="3" max="3" width="21.0"/>
  </cols>
  <sheetData>
    <row r="1">
      <c r="A1" s="1" t="s">
        <v>0</v>
      </c>
      <c r="B1" s="2">
        <f>max(Principal!O:O)</f>
        <v>4762926995</v>
      </c>
      <c r="C1" s="3" t="str">
        <f>VLOOKUP(B1,Principal!O:R,3,0)</f>
        <v>Vale</v>
      </c>
    </row>
    <row r="2">
      <c r="A2" s="1" t="s">
        <v>1</v>
      </c>
      <c r="B2" s="4">
        <f>MIN(Principal!O:O)</f>
        <v>-1807432634</v>
      </c>
      <c r="C2" s="3" t="str">
        <f>VLOOKUP(B2,Principal!O:R,3,0)</f>
        <v>Localiza</v>
      </c>
    </row>
    <row r="3">
      <c r="A3" s="1" t="s">
        <v>2</v>
      </c>
      <c r="B3" s="2">
        <f>average(Principal!O:O)</f>
        <v>165190210.5</v>
      </c>
    </row>
    <row r="4">
      <c r="A4" s="1" t="s">
        <v>3</v>
      </c>
      <c r="B4" s="2">
        <f>AVERAGEIF(Principal!P:P,"subiu",Principal!O:O)</f>
        <v>448164250.2</v>
      </c>
    </row>
    <row r="5">
      <c r="A5" s="1" t="s">
        <v>4</v>
      </c>
      <c r="B5" s="4">
        <f>AVERAGEIF(Principal!P:P,"desceu",Principal!O:O)</f>
        <v>-181109141.8</v>
      </c>
    </row>
    <row r="9">
      <c r="A9" s="5"/>
    </row>
    <row r="10">
      <c r="A10" s="6" t="str">
        <f>IFERROR(__xludf.DUMMYFUNCTION("UNIQUE(Principal!R:R)"),"Segmento")</f>
        <v>Segmento</v>
      </c>
      <c r="B10" s="7" t="s">
        <v>5</v>
      </c>
      <c r="C10" s="7" t="s">
        <v>6</v>
      </c>
    </row>
    <row r="11">
      <c r="A11" s="8" t="str">
        <f>IFERROR(__xludf.DUMMYFUNCTION("""COMPUTED_VALUE"""),"Siderurgia")</f>
        <v>Siderurgia</v>
      </c>
      <c r="B11" s="2">
        <f>SUMIF(Principal!R:R,A11,Principal!O:O)</f>
        <v>489935930.9</v>
      </c>
      <c r="C11" s="9">
        <f>SUMIFS(Principal!O:O,Principal!R:R,A11,Principal!P:P,"Subiu")</f>
        <v>489935930.9</v>
      </c>
    </row>
    <row r="12">
      <c r="A12" s="8" t="str">
        <f>IFERROR(__xludf.DUMMYFUNCTION("""COMPUTED_VALUE"""),"Mineração")</f>
        <v>Mineração</v>
      </c>
      <c r="B12" s="2">
        <f>SUMIF(Principal!R:R,A12,Principal!O:O)</f>
        <v>4940442966</v>
      </c>
      <c r="C12" s="9">
        <f>SUMIFS(Principal!O:O,Principal!R:R,A12,Principal!P:P,"Subiu")</f>
        <v>4940442966</v>
      </c>
    </row>
    <row r="13">
      <c r="A13" s="8" t="str">
        <f>IFERROR(__xludf.DUMMYFUNCTION("""COMPUTED_VALUE"""),"Energia/Petróleo")</f>
        <v>Energia/Petróleo</v>
      </c>
      <c r="B13" s="2">
        <f>SUMIF(Principal!R:R,A13,Principal!O:O)</f>
        <v>6093288832</v>
      </c>
      <c r="C13" s="9">
        <f>SUMIFS(Principal!O:O,Principal!R:R,A13,Principal!P:P,"Subiu")</f>
        <v>6093288832</v>
      </c>
    </row>
    <row r="14">
      <c r="A14" s="8" t="str">
        <f>IFERROR(__xludf.DUMMYFUNCTION("""COMPUTED_VALUE"""),"Papel e Celulose")</f>
        <v>Papel e Celulose</v>
      </c>
      <c r="B14" s="2">
        <f>SUMIF(Principal!R:R,A14,Principal!O:O)</f>
        <v>722946282.7</v>
      </c>
      <c r="C14" s="9">
        <f>SUMIFS(Principal!O:O,Principal!R:R,A14,Principal!P:P,"Subiu")</f>
        <v>722946282.7</v>
      </c>
    </row>
    <row r="15">
      <c r="A15" s="8" t="str">
        <f>IFERROR(__xludf.DUMMYFUNCTION("""COMPUTED_VALUE"""),"Energia")</f>
        <v>Energia</v>
      </c>
      <c r="B15" s="4">
        <f>SUMIF(Principal!R:R,A15,Principal!O:O)</f>
        <v>-57259481.89</v>
      </c>
      <c r="C15" s="9">
        <f>SUMIFS(Principal!O:O,Principal!R:R,A15,Principal!P:P,"Subiu")</f>
        <v>821116399.6</v>
      </c>
    </row>
    <row r="16">
      <c r="A16" s="8" t="str">
        <f>IFERROR(__xludf.DUMMYFUNCTION("""COMPUTED_VALUE"""),"Imobiliário")</f>
        <v>Imobiliário</v>
      </c>
      <c r="B16" s="2">
        <f>SUMIF(Principal!R:R,A16,Principal!O:O)</f>
        <v>117732680.1</v>
      </c>
      <c r="C16" s="9">
        <f>SUMIFS(Principal!O:O,Principal!R:R,A16,Principal!P:P,"Subiu")</f>
        <v>117732680.1</v>
      </c>
    </row>
    <row r="17">
      <c r="A17" s="8" t="str">
        <f>IFERROR(__xludf.DUMMYFUNCTION("""COMPUTED_VALUE"""),"Bancário")</f>
        <v>Bancário</v>
      </c>
      <c r="B17" s="2">
        <f>SUMIF(Principal!R:R,A17,Principal!O:O)</f>
        <v>3740512019</v>
      </c>
      <c r="C17" s="9">
        <f>SUMIFS(Principal!O:O,Principal!R:R,A17,Principal!P:P,"Subiu")</f>
        <v>3740512019</v>
      </c>
    </row>
    <row r="18">
      <c r="A18" s="8" t="str">
        <f>IFERROR(__xludf.DUMMYFUNCTION("""COMPUTED_VALUE"""),"Saúde")</f>
        <v>Saúde</v>
      </c>
      <c r="B18" s="2">
        <f>SUMIF(Principal!R:R,A18,Principal!O:O)</f>
        <v>60321469.88</v>
      </c>
      <c r="C18" s="9">
        <f>SUMIFS(Principal!O:O,Principal!R:R,A18,Principal!P:P,"Subiu")</f>
        <v>453917907</v>
      </c>
    </row>
    <row r="19">
      <c r="A19" s="8" t="str">
        <f>IFERROR(__xludf.DUMMYFUNCTION("""COMPUTED_VALUE"""),"Química")</f>
        <v>Química</v>
      </c>
      <c r="B19" s="2">
        <f>SUMIF(Principal!R:R,A19,Principal!O:O)</f>
        <v>69054317.64</v>
      </c>
      <c r="C19" s="9">
        <f>SUMIFS(Principal!O:O,Principal!R:R,A19,Principal!P:P,"Subiu")</f>
        <v>69054317.64</v>
      </c>
    </row>
    <row r="20">
      <c r="A20" s="8" t="str">
        <f>IFERROR(__xludf.DUMMYFUNCTION("""COMPUTED_VALUE"""),"Transporte")</f>
        <v>Transporte</v>
      </c>
      <c r="B20" s="2">
        <f>SUMIF(Principal!R:R,A20,Principal!O:O)</f>
        <v>192230336.6</v>
      </c>
      <c r="C20" s="9">
        <f>SUMIFS(Principal!O:O,Principal!R:R,A20,Principal!P:P,"Subiu")</f>
        <v>295223539.2</v>
      </c>
    </row>
    <row r="21">
      <c r="A21" s="8" t="str">
        <f>IFERROR(__xludf.DUMMYFUNCTION("""COMPUTED_VALUE"""),"Educação")</f>
        <v>Educação</v>
      </c>
      <c r="B21" s="2">
        <f>SUMIF(Principal!R:R,A21,Principal!O:O)</f>
        <v>54641872.47</v>
      </c>
      <c r="C21" s="9">
        <f>SUMIFS(Principal!O:O,Principal!R:R,A21,Principal!P:P,"Subiu")</f>
        <v>72295838.99</v>
      </c>
    </row>
    <row r="22">
      <c r="A22" s="8" t="str">
        <f>IFERROR(__xludf.DUMMYFUNCTION("""COMPUTED_VALUE"""),"Energia/Química")</f>
        <v>Energia/Química</v>
      </c>
      <c r="B22" s="2">
        <f>SUMIF(Principal!R:R,A22,Principal!O:O)</f>
        <v>388705224</v>
      </c>
      <c r="C22" s="9">
        <f>SUMIFS(Principal!O:O,Principal!R:R,A22,Principal!P:P,"Subiu")</f>
        <v>388705224</v>
      </c>
    </row>
    <row r="23">
      <c r="A23" s="8" t="str">
        <f>IFERROR(__xludf.DUMMYFUNCTION("""COMPUTED_VALUE"""),"Construção Civil")</f>
        <v>Construção Civil</v>
      </c>
      <c r="B23" s="4">
        <f>SUMIF(Principal!R:R,A23,Principal!O:O)</f>
        <v>-61087401.61</v>
      </c>
      <c r="C23" s="9">
        <f>SUMIFS(Principal!O:O,Principal!R:R,A23,Principal!P:P,"Subiu")</f>
        <v>37525872.38</v>
      </c>
    </row>
    <row r="24">
      <c r="A24" s="8" t="str">
        <f>IFERROR(__xludf.DUMMYFUNCTION("""COMPUTED_VALUE"""),"Vestuário")</f>
        <v>Vestuário</v>
      </c>
      <c r="B24" s="2">
        <f>SUMIF(Principal!R:R,A24,Principal!O:O)</f>
        <v>19895417.77</v>
      </c>
      <c r="C24" s="9">
        <f>SUMIFS(Principal!O:O,Principal!R:R,A24,Principal!P:P,"Subiu")</f>
        <v>41021792.09</v>
      </c>
    </row>
    <row r="25">
      <c r="A25" s="8" t="str">
        <f>IFERROR(__xludf.DUMMYFUNCTION("""COMPUTED_VALUE"""),"Alimentos")</f>
        <v>Alimentos</v>
      </c>
      <c r="B25" s="2">
        <f>SUMIF(Principal!R:R,A25,Principal!O:O)</f>
        <v>414174599.3</v>
      </c>
      <c r="C25" s="9">
        <f>SUMIFS(Principal!O:O,Principal!R:R,A25,Principal!P:P,"Subiu")</f>
        <v>414174599.3</v>
      </c>
    </row>
    <row r="26">
      <c r="A26" s="8" t="str">
        <f>IFERROR(__xludf.DUMMYFUNCTION("""COMPUTED_VALUE"""),"Telecomunicações")</f>
        <v>Telecomunicações</v>
      </c>
      <c r="B26" s="2">
        <f>SUMIF(Principal!R:R,A26,Principal!O:O)</f>
        <v>292938114.4</v>
      </c>
      <c r="C26" s="9">
        <f>SUMIFS(Principal!O:O,Principal!R:R,A26,Principal!P:P,"Subiu")</f>
        <v>292938114.4</v>
      </c>
    </row>
    <row r="27">
      <c r="A27" s="8" t="str">
        <f>IFERROR(__xludf.DUMMYFUNCTION("""COMPUTED_VALUE"""),"Serviços Financeiros")</f>
        <v>Serviços Financeiros</v>
      </c>
      <c r="B27" s="2">
        <f>SUMIF(Principal!R:R,A27,Principal!O:O)</f>
        <v>61726129.99</v>
      </c>
      <c r="C27" s="9">
        <f>SUMIFS(Principal!O:O,Principal!R:R,A27,Principal!P:P,"Subiu")</f>
        <v>61726129.99</v>
      </c>
    </row>
    <row r="28">
      <c r="A28" s="8" t="str">
        <f>IFERROR(__xludf.DUMMYFUNCTION("""COMPUTED_VALUE"""),"Investimentos")</f>
        <v>Investimentos</v>
      </c>
      <c r="B28" s="2">
        <f>SUMIF(Principal!R:R,A28,Principal!O:O)</f>
        <v>416092244.4</v>
      </c>
      <c r="C28" s="9">
        <f>SUMIFS(Principal!O:O,Principal!R:R,A28,Principal!P:P,"Subiu")</f>
        <v>416092244.4</v>
      </c>
    </row>
    <row r="29">
      <c r="A29" s="8" t="str">
        <f>IFERROR(__xludf.DUMMYFUNCTION("""COMPUTED_VALUE"""),"Tecnologia")</f>
        <v>Tecnologia</v>
      </c>
      <c r="B29" s="4">
        <f>SUMIF(Principal!R:R,A29,Principal!O:O)</f>
        <v>-112162901.5</v>
      </c>
      <c r="C29" s="9">
        <f>SUMIFS(Principal!O:O,Principal!R:R,A29,Principal!P:P,"Subiu")</f>
        <v>15598886.65</v>
      </c>
    </row>
    <row r="30">
      <c r="A30" s="8" t="str">
        <f>IFERROR(__xludf.DUMMYFUNCTION("""COMPUTED_VALUE"""),"Varejo/Farmacêutico")</f>
        <v>Varejo/Farmacêutico</v>
      </c>
      <c r="B30" s="2">
        <f>SUMIF(Principal!R:R,A30,Principal!O:O)</f>
        <v>202352473.7</v>
      </c>
      <c r="C30" s="9">
        <f>SUMIFS(Principal!O:O,Principal!R:R,A30,Principal!P:P,"Subiu")</f>
        <v>202352473.7</v>
      </c>
    </row>
    <row r="31">
      <c r="A31" s="8" t="str">
        <f>IFERROR(__xludf.DUMMYFUNCTION("""COMPUTED_VALUE"""),"Varejo")</f>
        <v>Varejo</v>
      </c>
      <c r="B31" s="4">
        <f>SUMIF(Principal!R:R,A31,Principal!O:O)</f>
        <v>-532128788.8</v>
      </c>
      <c r="C31" s="9">
        <f>SUMIFS(Principal!O:O,Principal!R:R,A31,Principal!P:P,"Subiu")</f>
        <v>28493619.27</v>
      </c>
    </row>
    <row r="32">
      <c r="A32" s="8" t="str">
        <f>IFERROR(__xludf.DUMMYFUNCTION("""COMPUTED_VALUE"""),"Logística")</f>
        <v>Logística</v>
      </c>
      <c r="B32" s="4">
        <f>SUMIF(Principal!R:R,A32,Principal!O:O)</f>
        <v>-35612213.16</v>
      </c>
      <c r="C32" s="9">
        <f>SUMIFS(Principal!O:O,Principal!R:R,A32,Principal!P:P,"Subiu")</f>
        <v>4131341.158</v>
      </c>
    </row>
    <row r="33">
      <c r="A33" s="8" t="str">
        <f>IFERROR(__xludf.DUMMYFUNCTION("""COMPUTED_VALUE"""),"Seguros")</f>
        <v>Seguros</v>
      </c>
      <c r="B33" s="4">
        <f>SUMIF(Principal!R:R,A33,Principal!O:O)</f>
        <v>-26297880.21</v>
      </c>
      <c r="C33" s="9">
        <f>SUMIFS(Principal!O:O,Principal!R:R,A33,Principal!P:P,"Subiu")</f>
        <v>0</v>
      </c>
    </row>
    <row r="34">
      <c r="A34" s="8" t="str">
        <f>IFERROR(__xludf.DUMMYFUNCTION("""COMPUTED_VALUE"""),"Saneamento")</f>
        <v>Saneamento</v>
      </c>
      <c r="B34" s="4">
        <f>SUMIF(Principal!R:R,A34,Principal!O:O)</f>
        <v>-15725678.56</v>
      </c>
      <c r="C34" s="9">
        <f>SUMIFS(Principal!O:O,Principal!R:R,A34,Principal!P:P,"Subiu")</f>
        <v>0</v>
      </c>
    </row>
    <row r="35">
      <c r="A35" s="8" t="str">
        <f>IFERROR(__xludf.DUMMYFUNCTION("""COMPUTED_VALUE"""),"Agricultura")</f>
        <v>Agricultura</v>
      </c>
      <c r="B35" s="4">
        <f>SUMIF(Principal!R:R,A35,Principal!O:O)</f>
        <v>-9468663.682</v>
      </c>
      <c r="C35" s="9">
        <f>SUMIFS(Principal!O:O,Principal!R:R,A35,Principal!P:P,"Subiu")</f>
        <v>0</v>
      </c>
    </row>
    <row r="36">
      <c r="A36" s="8" t="str">
        <f>IFERROR(__xludf.DUMMYFUNCTION("""COMPUTED_VALUE"""),"Varejo/Pet")</f>
        <v>Varejo/Pet</v>
      </c>
      <c r="B36" s="4">
        <f>SUMIF(Principal!R:R,A36,Principal!O:O)</f>
        <v>-9242203.652</v>
      </c>
      <c r="C36" s="9">
        <f>SUMIFS(Principal!O:O,Principal!R:R,A36,Principal!P:P,"Subiu")</f>
        <v>0</v>
      </c>
    </row>
    <row r="37">
      <c r="A37" s="8" t="str">
        <f>IFERROR(__xludf.DUMMYFUNCTION("""COMPUTED_VALUE"""),"Aeroespacial")</f>
        <v>Aeroespacial</v>
      </c>
      <c r="B37" s="4">
        <f>SUMIF(Principal!R:R,A37,Principal!O:O)</f>
        <v>-233651943.5</v>
      </c>
      <c r="C37" s="9">
        <f>SUMIFS(Principal!O:O,Principal!R:R,A37,Principal!P:P,"Subiu")</f>
        <v>0</v>
      </c>
    </row>
    <row r="38">
      <c r="A38" s="8" t="str">
        <f>IFERROR(__xludf.DUMMYFUNCTION("""COMPUTED_VALUE"""),"Beleza")</f>
        <v>Beleza</v>
      </c>
      <c r="B38" s="4">
        <f>SUMIF(Principal!R:R,A38,Principal!O:O)</f>
        <v>-193280001.2</v>
      </c>
      <c r="C38" s="9">
        <f>SUMIFS(Principal!O:O,Principal!R:R,A38,Principal!P:P,"Subiu")</f>
        <v>0</v>
      </c>
    </row>
    <row r="39">
      <c r="A39" s="8" t="str">
        <f>IFERROR(__xludf.DUMMYFUNCTION("""COMPUTED_VALUE"""),"Varejo/Alimentos")</f>
        <v>Varejo/Alimentos</v>
      </c>
      <c r="B39" s="4">
        <f>SUMIF(Principal!R:R,A39,Principal!O:O)</f>
        <v>-268201195.1</v>
      </c>
      <c r="C39" s="9">
        <f>SUMIFS(Principal!O:O,Principal!R:R,A39,Principal!P:P,"Subiu")</f>
        <v>0</v>
      </c>
    </row>
    <row r="40">
      <c r="A40" s="8" t="str">
        <f>IFERROR(__xludf.DUMMYFUNCTION("""COMPUTED_VALUE"""),"Financeiro")</f>
        <v>Financeiro</v>
      </c>
      <c r="B40" s="4">
        <f>SUMIF(Principal!R:R,A40,Principal!O:O)</f>
        <v>-1173785666</v>
      </c>
      <c r="C40" s="9">
        <f>SUMIFS(Principal!O:O,Principal!R:R,A40,Principal!P:P,"Subiu")</f>
        <v>0</v>
      </c>
    </row>
    <row r="41">
      <c r="A41" s="8" t="str">
        <f>IFERROR(__xludf.DUMMYFUNCTION("""COMPUTED_VALUE"""),"Farmacêutico")</f>
        <v>Farmacêutico</v>
      </c>
      <c r="B41" s="4">
        <f>SUMIF(Principal!R:R,A41,Principal!O:O)</f>
        <v>-208257014.2</v>
      </c>
      <c r="C41" s="9">
        <f>SUMIFS(Principal!O:O,Principal!R:R,A41,Principal!P:P,"Subiu")</f>
        <v>0</v>
      </c>
    </row>
    <row r="42">
      <c r="A42" s="8" t="str">
        <f>IFERROR(__xludf.DUMMYFUNCTION("""COMPUTED_VALUE"""),"Agronegócio")</f>
        <v>Agronegócio</v>
      </c>
      <c r="B42" s="4">
        <f>SUMIF(Principal!R:R,A42,Principal!O:O)</f>
        <v>-79432785.74</v>
      </c>
      <c r="C42" s="9">
        <f>SUMIFS(Principal!O:O,Principal!R:R,A42,Principal!P:P,"Subiu")</f>
        <v>0</v>
      </c>
    </row>
    <row r="43">
      <c r="A43" s="8" t="str">
        <f>IFERROR(__xludf.DUMMYFUNCTION("""COMPUTED_VALUE"""),"Aluguel de Carros")</f>
        <v>Aluguel de Carros</v>
      </c>
      <c r="B43" s="4">
        <f>SUMIF(Principal!R:R,A43,Principal!O:O)</f>
        <v>-1807432634</v>
      </c>
      <c r="C43" s="9">
        <f>SUMIFS(Principal!O:O,Principal!R:R,A43,Principal!P:P,"Subiu")</f>
        <v>0</v>
      </c>
    </row>
    <row r="44">
      <c r="A44" s="8" t="str">
        <f>IFERROR(__xludf.DUMMYFUNCTION("""COMPUTED_VALUE"""),"Viagens")</f>
        <v>Viagens</v>
      </c>
      <c r="B44" s="4">
        <f>SUMIF(Principal!R:R,A44,Principal!O:O)</f>
        <v>-73557408.06</v>
      </c>
      <c r="C44" s="9">
        <f>SUMIFS(Principal!O:O,Principal!R:R,A44,Principal!P:P,"Subiu")</f>
        <v>0</v>
      </c>
    </row>
    <row r="45">
      <c r="A45" s="10"/>
      <c r="B45" s="11"/>
      <c r="C45" s="11"/>
    </row>
    <row r="46">
      <c r="B46" s="11"/>
      <c r="C46" s="11"/>
    </row>
    <row r="47">
      <c r="B47" s="11"/>
      <c r="C47" s="11"/>
    </row>
    <row r="48">
      <c r="B48" s="11"/>
      <c r="C48" s="11"/>
    </row>
    <row r="49">
      <c r="B49" s="11"/>
      <c r="C49" s="11"/>
    </row>
    <row r="50">
      <c r="A50" s="12" t="str">
        <f>IFERROR(__xludf.DUMMYFUNCTION("UNIQUE(Principal!P:P)"),"Resultado")</f>
        <v>Resultado</v>
      </c>
      <c r="B50" s="13" t="s">
        <v>7</v>
      </c>
      <c r="C50" s="11"/>
    </row>
    <row r="51">
      <c r="A51" s="14" t="str">
        <f>IFERROR(__xludf.DUMMYFUNCTION("""COMPUTED_VALUE"""),"Subiu")</f>
        <v>Subiu</v>
      </c>
      <c r="B51" s="2">
        <f>SUMIF(Principal!P:P,A51,Principal!O:O)</f>
        <v>19719227010</v>
      </c>
      <c r="C51" s="11"/>
    </row>
    <row r="52">
      <c r="A52" s="15" t="str">
        <f>IFERROR(__xludf.DUMMYFUNCTION("""COMPUTED_VALUE"""),"Estável")</f>
        <v>Estável</v>
      </c>
      <c r="B52" s="15">
        <f>SUMIF(Principal!P:P,A52,Principal!O:O)</f>
        <v>0</v>
      </c>
      <c r="C52" s="11"/>
    </row>
    <row r="53">
      <c r="A53" s="16" t="str">
        <f>IFERROR(__xludf.DUMMYFUNCTION("""COMPUTED_VALUE"""),"Desceu")</f>
        <v>Desceu</v>
      </c>
      <c r="B53" s="4">
        <f>SUMIF(Principal!P:P,A53,Principal!O:O)</f>
        <v>-6338819961</v>
      </c>
      <c r="C53" s="11"/>
    </row>
    <row r="54">
      <c r="A54" s="10"/>
      <c r="B54" s="2">
        <f>B51+B53</f>
        <v>13380407049</v>
      </c>
      <c r="C54" s="11"/>
    </row>
    <row r="58">
      <c r="A58" s="17" t="s">
        <v>8</v>
      </c>
      <c r="B58" s="17" t="s">
        <v>7</v>
      </c>
      <c r="C58" s="18" t="s">
        <v>9</v>
      </c>
    </row>
    <row r="59">
      <c r="A59" s="8" t="str">
        <f>IFERROR(__xludf.DUMMYFUNCTION("UNIQUE(Principal!T2:T82)"),"Entre 50 e 100")</f>
        <v>Entre 50 e 100</v>
      </c>
      <c r="B59" s="2">
        <f>sumif(Principal!T:T,A59,Principal!O:O)</f>
        <v>15391979607</v>
      </c>
      <c r="C59" s="8">
        <f>COUNTIF(Principal!T:T,A59)</f>
        <v>27</v>
      </c>
    </row>
    <row r="60">
      <c r="A60" s="8" t="str">
        <f>IFERROR(__xludf.DUMMYFUNCTION("""COMPUTED_VALUE"""),"Mais de 100 anos")</f>
        <v>Mais de 100 anos</v>
      </c>
      <c r="B60" s="4">
        <f>sumif(Principal!T:T,A60,Principal!O:O)</f>
        <v>-1028692675</v>
      </c>
      <c r="C60" s="8">
        <f>COUNTIF(Principal!T:T,A60)</f>
        <v>15</v>
      </c>
    </row>
    <row r="61">
      <c r="A61" s="8" t="str">
        <f>IFERROR(__xludf.DUMMYFUNCTION("""COMPUTED_VALUE"""),"Menos de 50 anos")</f>
        <v>Menos de 50 anos</v>
      </c>
      <c r="B61" s="4">
        <f>sumif(Principal!T:T,A61,Principal!O:O)</f>
        <v>-982879884.1</v>
      </c>
      <c r="C61" s="8">
        <f>COUNTIF(Principal!T:T,A61)</f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5"/>
    <col customWidth="1" min="3" max="3" width="13.63"/>
  </cols>
  <sheetData>
    <row r="1">
      <c r="A1" s="19" t="s">
        <v>10</v>
      </c>
      <c r="B1" s="19" t="s">
        <v>11</v>
      </c>
      <c r="C1" s="20" t="s">
        <v>12</v>
      </c>
      <c r="D1" s="21"/>
    </row>
    <row r="2">
      <c r="A2" s="22" t="s">
        <v>13</v>
      </c>
      <c r="B2" s="22" t="s">
        <v>14</v>
      </c>
      <c r="C2" s="23">
        <v>62.0</v>
      </c>
    </row>
    <row r="3">
      <c r="A3" s="22" t="s">
        <v>15</v>
      </c>
      <c r="B3" s="22" t="s">
        <v>16</v>
      </c>
      <c r="C3" s="23">
        <v>78.0</v>
      </c>
    </row>
    <row r="4">
      <c r="A4" s="22" t="s">
        <v>17</v>
      </c>
      <c r="B4" s="22" t="s">
        <v>18</v>
      </c>
      <c r="C4" s="23">
        <v>68.0</v>
      </c>
    </row>
    <row r="5">
      <c r="A5" s="22" t="s">
        <v>19</v>
      </c>
      <c r="B5" s="22" t="s">
        <v>20</v>
      </c>
      <c r="C5" s="23">
        <v>97.0</v>
      </c>
    </row>
    <row r="6">
      <c r="A6" s="22" t="s">
        <v>21</v>
      </c>
      <c r="B6" s="22" t="s">
        <v>22</v>
      </c>
      <c r="C6" s="23">
        <v>109.0</v>
      </c>
    </row>
    <row r="7">
      <c r="A7" s="22" t="s">
        <v>23</v>
      </c>
      <c r="B7" s="22" t="s">
        <v>18</v>
      </c>
      <c r="C7" s="23">
        <v>6.0</v>
      </c>
    </row>
    <row r="8">
      <c r="A8" s="22" t="s">
        <v>17</v>
      </c>
      <c r="B8" s="22" t="s">
        <v>18</v>
      </c>
      <c r="C8" s="23">
        <v>68.0</v>
      </c>
    </row>
    <row r="9">
      <c r="A9" s="22" t="s">
        <v>24</v>
      </c>
      <c r="B9" s="22" t="s">
        <v>16</v>
      </c>
      <c r="C9" s="23">
        <v>80.0</v>
      </c>
    </row>
    <row r="10">
      <c r="A10" s="22" t="s">
        <v>25</v>
      </c>
      <c r="B10" s="22" t="s">
        <v>26</v>
      </c>
      <c r="C10" s="23">
        <v>49.0</v>
      </c>
    </row>
    <row r="11">
      <c r="A11" s="22" t="s">
        <v>27</v>
      </c>
      <c r="B11" s="22" t="s">
        <v>28</v>
      </c>
      <c r="C11" s="23">
        <v>97.0</v>
      </c>
    </row>
    <row r="12">
      <c r="A12" s="22" t="s">
        <v>29</v>
      </c>
      <c r="B12" s="22" t="s">
        <v>30</v>
      </c>
      <c r="C12" s="23">
        <v>45.0</v>
      </c>
    </row>
    <row r="13">
      <c r="A13" s="22" t="s">
        <v>31</v>
      </c>
      <c r="B13" s="22" t="s">
        <v>32</v>
      </c>
      <c r="C13" s="23">
        <v>19.0</v>
      </c>
    </row>
    <row r="14">
      <c r="A14" s="22" t="s">
        <v>33</v>
      </c>
      <c r="B14" s="22" t="s">
        <v>34</v>
      </c>
      <c r="C14" s="23">
        <v>14.0</v>
      </c>
    </row>
    <row r="15">
      <c r="A15" s="22" t="s">
        <v>35</v>
      </c>
      <c r="B15" s="22" t="s">
        <v>18</v>
      </c>
      <c r="C15" s="23">
        <v>12.0</v>
      </c>
    </row>
    <row r="16">
      <c r="A16" s="22" t="s">
        <v>36</v>
      </c>
      <c r="B16" s="22" t="s">
        <v>22</v>
      </c>
      <c r="C16" s="23">
        <v>24.0</v>
      </c>
    </row>
    <row r="17">
      <c r="A17" s="22" t="s">
        <v>37</v>
      </c>
      <c r="B17" s="22" t="s">
        <v>14</v>
      </c>
      <c r="C17" s="23">
        <v>81.0</v>
      </c>
    </row>
    <row r="18">
      <c r="A18" s="22" t="s">
        <v>38</v>
      </c>
      <c r="B18" s="22" t="s">
        <v>39</v>
      </c>
      <c r="C18" s="23">
        <v>54.0</v>
      </c>
    </row>
    <row r="19">
      <c r="A19" s="22" t="s">
        <v>40</v>
      </c>
      <c r="B19" s="22" t="s">
        <v>41</v>
      </c>
      <c r="C19" s="23">
        <v>84.0</v>
      </c>
    </row>
    <row r="20">
      <c r="A20" s="22" t="s">
        <v>42</v>
      </c>
      <c r="B20" s="22" t="s">
        <v>43</v>
      </c>
      <c r="C20" s="23">
        <v>41.0</v>
      </c>
    </row>
    <row r="21">
      <c r="A21" s="22" t="s">
        <v>44</v>
      </c>
      <c r="B21" s="22" t="s">
        <v>45</v>
      </c>
      <c r="C21" s="23">
        <v>48.0</v>
      </c>
    </row>
    <row r="22">
      <c r="A22" s="22" t="s">
        <v>46</v>
      </c>
      <c r="B22" s="22" t="s">
        <v>28</v>
      </c>
      <c r="C22" s="23">
        <v>78.0</v>
      </c>
    </row>
    <row r="23">
      <c r="A23" s="22" t="s">
        <v>47</v>
      </c>
      <c r="B23" s="22" t="s">
        <v>48</v>
      </c>
      <c r="C23" s="23">
        <v>29.0</v>
      </c>
    </row>
    <row r="24">
      <c r="A24" s="22" t="s">
        <v>49</v>
      </c>
      <c r="B24" s="22" t="s">
        <v>48</v>
      </c>
      <c r="C24" s="23">
        <v>72.0</v>
      </c>
    </row>
    <row r="25">
      <c r="A25" s="22" t="s">
        <v>50</v>
      </c>
      <c r="B25" s="22" t="s">
        <v>48</v>
      </c>
      <c r="C25" s="23">
        <v>7.0</v>
      </c>
    </row>
    <row r="26">
      <c r="A26" s="22" t="s">
        <v>51</v>
      </c>
      <c r="B26" s="22" t="s">
        <v>52</v>
      </c>
      <c r="C26" s="23">
        <v>21.0</v>
      </c>
    </row>
    <row r="27">
      <c r="A27" s="22" t="s">
        <v>53</v>
      </c>
      <c r="B27" s="22" t="s">
        <v>34</v>
      </c>
      <c r="C27" s="23">
        <v>13.0</v>
      </c>
    </row>
    <row r="28">
      <c r="A28" s="22" t="s">
        <v>54</v>
      </c>
      <c r="B28" s="22" t="s">
        <v>55</v>
      </c>
      <c r="C28" s="23">
        <v>24.0</v>
      </c>
    </row>
    <row r="29">
      <c r="A29" s="22" t="s">
        <v>56</v>
      </c>
      <c r="B29" s="22" t="s">
        <v>55</v>
      </c>
      <c r="C29" s="23">
        <v>25.0</v>
      </c>
    </row>
    <row r="30">
      <c r="A30" s="22" t="s">
        <v>57</v>
      </c>
      <c r="B30" s="22" t="s">
        <v>52</v>
      </c>
      <c r="C30" s="23">
        <v>25.0</v>
      </c>
    </row>
    <row r="31">
      <c r="A31" s="22" t="s">
        <v>58</v>
      </c>
      <c r="B31" s="22" t="s">
        <v>59</v>
      </c>
      <c r="C31" s="23">
        <v>22.0</v>
      </c>
    </row>
    <row r="32">
      <c r="A32" s="22" t="s">
        <v>60</v>
      </c>
      <c r="B32" s="22" t="s">
        <v>61</v>
      </c>
      <c r="C32" s="23">
        <v>24.0</v>
      </c>
    </row>
    <row r="33">
      <c r="A33" s="22" t="s">
        <v>62</v>
      </c>
      <c r="B33" s="22" t="s">
        <v>18</v>
      </c>
      <c r="C33" s="23">
        <v>5.0</v>
      </c>
    </row>
    <row r="34">
      <c r="A34" s="22" t="s">
        <v>63</v>
      </c>
      <c r="B34" s="22" t="s">
        <v>59</v>
      </c>
      <c r="C34" s="23">
        <v>54.0</v>
      </c>
    </row>
    <row r="35">
      <c r="A35" s="22" t="s">
        <v>64</v>
      </c>
      <c r="B35" s="22" t="s">
        <v>28</v>
      </c>
      <c r="C35" s="23">
        <v>213.0</v>
      </c>
    </row>
    <row r="36">
      <c r="A36" s="22" t="s">
        <v>65</v>
      </c>
      <c r="B36" s="22" t="s">
        <v>66</v>
      </c>
      <c r="C36" s="23">
        <v>116.0</v>
      </c>
    </row>
    <row r="37">
      <c r="A37" s="22" t="s">
        <v>67</v>
      </c>
      <c r="B37" s="22" t="s">
        <v>14</v>
      </c>
      <c r="C37" s="23">
        <v>120.0</v>
      </c>
    </row>
    <row r="38">
      <c r="A38" s="22" t="s">
        <v>68</v>
      </c>
      <c r="B38" s="22" t="s">
        <v>22</v>
      </c>
      <c r="C38" s="23">
        <v>18.0</v>
      </c>
    </row>
    <row r="39">
      <c r="A39" s="22" t="s">
        <v>69</v>
      </c>
      <c r="B39" s="22" t="s">
        <v>48</v>
      </c>
      <c r="C39" s="23">
        <v>69.0</v>
      </c>
    </row>
    <row r="40">
      <c r="A40" s="22" t="s">
        <v>70</v>
      </c>
      <c r="B40" s="22" t="s">
        <v>71</v>
      </c>
      <c r="C40" s="23">
        <v>64.0</v>
      </c>
    </row>
    <row r="41">
      <c r="A41" s="22" t="s">
        <v>46</v>
      </c>
      <c r="B41" s="22" t="s">
        <v>28</v>
      </c>
      <c r="C41" s="23">
        <v>78.0</v>
      </c>
    </row>
    <row r="42">
      <c r="A42" s="22" t="s">
        <v>72</v>
      </c>
      <c r="B42" s="22" t="s">
        <v>14</v>
      </c>
      <c r="C42" s="23">
        <v>120.0</v>
      </c>
    </row>
    <row r="43">
      <c r="A43" s="22" t="s">
        <v>73</v>
      </c>
      <c r="B43" s="22" t="s">
        <v>22</v>
      </c>
      <c r="C43" s="23">
        <v>10.0</v>
      </c>
    </row>
    <row r="44">
      <c r="A44" s="22" t="s">
        <v>74</v>
      </c>
      <c r="B44" s="22" t="s">
        <v>22</v>
      </c>
      <c r="C44" s="23">
        <v>65.0</v>
      </c>
    </row>
    <row r="45">
      <c r="A45" s="22" t="s">
        <v>75</v>
      </c>
      <c r="B45" s="22" t="s">
        <v>76</v>
      </c>
      <c r="C45" s="23">
        <v>46.0</v>
      </c>
    </row>
    <row r="46">
      <c r="A46" s="22" t="s">
        <v>77</v>
      </c>
      <c r="B46" s="22" t="s">
        <v>48</v>
      </c>
      <c r="C46" s="23">
        <v>13.0</v>
      </c>
    </row>
    <row r="47">
      <c r="A47" s="22" t="s">
        <v>78</v>
      </c>
      <c r="B47" s="22" t="s">
        <v>48</v>
      </c>
      <c r="C47" s="23">
        <v>32.0</v>
      </c>
    </row>
    <row r="48">
      <c r="A48" s="22" t="s">
        <v>79</v>
      </c>
      <c r="B48" s="22" t="s">
        <v>80</v>
      </c>
      <c r="C48" s="23">
        <v>10.0</v>
      </c>
    </row>
    <row r="49">
      <c r="A49" s="22" t="s">
        <v>81</v>
      </c>
      <c r="B49" s="22" t="s">
        <v>82</v>
      </c>
      <c r="C49" s="23">
        <v>48.0</v>
      </c>
    </row>
    <row r="50">
      <c r="A50" s="22" t="s">
        <v>83</v>
      </c>
      <c r="B50" s="22" t="s">
        <v>61</v>
      </c>
      <c r="C50" s="23">
        <v>55.0</v>
      </c>
    </row>
    <row r="51">
      <c r="A51" s="22" t="s">
        <v>84</v>
      </c>
      <c r="B51" s="22" t="s">
        <v>22</v>
      </c>
      <c r="C51" s="23">
        <v>70.0</v>
      </c>
    </row>
    <row r="52">
      <c r="A52" s="22" t="s">
        <v>85</v>
      </c>
      <c r="B52" s="22" t="s">
        <v>22</v>
      </c>
      <c r="C52" s="23">
        <v>59.0</v>
      </c>
    </row>
    <row r="53">
      <c r="A53" s="22" t="s">
        <v>86</v>
      </c>
      <c r="B53" s="22" t="s">
        <v>22</v>
      </c>
      <c r="C53" s="23">
        <v>19.0</v>
      </c>
    </row>
    <row r="54">
      <c r="A54" s="22" t="s">
        <v>87</v>
      </c>
      <c r="B54" s="22" t="s">
        <v>61</v>
      </c>
      <c r="C54" s="23">
        <v>56.0</v>
      </c>
    </row>
    <row r="55">
      <c r="A55" s="22" t="s">
        <v>88</v>
      </c>
      <c r="B55" s="22" t="s">
        <v>89</v>
      </c>
      <c r="C55" s="23">
        <v>44.0</v>
      </c>
    </row>
    <row r="56">
      <c r="A56" s="22" t="s">
        <v>90</v>
      </c>
      <c r="B56" s="22" t="s">
        <v>22</v>
      </c>
      <c r="C56" s="23">
        <v>5.0</v>
      </c>
    </row>
    <row r="57">
      <c r="A57" s="22" t="s">
        <v>91</v>
      </c>
      <c r="B57" s="22" t="s">
        <v>76</v>
      </c>
      <c r="C57" s="23">
        <v>22.0</v>
      </c>
    </row>
    <row r="58">
      <c r="A58" s="22" t="s">
        <v>92</v>
      </c>
      <c r="B58" s="22" t="s">
        <v>39</v>
      </c>
      <c r="C58" s="23">
        <v>10.0</v>
      </c>
    </row>
    <row r="59">
      <c r="A59" s="22" t="s">
        <v>93</v>
      </c>
      <c r="B59" s="22" t="s">
        <v>22</v>
      </c>
      <c r="C59" s="23">
        <v>24.0</v>
      </c>
    </row>
    <row r="60">
      <c r="A60" s="22" t="s">
        <v>94</v>
      </c>
      <c r="B60" s="22" t="s">
        <v>22</v>
      </c>
      <c r="C60" s="23">
        <v>23.0</v>
      </c>
    </row>
    <row r="61">
      <c r="A61" s="22" t="s">
        <v>95</v>
      </c>
      <c r="B61" s="22" t="s">
        <v>22</v>
      </c>
      <c r="C61" s="23">
        <v>9.0</v>
      </c>
    </row>
    <row r="62">
      <c r="A62" s="22" t="s">
        <v>96</v>
      </c>
      <c r="B62" s="22" t="s">
        <v>80</v>
      </c>
      <c r="C62" s="23">
        <v>82.0</v>
      </c>
    </row>
    <row r="63">
      <c r="A63" s="22" t="s">
        <v>85</v>
      </c>
      <c r="B63" s="22" t="s">
        <v>22</v>
      </c>
      <c r="C63" s="23">
        <v>59.0</v>
      </c>
    </row>
    <row r="64">
      <c r="A64" s="22" t="s">
        <v>97</v>
      </c>
      <c r="B64" s="22" t="s">
        <v>98</v>
      </c>
      <c r="C64" s="23">
        <v>10.0</v>
      </c>
    </row>
    <row r="65">
      <c r="A65" s="22" t="s">
        <v>99</v>
      </c>
      <c r="B65" s="22" t="s">
        <v>43</v>
      </c>
      <c r="C65" s="23">
        <v>44.0</v>
      </c>
    </row>
    <row r="66">
      <c r="A66" s="22" t="s">
        <v>100</v>
      </c>
      <c r="B66" s="22" t="s">
        <v>30</v>
      </c>
      <c r="C66" s="23">
        <v>94.0</v>
      </c>
    </row>
    <row r="67">
      <c r="A67" s="22" t="s">
        <v>101</v>
      </c>
      <c r="B67" s="22" t="s">
        <v>71</v>
      </c>
      <c r="C67" s="23">
        <v>41.0</v>
      </c>
    </row>
    <row r="68">
      <c r="A68" s="22" t="s">
        <v>102</v>
      </c>
      <c r="B68" s="22" t="s">
        <v>45</v>
      </c>
      <c r="C68" s="23">
        <v>114.0</v>
      </c>
    </row>
    <row r="69">
      <c r="A69" s="22" t="s">
        <v>103</v>
      </c>
      <c r="B69" s="22" t="s">
        <v>43</v>
      </c>
      <c r="C69" s="23">
        <v>58.0</v>
      </c>
    </row>
    <row r="70">
      <c r="A70" s="22" t="s">
        <v>104</v>
      </c>
      <c r="B70" s="22" t="s">
        <v>105</v>
      </c>
      <c r="C70" s="23">
        <v>53.0</v>
      </c>
    </row>
    <row r="71">
      <c r="A71" s="22" t="s">
        <v>106</v>
      </c>
      <c r="B71" s="22" t="s">
        <v>107</v>
      </c>
      <c r="C71" s="23">
        <v>56.0</v>
      </c>
    </row>
    <row r="72">
      <c r="A72" s="22" t="s">
        <v>108</v>
      </c>
      <c r="B72" s="22" t="s">
        <v>109</v>
      </c>
      <c r="C72" s="23">
        <v>49.0</v>
      </c>
    </row>
    <row r="73">
      <c r="A73" s="22" t="s">
        <v>110</v>
      </c>
      <c r="B73" s="22" t="s">
        <v>111</v>
      </c>
      <c r="C73" s="23">
        <v>125.0</v>
      </c>
    </row>
    <row r="74">
      <c r="A74" s="22" t="s">
        <v>112</v>
      </c>
      <c r="B74" s="22" t="s">
        <v>113</v>
      </c>
      <c r="C74" s="23">
        <v>20.0</v>
      </c>
    </row>
    <row r="75">
      <c r="A75" s="22" t="s">
        <v>114</v>
      </c>
      <c r="B75" s="22" t="s">
        <v>115</v>
      </c>
      <c r="C75" s="23">
        <v>82.0</v>
      </c>
    </row>
    <row r="76">
      <c r="A76" s="22" t="s">
        <v>116</v>
      </c>
      <c r="B76" s="22" t="s">
        <v>30</v>
      </c>
      <c r="C76" s="23">
        <v>44.0</v>
      </c>
    </row>
    <row r="77">
      <c r="A77" s="22" t="s">
        <v>117</v>
      </c>
      <c r="B77" s="22" t="s">
        <v>71</v>
      </c>
      <c r="C77" s="23">
        <v>54.0</v>
      </c>
    </row>
    <row r="78">
      <c r="A78" s="22" t="s">
        <v>118</v>
      </c>
      <c r="B78" s="22" t="s">
        <v>71</v>
      </c>
      <c r="C78" s="23">
        <v>35.0</v>
      </c>
    </row>
    <row r="79">
      <c r="A79" s="22" t="s">
        <v>119</v>
      </c>
      <c r="B79" s="22" t="s">
        <v>71</v>
      </c>
      <c r="C79" s="23">
        <v>94.0</v>
      </c>
    </row>
    <row r="80">
      <c r="A80" s="22" t="s">
        <v>120</v>
      </c>
      <c r="B80" s="22" t="s">
        <v>121</v>
      </c>
      <c r="C80" s="23">
        <v>48.0</v>
      </c>
    </row>
    <row r="81">
      <c r="A81" s="22" t="s">
        <v>122</v>
      </c>
      <c r="B81" s="22" t="s">
        <v>123</v>
      </c>
      <c r="C81" s="23">
        <v>49.0</v>
      </c>
    </row>
    <row r="82">
      <c r="A82" s="22" t="s">
        <v>124</v>
      </c>
      <c r="B82" s="22" t="s">
        <v>34</v>
      </c>
      <c r="C82" s="23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4" t="s">
        <v>125</v>
      </c>
      <c r="B1" s="24" t="s">
        <v>126</v>
      </c>
    </row>
    <row r="2">
      <c r="A2" s="25" t="s">
        <v>127</v>
      </c>
      <c r="B2" s="26">
        <v>2.35665566E8</v>
      </c>
    </row>
    <row r="3">
      <c r="A3" s="25" t="s">
        <v>90</v>
      </c>
      <c r="B3" s="26">
        <v>5.32616595E8</v>
      </c>
    </row>
    <row r="4">
      <c r="A4" s="25" t="s">
        <v>128</v>
      </c>
      <c r="B4" s="26">
        <v>1.76733968E8</v>
      </c>
    </row>
    <row r="5">
      <c r="A5" s="25" t="s">
        <v>129</v>
      </c>
      <c r="B5" s="26">
        <v>4.394245879E9</v>
      </c>
    </row>
    <row r="6">
      <c r="A6" s="25" t="s">
        <v>130</v>
      </c>
      <c r="B6" s="26">
        <v>6.2305891E7</v>
      </c>
    </row>
    <row r="7">
      <c r="A7" s="25" t="s">
        <v>131</v>
      </c>
      <c r="B7" s="26">
        <v>1.349217892E9</v>
      </c>
    </row>
    <row r="8">
      <c r="A8" s="25" t="s">
        <v>132</v>
      </c>
      <c r="B8" s="26">
        <v>3.27593725E8</v>
      </c>
    </row>
    <row r="9">
      <c r="A9" s="25" t="s">
        <v>133</v>
      </c>
      <c r="B9" s="26">
        <v>5.60279011E9</v>
      </c>
    </row>
    <row r="10">
      <c r="A10" s="25" t="s">
        <v>134</v>
      </c>
      <c r="B10" s="26">
        <v>6.71750768E8</v>
      </c>
    </row>
    <row r="11">
      <c r="A11" s="25" t="s">
        <v>135</v>
      </c>
      <c r="B11" s="26">
        <v>1.500728902E9</v>
      </c>
    </row>
    <row r="12">
      <c r="A12" s="25" t="s">
        <v>136</v>
      </c>
      <c r="B12" s="26">
        <v>5.146576868E9</v>
      </c>
    </row>
    <row r="13">
      <c r="A13" s="25" t="s">
        <v>137</v>
      </c>
      <c r="B13" s="26">
        <v>2.51003438E8</v>
      </c>
    </row>
    <row r="14">
      <c r="A14" s="25" t="s">
        <v>138</v>
      </c>
      <c r="B14" s="26">
        <v>1.420949112E9</v>
      </c>
    </row>
    <row r="15">
      <c r="A15" s="25" t="s">
        <v>139</v>
      </c>
      <c r="B15" s="26">
        <v>2.65877867E8</v>
      </c>
    </row>
    <row r="16">
      <c r="A16" s="25" t="s">
        <v>140</v>
      </c>
      <c r="B16" s="26">
        <v>1.677525446E9</v>
      </c>
    </row>
    <row r="17">
      <c r="A17" s="25" t="s">
        <v>141</v>
      </c>
      <c r="B17" s="26">
        <v>1.150645866E9</v>
      </c>
    </row>
    <row r="18">
      <c r="A18" s="25" t="s">
        <v>142</v>
      </c>
      <c r="B18" s="26">
        <v>5.33990587E8</v>
      </c>
    </row>
    <row r="19">
      <c r="A19" s="25" t="s">
        <v>143</v>
      </c>
      <c r="B19" s="26">
        <v>9.4843047E7</v>
      </c>
    </row>
    <row r="20">
      <c r="A20" s="25" t="s">
        <v>144</v>
      </c>
      <c r="B20" s="26">
        <v>9.95335937E8</v>
      </c>
    </row>
    <row r="21">
      <c r="A21" s="25" t="s">
        <v>145</v>
      </c>
      <c r="B21" s="26">
        <v>1.437415777E9</v>
      </c>
    </row>
    <row r="22">
      <c r="A22" s="25" t="s">
        <v>146</v>
      </c>
      <c r="B22" s="26">
        <v>1.095462329E9</v>
      </c>
    </row>
    <row r="23">
      <c r="A23" s="25" t="s">
        <v>147</v>
      </c>
      <c r="B23" s="26">
        <v>1.81492098E9</v>
      </c>
    </row>
    <row r="24">
      <c r="A24" s="25" t="s">
        <v>148</v>
      </c>
      <c r="B24" s="26">
        <v>1.67933529E9</v>
      </c>
    </row>
    <row r="25">
      <c r="A25" s="25" t="s">
        <v>149</v>
      </c>
      <c r="B25" s="26">
        <v>1.168097881E9</v>
      </c>
    </row>
    <row r="26">
      <c r="A26" s="25" t="s">
        <v>150</v>
      </c>
      <c r="B26" s="26">
        <v>1.87732538E8</v>
      </c>
    </row>
    <row r="27">
      <c r="A27" s="25" t="s">
        <v>151</v>
      </c>
      <c r="B27" s="26">
        <v>1.110559345E9</v>
      </c>
    </row>
    <row r="28">
      <c r="A28" s="25" t="s">
        <v>152</v>
      </c>
      <c r="B28" s="26">
        <v>5.25582771E8</v>
      </c>
    </row>
    <row r="29">
      <c r="A29" s="25" t="s">
        <v>153</v>
      </c>
      <c r="B29" s="26">
        <v>2.65784616E8</v>
      </c>
    </row>
    <row r="30">
      <c r="A30" s="25" t="s">
        <v>154</v>
      </c>
      <c r="B30" s="26">
        <v>3.0276824E8</v>
      </c>
    </row>
    <row r="31">
      <c r="A31" s="25" t="s">
        <v>155</v>
      </c>
      <c r="B31" s="26">
        <v>1.980568384E9</v>
      </c>
    </row>
    <row r="32">
      <c r="A32" s="25" t="s">
        <v>156</v>
      </c>
      <c r="B32" s="26">
        <v>2.68544014E8</v>
      </c>
    </row>
    <row r="33">
      <c r="A33" s="25" t="s">
        <v>157</v>
      </c>
      <c r="B33" s="26">
        <v>7.34632705E8</v>
      </c>
    </row>
    <row r="34">
      <c r="A34" s="25" t="s">
        <v>158</v>
      </c>
      <c r="B34" s="26">
        <v>2.90386402E8</v>
      </c>
    </row>
    <row r="35">
      <c r="A35" s="25" t="s">
        <v>159</v>
      </c>
      <c r="B35" s="26">
        <v>1.579130168E9</v>
      </c>
    </row>
    <row r="36">
      <c r="A36" s="25" t="s">
        <v>160</v>
      </c>
      <c r="B36" s="26">
        <v>2.55236961E8</v>
      </c>
    </row>
    <row r="37">
      <c r="A37" s="25" t="s">
        <v>161</v>
      </c>
      <c r="B37" s="26">
        <v>1.095587251E9</v>
      </c>
    </row>
    <row r="38">
      <c r="A38" s="25" t="s">
        <v>162</v>
      </c>
      <c r="B38" s="26">
        <v>9.1514307E7</v>
      </c>
    </row>
    <row r="39">
      <c r="A39" s="25" t="s">
        <v>163</v>
      </c>
      <c r="B39" s="26">
        <v>2.40822651E8</v>
      </c>
    </row>
    <row r="40">
      <c r="A40" s="25" t="s">
        <v>164</v>
      </c>
      <c r="B40" s="26">
        <v>1.118525506E9</v>
      </c>
    </row>
    <row r="41">
      <c r="A41" s="25" t="s">
        <v>165</v>
      </c>
      <c r="B41" s="26">
        <v>6.60411219E8</v>
      </c>
    </row>
    <row r="42">
      <c r="A42" s="25" t="s">
        <v>166</v>
      </c>
      <c r="B42" s="26">
        <v>1.98184909E8</v>
      </c>
    </row>
    <row r="43">
      <c r="A43" s="25" t="s">
        <v>167</v>
      </c>
      <c r="B43" s="26">
        <v>8.46244302E8</v>
      </c>
    </row>
    <row r="44">
      <c r="A44" s="25" t="s">
        <v>168</v>
      </c>
      <c r="B44" s="26">
        <v>4.96029967E8</v>
      </c>
    </row>
    <row r="45">
      <c r="A45" s="25" t="s">
        <v>169</v>
      </c>
      <c r="B45" s="26">
        <v>4.394332306E9</v>
      </c>
    </row>
    <row r="46">
      <c r="A46" s="25" t="s">
        <v>170</v>
      </c>
      <c r="B46" s="26">
        <v>4.09490388E8</v>
      </c>
    </row>
    <row r="47">
      <c r="A47" s="25" t="s">
        <v>171</v>
      </c>
      <c r="B47" s="26">
        <v>2.17622138E8</v>
      </c>
    </row>
    <row r="48">
      <c r="A48" s="25" t="s">
        <v>172</v>
      </c>
      <c r="B48" s="26">
        <v>8.1838843E7</v>
      </c>
    </row>
    <row r="49">
      <c r="A49" s="25" t="s">
        <v>173</v>
      </c>
      <c r="B49" s="26">
        <v>5.372783971E9</v>
      </c>
    </row>
    <row r="50">
      <c r="A50" s="25" t="s">
        <v>174</v>
      </c>
      <c r="B50" s="26">
        <v>4.801593832E9</v>
      </c>
    </row>
    <row r="51">
      <c r="A51" s="25" t="s">
        <v>175</v>
      </c>
      <c r="B51" s="26">
        <v>1.134986472E9</v>
      </c>
    </row>
    <row r="52">
      <c r="A52" s="25" t="s">
        <v>176</v>
      </c>
      <c r="B52" s="26">
        <v>7.06747385E8</v>
      </c>
    </row>
    <row r="53">
      <c r="A53" s="25" t="s">
        <v>177</v>
      </c>
      <c r="B53" s="26">
        <v>8.53202347E8</v>
      </c>
    </row>
    <row r="54">
      <c r="A54" s="25" t="s">
        <v>178</v>
      </c>
      <c r="B54" s="26">
        <v>9.5132977E8</v>
      </c>
    </row>
    <row r="55">
      <c r="A55" s="25" t="s">
        <v>179</v>
      </c>
      <c r="B55" s="26">
        <v>3.93173139E8</v>
      </c>
    </row>
    <row r="56">
      <c r="A56" s="25" t="s">
        <v>180</v>
      </c>
      <c r="B56" s="26">
        <v>2.867627068E9</v>
      </c>
    </row>
    <row r="57">
      <c r="A57" s="25" t="s">
        <v>181</v>
      </c>
      <c r="B57" s="26">
        <v>3.31799687E8</v>
      </c>
    </row>
    <row r="58">
      <c r="A58" s="25" t="s">
        <v>182</v>
      </c>
      <c r="B58" s="26">
        <v>2.61036182E8</v>
      </c>
    </row>
    <row r="59">
      <c r="A59" s="25" t="s">
        <v>183</v>
      </c>
      <c r="B59" s="26">
        <v>3.76187582E8</v>
      </c>
    </row>
    <row r="60">
      <c r="A60" s="25" t="s">
        <v>184</v>
      </c>
      <c r="B60" s="26">
        <v>2.68505432E8</v>
      </c>
    </row>
    <row r="61">
      <c r="A61" s="25" t="s">
        <v>185</v>
      </c>
      <c r="B61" s="26">
        <v>1.59430826E8</v>
      </c>
    </row>
    <row r="62">
      <c r="A62" s="25" t="s">
        <v>186</v>
      </c>
      <c r="B62" s="26">
        <v>2.379877655E9</v>
      </c>
    </row>
    <row r="63">
      <c r="A63" s="25" t="s">
        <v>187</v>
      </c>
      <c r="B63" s="26">
        <v>4.566445852E9</v>
      </c>
    </row>
    <row r="64">
      <c r="A64" s="25" t="s">
        <v>188</v>
      </c>
      <c r="B64" s="26">
        <v>2.75005663E8</v>
      </c>
    </row>
    <row r="65">
      <c r="A65" s="25" t="s">
        <v>189</v>
      </c>
      <c r="B65" s="26">
        <v>8.00010734E8</v>
      </c>
    </row>
    <row r="66">
      <c r="A66" s="25" t="s">
        <v>190</v>
      </c>
      <c r="B66" s="26">
        <v>3.09729428E8</v>
      </c>
    </row>
    <row r="67">
      <c r="A67" s="25" t="s">
        <v>191</v>
      </c>
      <c r="B67" s="26">
        <v>1.275798515E9</v>
      </c>
    </row>
    <row r="68">
      <c r="A68" s="25" t="s">
        <v>192</v>
      </c>
      <c r="B68" s="26">
        <v>1.193047233E9</v>
      </c>
    </row>
    <row r="69">
      <c r="A69" s="25" t="s">
        <v>193</v>
      </c>
      <c r="B69" s="26">
        <v>1.168230366E9</v>
      </c>
    </row>
    <row r="70">
      <c r="A70" s="25" t="s">
        <v>194</v>
      </c>
      <c r="B70" s="26">
        <v>1.218352541E9</v>
      </c>
    </row>
    <row r="71">
      <c r="A71" s="25" t="s">
        <v>195</v>
      </c>
      <c r="B71" s="26">
        <v>3.40001799E8</v>
      </c>
    </row>
    <row r="72">
      <c r="A72" s="25" t="s">
        <v>196</v>
      </c>
      <c r="B72" s="26">
        <v>3.42918449E8</v>
      </c>
    </row>
    <row r="73">
      <c r="A73" s="25" t="s">
        <v>197</v>
      </c>
      <c r="B73" s="26">
        <v>1.4237733E8</v>
      </c>
    </row>
    <row r="74">
      <c r="A74" s="25" t="s">
        <v>198</v>
      </c>
      <c r="B74" s="26">
        <v>6.00865451E8</v>
      </c>
    </row>
    <row r="75">
      <c r="A75" s="25" t="s">
        <v>199</v>
      </c>
      <c r="B75" s="26">
        <v>1.9575113E8</v>
      </c>
    </row>
    <row r="76">
      <c r="A76" s="25" t="s">
        <v>200</v>
      </c>
      <c r="B76" s="26">
        <v>6.83452836E8</v>
      </c>
    </row>
    <row r="77">
      <c r="A77" s="25" t="s">
        <v>201</v>
      </c>
      <c r="B77" s="26">
        <v>2.18568234E8</v>
      </c>
    </row>
    <row r="78">
      <c r="A78" s="25" t="s">
        <v>202</v>
      </c>
      <c r="B78" s="26">
        <v>4.23091712E8</v>
      </c>
    </row>
    <row r="79">
      <c r="A79" s="25" t="s">
        <v>203</v>
      </c>
      <c r="B79" s="26">
        <v>8.07896814E8</v>
      </c>
    </row>
    <row r="80">
      <c r="A80" s="25" t="s">
        <v>204</v>
      </c>
      <c r="B80" s="26">
        <v>5.14122351E8</v>
      </c>
    </row>
    <row r="81">
      <c r="A81" s="25" t="s">
        <v>205</v>
      </c>
      <c r="B81" s="26">
        <v>3.95801044E8</v>
      </c>
    </row>
    <row r="82">
      <c r="A82" s="25" t="s">
        <v>206</v>
      </c>
      <c r="B82" s="26">
        <v>1.086411192E9</v>
      </c>
    </row>
    <row r="83">
      <c r="A83" s="25" t="s">
        <v>207</v>
      </c>
      <c r="B83" s="26">
        <v>5.15117391E8</v>
      </c>
    </row>
    <row r="84">
      <c r="A84" s="25" t="s">
        <v>208</v>
      </c>
      <c r="B84" s="26">
        <v>4.196924316E9</v>
      </c>
    </row>
    <row r="85">
      <c r="A85" s="25" t="s">
        <v>209</v>
      </c>
      <c r="B85" s="26">
        <v>4.2138333E8</v>
      </c>
    </row>
    <row r="86">
      <c r="A86" s="25" t="s">
        <v>210</v>
      </c>
      <c r="B86" s="26">
        <v>1.114412532E9</v>
      </c>
    </row>
    <row r="87">
      <c r="A87" s="25" t="s">
        <v>211</v>
      </c>
      <c r="B87" s="26">
        <v>1.481593024E9</v>
      </c>
    </row>
    <row r="88">
      <c r="A88" s="25" t="s">
        <v>212</v>
      </c>
      <c r="B88" s="26">
        <v>2.89347914E8</v>
      </c>
    </row>
    <row r="89">
      <c r="A89" s="25" t="s">
        <v>213</v>
      </c>
      <c r="B89" s="26">
        <v>9.6372098181E10</v>
      </c>
    </row>
    <row r="90">
      <c r="A90" s="25" t="s">
        <v>214</v>
      </c>
      <c r="B90" s="27">
        <v>1.70478507866643E7</v>
      </c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28"/>
      <c r="B94" s="28"/>
    </row>
    <row r="95">
      <c r="A95" s="28"/>
      <c r="B95" s="28"/>
    </row>
    <row r="96">
      <c r="A96" s="28"/>
      <c r="B96" s="28"/>
    </row>
    <row r="97">
      <c r="A97" s="28"/>
      <c r="B97" s="28"/>
    </row>
    <row r="98">
      <c r="A98" s="28"/>
      <c r="B98" s="28"/>
    </row>
    <row r="99">
      <c r="A99" s="28"/>
      <c r="B99" s="28"/>
    </row>
    <row r="100">
      <c r="A100" s="28"/>
      <c r="B100" s="28"/>
    </row>
    <row r="101">
      <c r="A101" s="28"/>
      <c r="B101" s="28"/>
    </row>
    <row r="102">
      <c r="A102" s="28"/>
      <c r="B102" s="28"/>
    </row>
    <row r="103">
      <c r="A103" s="28"/>
      <c r="B103" s="28"/>
    </row>
    <row r="104">
      <c r="A104" s="28"/>
      <c r="B104" s="28"/>
    </row>
    <row r="105">
      <c r="A105" s="28"/>
      <c r="B105" s="28"/>
    </row>
    <row r="106">
      <c r="A106" s="28"/>
      <c r="B106" s="28"/>
    </row>
    <row r="107">
      <c r="A107" s="28"/>
      <c r="B107" s="28"/>
    </row>
    <row r="108">
      <c r="A108" s="28"/>
      <c r="B108" s="28"/>
    </row>
    <row r="109">
      <c r="A109" s="28"/>
      <c r="B109" s="28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28"/>
      <c r="B118" s="28"/>
    </row>
    <row r="119">
      <c r="A119" s="28"/>
      <c r="B119" s="28"/>
    </row>
    <row r="120">
      <c r="A120" s="28"/>
      <c r="B120" s="28"/>
    </row>
    <row r="121">
      <c r="A121" s="28"/>
      <c r="B121" s="28"/>
    </row>
    <row r="122">
      <c r="A122" s="28"/>
      <c r="B122" s="28"/>
    </row>
    <row r="123">
      <c r="A123" s="28"/>
      <c r="B123" s="28"/>
    </row>
    <row r="124">
      <c r="A124" s="28"/>
      <c r="B124" s="28"/>
    </row>
    <row r="125">
      <c r="A125" s="28"/>
      <c r="B125" s="28"/>
    </row>
    <row r="126">
      <c r="A126" s="28"/>
      <c r="B126" s="28"/>
    </row>
    <row r="127">
      <c r="A127" s="28"/>
      <c r="B127" s="28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  <row r="145">
      <c r="A145" s="28"/>
      <c r="B145" s="28"/>
    </row>
    <row r="146">
      <c r="A146" s="28"/>
      <c r="B146" s="28"/>
    </row>
    <row r="147">
      <c r="A147" s="28"/>
      <c r="B147" s="28"/>
    </row>
    <row r="148">
      <c r="A148" s="28"/>
      <c r="B148" s="28"/>
    </row>
    <row r="149">
      <c r="A149" s="28"/>
      <c r="B149" s="28"/>
    </row>
    <row r="150">
      <c r="A150" s="28"/>
      <c r="B150" s="28"/>
    </row>
    <row r="151">
      <c r="A151" s="28"/>
      <c r="B151" s="28"/>
    </row>
    <row r="152">
      <c r="A152" s="28"/>
      <c r="B152" s="28"/>
    </row>
    <row r="153">
      <c r="A153" s="28"/>
      <c r="B153" s="28"/>
    </row>
    <row r="154">
      <c r="A154" s="28"/>
      <c r="B154" s="28"/>
    </row>
    <row r="155">
      <c r="A155" s="28"/>
      <c r="B155" s="28"/>
    </row>
    <row r="156">
      <c r="A156" s="28"/>
      <c r="B156" s="28"/>
    </row>
    <row r="157">
      <c r="A157" s="28"/>
      <c r="B157" s="28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28"/>
      <c r="B166" s="28"/>
    </row>
    <row r="167">
      <c r="A167" s="28"/>
      <c r="B167" s="28"/>
    </row>
    <row r="168">
      <c r="A168" s="28"/>
      <c r="B168" s="28"/>
    </row>
    <row r="169">
      <c r="A169" s="28"/>
      <c r="B169" s="28"/>
    </row>
    <row r="170">
      <c r="A170" s="28"/>
      <c r="B170" s="28"/>
    </row>
    <row r="171">
      <c r="A171" s="28"/>
      <c r="B171" s="28"/>
    </row>
    <row r="172">
      <c r="A172" s="28"/>
      <c r="B172" s="28"/>
    </row>
    <row r="173">
      <c r="A173" s="28"/>
      <c r="B173" s="28"/>
    </row>
    <row r="174">
      <c r="A174" s="28"/>
      <c r="B174" s="28"/>
    </row>
    <row r="175">
      <c r="A175" s="28"/>
      <c r="B175" s="28"/>
    </row>
    <row r="176">
      <c r="A176" s="28"/>
      <c r="B176" s="28"/>
    </row>
    <row r="177">
      <c r="A177" s="28"/>
      <c r="B177" s="28"/>
    </row>
    <row r="178">
      <c r="A178" s="28"/>
      <c r="B178" s="28"/>
    </row>
    <row r="179">
      <c r="A179" s="28"/>
      <c r="B179" s="28"/>
    </row>
    <row r="180">
      <c r="A180" s="28"/>
      <c r="B180" s="28"/>
    </row>
    <row r="181">
      <c r="A181" s="28"/>
      <c r="B181" s="28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28"/>
      <c r="B190" s="28"/>
    </row>
    <row r="191">
      <c r="A191" s="28"/>
      <c r="B191" s="28"/>
    </row>
    <row r="192">
      <c r="A192" s="28"/>
      <c r="B192" s="28"/>
    </row>
    <row r="193">
      <c r="A193" s="28"/>
      <c r="B193" s="28"/>
    </row>
    <row r="194">
      <c r="A194" s="28"/>
      <c r="B194" s="28"/>
    </row>
    <row r="195">
      <c r="A195" s="28"/>
      <c r="B195" s="28"/>
    </row>
    <row r="196">
      <c r="A196" s="28"/>
      <c r="B196" s="28"/>
    </row>
    <row r="197">
      <c r="A197" s="28"/>
      <c r="B197" s="28"/>
    </row>
    <row r="198">
      <c r="A198" s="28"/>
      <c r="B198" s="28"/>
    </row>
    <row r="199">
      <c r="A199" s="28"/>
      <c r="B199" s="28"/>
    </row>
    <row r="200">
      <c r="A200" s="28"/>
      <c r="B200" s="28"/>
    </row>
    <row r="201">
      <c r="A201" s="28"/>
      <c r="B201" s="28"/>
    </row>
    <row r="202">
      <c r="A202" s="28"/>
      <c r="B202" s="28"/>
    </row>
    <row r="203">
      <c r="A203" s="28"/>
      <c r="B203" s="28"/>
    </row>
    <row r="204">
      <c r="A204" s="28"/>
      <c r="B204" s="28"/>
    </row>
    <row r="205">
      <c r="A205" s="28"/>
      <c r="B205" s="28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28"/>
      <c r="B214" s="28"/>
    </row>
    <row r="215">
      <c r="A215" s="28"/>
      <c r="B215" s="28"/>
    </row>
    <row r="216">
      <c r="A216" s="28"/>
      <c r="B216" s="28"/>
    </row>
    <row r="217">
      <c r="A217" s="28"/>
      <c r="B217" s="28"/>
    </row>
    <row r="218">
      <c r="A218" s="28"/>
      <c r="B218" s="28"/>
    </row>
    <row r="219">
      <c r="A219" s="28"/>
      <c r="B219" s="28"/>
    </row>
    <row r="220">
      <c r="A220" s="28"/>
      <c r="B220" s="28"/>
    </row>
    <row r="221">
      <c r="A221" s="28"/>
      <c r="B221" s="28"/>
    </row>
    <row r="222">
      <c r="A222" s="28"/>
      <c r="B222" s="28"/>
    </row>
    <row r="223">
      <c r="A223" s="28"/>
      <c r="B223" s="28"/>
    </row>
    <row r="224">
      <c r="A224" s="28"/>
      <c r="B224" s="28"/>
    </row>
    <row r="225">
      <c r="A225" s="28"/>
      <c r="B225" s="28"/>
    </row>
    <row r="226">
      <c r="A226" s="28"/>
      <c r="B226" s="28"/>
    </row>
    <row r="227">
      <c r="A227" s="28"/>
      <c r="B227" s="28"/>
    </row>
    <row r="228">
      <c r="A228" s="28"/>
      <c r="B228" s="28"/>
    </row>
    <row r="229">
      <c r="A229" s="28"/>
      <c r="B229" s="28"/>
    </row>
    <row r="230">
      <c r="A230" s="28"/>
      <c r="B230" s="28"/>
    </row>
    <row r="231">
      <c r="A231" s="28"/>
      <c r="B231" s="28"/>
    </row>
    <row r="232">
      <c r="A232" s="28"/>
      <c r="B232" s="28"/>
    </row>
    <row r="233">
      <c r="A233" s="28"/>
      <c r="B233" s="28"/>
    </row>
    <row r="234">
      <c r="A234" s="28"/>
      <c r="B234" s="28"/>
    </row>
    <row r="235">
      <c r="A235" s="28"/>
      <c r="B235" s="28"/>
    </row>
    <row r="236">
      <c r="A236" s="28"/>
      <c r="B236" s="28"/>
    </row>
    <row r="237">
      <c r="A237" s="28"/>
      <c r="B237" s="28"/>
    </row>
    <row r="238">
      <c r="A238" s="28"/>
      <c r="B238" s="28"/>
    </row>
    <row r="239">
      <c r="A239" s="28"/>
      <c r="B239" s="28"/>
    </row>
    <row r="240">
      <c r="A240" s="28"/>
      <c r="B240" s="28"/>
    </row>
    <row r="241">
      <c r="A241" s="28"/>
      <c r="B241" s="28"/>
    </row>
    <row r="242">
      <c r="A242" s="28"/>
      <c r="B242" s="28"/>
    </row>
    <row r="243">
      <c r="A243" s="28"/>
      <c r="B243" s="28"/>
    </row>
    <row r="244">
      <c r="A244" s="28"/>
      <c r="B244" s="28"/>
    </row>
    <row r="245">
      <c r="A245" s="28"/>
      <c r="B245" s="28"/>
    </row>
    <row r="246">
      <c r="A246" s="28"/>
      <c r="B246" s="28"/>
    </row>
    <row r="247">
      <c r="A247" s="28"/>
      <c r="B247" s="28"/>
    </row>
    <row r="248">
      <c r="A248" s="28"/>
      <c r="B248" s="28"/>
    </row>
    <row r="249">
      <c r="A249" s="28"/>
      <c r="B249" s="28"/>
    </row>
    <row r="250">
      <c r="A250" s="28"/>
      <c r="B250" s="28"/>
    </row>
    <row r="251">
      <c r="A251" s="28"/>
      <c r="B251" s="28"/>
    </row>
    <row r="252">
      <c r="A252" s="28"/>
      <c r="B252" s="28"/>
    </row>
    <row r="253">
      <c r="A253" s="28"/>
      <c r="B253" s="28"/>
    </row>
    <row r="254">
      <c r="A254" s="28"/>
      <c r="B254" s="28"/>
    </row>
    <row r="255">
      <c r="A255" s="28"/>
      <c r="B255" s="28"/>
    </row>
    <row r="256">
      <c r="A256" s="28"/>
      <c r="B256" s="28"/>
    </row>
    <row r="257">
      <c r="A257" s="28"/>
      <c r="B257" s="28"/>
    </row>
    <row r="258">
      <c r="A258" s="28"/>
      <c r="B258" s="28"/>
    </row>
    <row r="259">
      <c r="A259" s="28"/>
      <c r="B259" s="28"/>
    </row>
    <row r="260">
      <c r="A260" s="28"/>
      <c r="B260" s="28"/>
    </row>
    <row r="261">
      <c r="A261" s="28"/>
      <c r="B261" s="28"/>
    </row>
    <row r="262">
      <c r="A262" s="28"/>
      <c r="B262" s="28"/>
    </row>
    <row r="263">
      <c r="A263" s="28"/>
      <c r="B263" s="28"/>
    </row>
    <row r="264">
      <c r="A264" s="28"/>
      <c r="B264" s="28"/>
    </row>
    <row r="265">
      <c r="A265" s="28"/>
      <c r="B265" s="28"/>
    </row>
    <row r="266">
      <c r="A266" s="28"/>
      <c r="B266" s="28"/>
    </row>
    <row r="267">
      <c r="A267" s="28"/>
      <c r="B267" s="28"/>
    </row>
    <row r="268">
      <c r="A268" s="28"/>
      <c r="B268" s="28"/>
    </row>
    <row r="269">
      <c r="A269" s="28"/>
      <c r="B269" s="28"/>
    </row>
    <row r="270">
      <c r="A270" s="28"/>
      <c r="B270" s="28"/>
    </row>
    <row r="271">
      <c r="A271" s="28"/>
      <c r="B271" s="28"/>
    </row>
    <row r="272">
      <c r="A272" s="28"/>
      <c r="B272" s="28"/>
    </row>
    <row r="273">
      <c r="A273" s="28"/>
      <c r="B273" s="28"/>
    </row>
    <row r="274">
      <c r="A274" s="28"/>
      <c r="B274" s="28"/>
    </row>
    <row r="275">
      <c r="A275" s="28"/>
      <c r="B275" s="28"/>
    </row>
    <row r="276">
      <c r="A276" s="28"/>
      <c r="B276" s="28"/>
    </row>
    <row r="277">
      <c r="A277" s="28"/>
      <c r="B277" s="28"/>
    </row>
    <row r="278">
      <c r="A278" s="28"/>
      <c r="B278" s="28"/>
    </row>
    <row r="279">
      <c r="A279" s="28"/>
      <c r="B279" s="28"/>
    </row>
    <row r="280">
      <c r="A280" s="28"/>
      <c r="B280" s="28"/>
    </row>
    <row r="281">
      <c r="A281" s="28"/>
      <c r="B281" s="28"/>
    </row>
    <row r="282">
      <c r="A282" s="28"/>
      <c r="B282" s="28"/>
    </row>
    <row r="283">
      <c r="A283" s="28"/>
      <c r="B283" s="28"/>
    </row>
    <row r="284">
      <c r="A284" s="28"/>
      <c r="B284" s="28"/>
    </row>
    <row r="285">
      <c r="A285" s="28"/>
      <c r="B285" s="28"/>
    </row>
    <row r="286">
      <c r="A286" s="28"/>
      <c r="B286" s="28"/>
    </row>
    <row r="287">
      <c r="A287" s="28"/>
      <c r="B287" s="28"/>
    </row>
    <row r="288">
      <c r="A288" s="28"/>
      <c r="B288" s="28"/>
    </row>
    <row r="289">
      <c r="A289" s="28"/>
      <c r="B289" s="28"/>
    </row>
    <row r="290">
      <c r="A290" s="28"/>
      <c r="B290" s="28"/>
    </row>
    <row r="291">
      <c r="A291" s="28"/>
      <c r="B291" s="28"/>
    </row>
    <row r="292">
      <c r="A292" s="28"/>
      <c r="B292" s="28"/>
    </row>
    <row r="293">
      <c r="A293" s="28"/>
      <c r="B293" s="28"/>
    </row>
    <row r="294">
      <c r="A294" s="28"/>
      <c r="B294" s="28"/>
    </row>
    <row r="295">
      <c r="A295" s="28"/>
      <c r="B295" s="28"/>
    </row>
    <row r="296">
      <c r="A296" s="28"/>
      <c r="B296" s="28"/>
    </row>
    <row r="297">
      <c r="A297" s="28"/>
      <c r="B297" s="28"/>
    </row>
    <row r="298">
      <c r="A298" s="28"/>
      <c r="B298" s="28"/>
    </row>
    <row r="299">
      <c r="A299" s="28"/>
      <c r="B299" s="28"/>
    </row>
    <row r="300">
      <c r="A300" s="28"/>
      <c r="B300" s="28"/>
    </row>
    <row r="301">
      <c r="A301" s="28"/>
      <c r="B301" s="28"/>
    </row>
    <row r="302">
      <c r="A302" s="28"/>
      <c r="B302" s="28"/>
    </row>
    <row r="303">
      <c r="A303" s="28"/>
      <c r="B303" s="28"/>
    </row>
    <row r="304">
      <c r="A304" s="28"/>
      <c r="B304" s="28"/>
    </row>
    <row r="305">
      <c r="A305" s="28"/>
      <c r="B305" s="28"/>
    </row>
    <row r="306">
      <c r="A306" s="28"/>
      <c r="B306" s="28"/>
    </row>
    <row r="307">
      <c r="A307" s="28"/>
      <c r="B307" s="28"/>
    </row>
    <row r="308">
      <c r="A308" s="28"/>
      <c r="B308" s="28"/>
    </row>
    <row r="309">
      <c r="A309" s="28"/>
      <c r="B309" s="28"/>
    </row>
    <row r="310">
      <c r="A310" s="28"/>
      <c r="B310" s="28"/>
    </row>
    <row r="311">
      <c r="A311" s="28"/>
      <c r="B311" s="28"/>
    </row>
    <row r="312">
      <c r="A312" s="28"/>
      <c r="B312" s="28"/>
    </row>
    <row r="313">
      <c r="A313" s="28"/>
      <c r="B313" s="28"/>
    </row>
    <row r="314">
      <c r="A314" s="28"/>
      <c r="B314" s="28"/>
    </row>
    <row r="315">
      <c r="A315" s="28"/>
      <c r="B315" s="28"/>
    </row>
    <row r="316">
      <c r="A316" s="28"/>
      <c r="B316" s="28"/>
    </row>
    <row r="317">
      <c r="A317" s="28"/>
      <c r="B317" s="28"/>
    </row>
    <row r="318">
      <c r="A318" s="28"/>
      <c r="B318" s="28"/>
    </row>
    <row r="319">
      <c r="A319" s="28"/>
      <c r="B319" s="28"/>
    </row>
    <row r="320">
      <c r="A320" s="28"/>
      <c r="B320" s="28"/>
    </row>
    <row r="321">
      <c r="A321" s="28"/>
      <c r="B321" s="28"/>
    </row>
    <row r="322">
      <c r="A322" s="28"/>
      <c r="B322" s="28"/>
    </row>
    <row r="323">
      <c r="A323" s="28"/>
      <c r="B323" s="28"/>
    </row>
    <row r="324">
      <c r="A324" s="28"/>
      <c r="B324" s="28"/>
    </row>
    <row r="325">
      <c r="A325" s="28"/>
      <c r="B325" s="28"/>
    </row>
    <row r="326">
      <c r="A326" s="28"/>
      <c r="B326" s="28"/>
    </row>
    <row r="327">
      <c r="A327" s="28"/>
      <c r="B327" s="28"/>
    </row>
    <row r="328">
      <c r="A328" s="28"/>
      <c r="B328" s="28"/>
    </row>
    <row r="329">
      <c r="A329" s="28"/>
      <c r="B329" s="28"/>
    </row>
    <row r="330">
      <c r="A330" s="28"/>
      <c r="B330" s="28"/>
    </row>
    <row r="331">
      <c r="A331" s="28"/>
      <c r="B331" s="28"/>
    </row>
    <row r="332">
      <c r="A332" s="28"/>
      <c r="B332" s="28"/>
    </row>
    <row r="333">
      <c r="A333" s="28"/>
      <c r="B333" s="28"/>
    </row>
    <row r="334">
      <c r="A334" s="28"/>
      <c r="B334" s="28"/>
    </row>
    <row r="335">
      <c r="A335" s="28"/>
      <c r="B335" s="28"/>
    </row>
    <row r="336">
      <c r="A336" s="28"/>
      <c r="B336" s="28"/>
    </row>
    <row r="337">
      <c r="A337" s="28"/>
      <c r="B337" s="28"/>
    </row>
    <row r="338">
      <c r="A338" s="28"/>
      <c r="B338" s="28"/>
    </row>
    <row r="339">
      <c r="A339" s="28"/>
      <c r="B339" s="28"/>
    </row>
    <row r="340">
      <c r="A340" s="28"/>
      <c r="B340" s="28"/>
    </row>
    <row r="341">
      <c r="A341" s="28"/>
      <c r="B341" s="28"/>
    </row>
    <row r="342">
      <c r="A342" s="28"/>
      <c r="B342" s="28"/>
    </row>
    <row r="343">
      <c r="A343" s="28"/>
      <c r="B343" s="28"/>
    </row>
    <row r="344">
      <c r="A344" s="28"/>
      <c r="B344" s="28"/>
    </row>
    <row r="345">
      <c r="A345" s="28"/>
      <c r="B345" s="28"/>
    </row>
    <row r="346">
      <c r="A346" s="28"/>
      <c r="B346" s="28"/>
    </row>
    <row r="347">
      <c r="A347" s="28"/>
      <c r="B347" s="28"/>
    </row>
    <row r="348">
      <c r="A348" s="28"/>
      <c r="B348" s="28"/>
    </row>
    <row r="349">
      <c r="A349" s="28"/>
      <c r="B349" s="28"/>
    </row>
    <row r="350">
      <c r="A350" s="28"/>
      <c r="B350" s="28"/>
    </row>
    <row r="351">
      <c r="A351" s="28"/>
      <c r="B351" s="28"/>
    </row>
    <row r="352">
      <c r="A352" s="28"/>
      <c r="B352" s="28"/>
    </row>
    <row r="353">
      <c r="A353" s="28"/>
      <c r="B353" s="28"/>
    </row>
    <row r="354">
      <c r="A354" s="28"/>
      <c r="B354" s="28"/>
    </row>
    <row r="355">
      <c r="A355" s="28"/>
      <c r="B355" s="28"/>
    </row>
    <row r="356">
      <c r="A356" s="28"/>
      <c r="B356" s="28"/>
    </row>
    <row r="357">
      <c r="A357" s="28"/>
      <c r="B357" s="28"/>
    </row>
    <row r="358">
      <c r="A358" s="28"/>
      <c r="B358" s="28"/>
    </row>
    <row r="359">
      <c r="A359" s="28"/>
      <c r="B359" s="28"/>
    </row>
    <row r="360">
      <c r="A360" s="28"/>
      <c r="B360" s="28"/>
    </row>
    <row r="361">
      <c r="A361" s="28"/>
      <c r="B361" s="28"/>
    </row>
    <row r="362">
      <c r="A362" s="28"/>
      <c r="B362" s="28"/>
    </row>
    <row r="363">
      <c r="A363" s="28"/>
      <c r="B363" s="28"/>
    </row>
    <row r="364">
      <c r="A364" s="28"/>
      <c r="B364" s="28"/>
    </row>
    <row r="365">
      <c r="A365" s="28"/>
      <c r="B365" s="28"/>
    </row>
    <row r="366">
      <c r="A366" s="28"/>
      <c r="B366" s="28"/>
    </row>
    <row r="367">
      <c r="A367" s="28"/>
      <c r="B367" s="28"/>
    </row>
    <row r="368">
      <c r="A368" s="28"/>
      <c r="B368" s="28"/>
    </row>
    <row r="369">
      <c r="A369" s="28"/>
      <c r="B369" s="28"/>
    </row>
    <row r="370">
      <c r="A370" s="28"/>
      <c r="B370" s="28"/>
    </row>
    <row r="371">
      <c r="A371" s="28"/>
      <c r="B371" s="28"/>
    </row>
    <row r="372">
      <c r="A372" s="28"/>
      <c r="B372" s="28"/>
    </row>
    <row r="373">
      <c r="A373" s="28"/>
      <c r="B373" s="28"/>
    </row>
    <row r="374">
      <c r="A374" s="28"/>
      <c r="B374" s="28"/>
    </row>
    <row r="375">
      <c r="A375" s="28"/>
      <c r="B375" s="28"/>
    </row>
    <row r="376">
      <c r="A376" s="28"/>
      <c r="B376" s="28"/>
    </row>
    <row r="377">
      <c r="A377" s="28"/>
      <c r="B377" s="28"/>
    </row>
    <row r="378">
      <c r="A378" s="28"/>
      <c r="B378" s="28"/>
    </row>
    <row r="379">
      <c r="A379" s="28"/>
      <c r="B379" s="28"/>
    </row>
    <row r="380">
      <c r="A380" s="28"/>
      <c r="B380" s="28"/>
    </row>
    <row r="381">
      <c r="A381" s="28"/>
      <c r="B381" s="28"/>
    </row>
    <row r="382">
      <c r="A382" s="28"/>
      <c r="B382" s="28"/>
    </row>
    <row r="383">
      <c r="A383" s="28"/>
      <c r="B383" s="28"/>
    </row>
    <row r="384">
      <c r="A384" s="28"/>
      <c r="B384" s="28"/>
    </row>
    <row r="385">
      <c r="A385" s="28"/>
      <c r="B385" s="28"/>
    </row>
    <row r="386">
      <c r="A386" s="28"/>
      <c r="B386" s="28"/>
    </row>
    <row r="387">
      <c r="A387" s="28"/>
      <c r="B387" s="28"/>
    </row>
    <row r="388">
      <c r="A388" s="28"/>
      <c r="B388" s="28"/>
    </row>
    <row r="389">
      <c r="A389" s="28"/>
      <c r="B389" s="28"/>
    </row>
    <row r="390">
      <c r="A390" s="28"/>
      <c r="B390" s="28"/>
    </row>
    <row r="391">
      <c r="A391" s="28"/>
      <c r="B391" s="28"/>
    </row>
    <row r="392">
      <c r="A392" s="28"/>
      <c r="B392" s="28"/>
    </row>
    <row r="393">
      <c r="A393" s="28"/>
      <c r="B393" s="28"/>
    </row>
    <row r="394">
      <c r="A394" s="28"/>
      <c r="B394" s="28"/>
    </row>
    <row r="395">
      <c r="A395" s="28"/>
      <c r="B395" s="28"/>
    </row>
    <row r="396">
      <c r="A396" s="28"/>
      <c r="B396" s="28"/>
    </row>
    <row r="397">
      <c r="A397" s="28"/>
      <c r="B397" s="28"/>
    </row>
    <row r="398">
      <c r="A398" s="28"/>
      <c r="B398" s="28"/>
    </row>
    <row r="399">
      <c r="A399" s="28"/>
      <c r="B399" s="28"/>
    </row>
    <row r="400">
      <c r="A400" s="28"/>
      <c r="B400" s="28"/>
    </row>
    <row r="401">
      <c r="A401" s="28"/>
      <c r="B401" s="28"/>
    </row>
    <row r="402">
      <c r="A402" s="28"/>
      <c r="B402" s="28"/>
    </row>
    <row r="403">
      <c r="A403" s="28"/>
      <c r="B403" s="28"/>
    </row>
    <row r="404">
      <c r="A404" s="28"/>
      <c r="B404" s="28"/>
    </row>
    <row r="405">
      <c r="A405" s="28"/>
      <c r="B405" s="28"/>
    </row>
    <row r="406">
      <c r="A406" s="28"/>
      <c r="B406" s="28"/>
    </row>
    <row r="407">
      <c r="A407" s="28"/>
      <c r="B407" s="28"/>
    </row>
    <row r="408">
      <c r="A408" s="28"/>
      <c r="B408" s="28"/>
    </row>
    <row r="409">
      <c r="A409" s="28"/>
      <c r="B409" s="28"/>
    </row>
    <row r="410">
      <c r="A410" s="28"/>
      <c r="B410" s="28"/>
    </row>
    <row r="411">
      <c r="A411" s="28"/>
      <c r="B411" s="28"/>
    </row>
    <row r="412">
      <c r="A412" s="28"/>
      <c r="B412" s="28"/>
    </row>
    <row r="413">
      <c r="A413" s="28"/>
      <c r="B413" s="28"/>
    </row>
    <row r="414">
      <c r="A414" s="28"/>
      <c r="B414" s="28"/>
    </row>
    <row r="415">
      <c r="A415" s="28"/>
      <c r="B415" s="28"/>
    </row>
    <row r="416">
      <c r="A416" s="28"/>
      <c r="B416" s="28"/>
    </row>
    <row r="417">
      <c r="A417" s="28"/>
      <c r="B417" s="28"/>
    </row>
    <row r="418">
      <c r="A418" s="28"/>
      <c r="B418" s="28"/>
    </row>
    <row r="419">
      <c r="A419" s="28"/>
      <c r="B419" s="28"/>
    </row>
    <row r="420">
      <c r="A420" s="28"/>
      <c r="B420" s="28"/>
    </row>
    <row r="421">
      <c r="A421" s="28"/>
      <c r="B421" s="28"/>
    </row>
    <row r="422">
      <c r="A422" s="28"/>
      <c r="B422" s="28"/>
    </row>
    <row r="423">
      <c r="A423" s="28"/>
      <c r="B423" s="28"/>
    </row>
    <row r="424">
      <c r="A424" s="28"/>
      <c r="B424" s="28"/>
    </row>
    <row r="425">
      <c r="A425" s="28"/>
      <c r="B425" s="28"/>
    </row>
    <row r="426">
      <c r="A426" s="28"/>
      <c r="B426" s="28"/>
    </row>
    <row r="427">
      <c r="A427" s="28"/>
      <c r="B427" s="28"/>
    </row>
    <row r="428">
      <c r="A428" s="28"/>
      <c r="B428" s="28"/>
    </row>
    <row r="429">
      <c r="A429" s="28"/>
      <c r="B429" s="28"/>
    </row>
    <row r="430">
      <c r="A430" s="28"/>
      <c r="B430" s="28"/>
    </row>
    <row r="431">
      <c r="A431" s="28"/>
      <c r="B431" s="28"/>
    </row>
    <row r="432">
      <c r="A432" s="28"/>
      <c r="B432" s="28"/>
    </row>
    <row r="433">
      <c r="A433" s="28"/>
      <c r="B433" s="28"/>
    </row>
    <row r="434">
      <c r="A434" s="28"/>
      <c r="B434" s="28"/>
    </row>
    <row r="435">
      <c r="A435" s="28"/>
      <c r="B435" s="28"/>
    </row>
    <row r="436">
      <c r="A436" s="28"/>
      <c r="B436" s="28"/>
    </row>
    <row r="437">
      <c r="A437" s="28"/>
      <c r="B437" s="28"/>
    </row>
    <row r="438">
      <c r="A438" s="28"/>
      <c r="B438" s="28"/>
    </row>
    <row r="439">
      <c r="A439" s="28"/>
      <c r="B439" s="28"/>
    </row>
    <row r="440">
      <c r="A440" s="28"/>
      <c r="B440" s="28"/>
    </row>
    <row r="441">
      <c r="A441" s="28"/>
      <c r="B441" s="28"/>
    </row>
    <row r="442">
      <c r="A442" s="28"/>
      <c r="B442" s="28"/>
    </row>
    <row r="443">
      <c r="A443" s="28"/>
      <c r="B443" s="28"/>
    </row>
    <row r="444">
      <c r="A444" s="28"/>
      <c r="B444" s="28"/>
    </row>
    <row r="445">
      <c r="A445" s="28"/>
      <c r="B445" s="28"/>
    </row>
    <row r="446">
      <c r="A446" s="28"/>
      <c r="B446" s="28"/>
    </row>
    <row r="447">
      <c r="A447" s="28"/>
      <c r="B447" s="28"/>
    </row>
    <row r="448">
      <c r="A448" s="28"/>
      <c r="B448" s="28"/>
    </row>
    <row r="449">
      <c r="A449" s="28"/>
      <c r="B449" s="28"/>
    </row>
    <row r="450">
      <c r="A450" s="28"/>
      <c r="B450" s="28"/>
    </row>
    <row r="451">
      <c r="A451" s="28"/>
      <c r="B451" s="28"/>
    </row>
    <row r="452">
      <c r="A452" s="28"/>
      <c r="B452" s="28"/>
    </row>
    <row r="453">
      <c r="A453" s="28"/>
      <c r="B453" s="28"/>
    </row>
    <row r="454">
      <c r="A454" s="28"/>
      <c r="B454" s="28"/>
    </row>
    <row r="455">
      <c r="A455" s="28"/>
      <c r="B455" s="28"/>
    </row>
    <row r="456">
      <c r="A456" s="28"/>
      <c r="B456" s="28"/>
    </row>
    <row r="457">
      <c r="A457" s="28"/>
      <c r="B457" s="28"/>
    </row>
    <row r="458">
      <c r="A458" s="28"/>
      <c r="B458" s="28"/>
    </row>
    <row r="459">
      <c r="A459" s="28"/>
      <c r="B459" s="28"/>
    </row>
    <row r="460">
      <c r="A460" s="28"/>
      <c r="B460" s="28"/>
    </row>
    <row r="461">
      <c r="A461" s="28"/>
      <c r="B461" s="28"/>
    </row>
    <row r="462">
      <c r="A462" s="28"/>
      <c r="B462" s="28"/>
    </row>
    <row r="463">
      <c r="A463" s="28"/>
      <c r="B463" s="28"/>
    </row>
    <row r="464">
      <c r="A464" s="28"/>
      <c r="B464" s="28"/>
    </row>
    <row r="465">
      <c r="A465" s="28"/>
      <c r="B465" s="28"/>
    </row>
    <row r="466">
      <c r="A466" s="28"/>
      <c r="B466" s="28"/>
    </row>
    <row r="467">
      <c r="A467" s="28"/>
      <c r="B467" s="28"/>
    </row>
    <row r="468">
      <c r="A468" s="28"/>
      <c r="B468" s="28"/>
    </row>
    <row r="469">
      <c r="A469" s="28"/>
      <c r="B469" s="28"/>
    </row>
    <row r="470">
      <c r="A470" s="28"/>
      <c r="B470" s="28"/>
    </row>
    <row r="471">
      <c r="A471" s="28"/>
      <c r="B471" s="28"/>
    </row>
    <row r="472">
      <c r="A472" s="28"/>
      <c r="B472" s="28"/>
    </row>
    <row r="473">
      <c r="A473" s="28"/>
      <c r="B473" s="28"/>
    </row>
    <row r="474">
      <c r="A474" s="28"/>
      <c r="B474" s="28"/>
    </row>
    <row r="475">
      <c r="A475" s="28"/>
      <c r="B475" s="28"/>
    </row>
    <row r="476">
      <c r="A476" s="28"/>
      <c r="B476" s="28"/>
    </row>
    <row r="477">
      <c r="A477" s="28"/>
      <c r="B477" s="28"/>
    </row>
    <row r="478">
      <c r="A478" s="28"/>
      <c r="B478" s="28"/>
    </row>
    <row r="479">
      <c r="A479" s="28"/>
      <c r="B479" s="28"/>
    </row>
    <row r="480">
      <c r="A480" s="28"/>
      <c r="B480" s="28"/>
    </row>
    <row r="481">
      <c r="A481" s="28"/>
      <c r="B481" s="28"/>
    </row>
    <row r="482">
      <c r="A482" s="28"/>
      <c r="B482" s="28"/>
    </row>
    <row r="483">
      <c r="A483" s="28"/>
      <c r="B483" s="28"/>
    </row>
    <row r="484">
      <c r="A484" s="28"/>
      <c r="B484" s="28"/>
    </row>
    <row r="485">
      <c r="A485" s="28"/>
      <c r="B485" s="28"/>
    </row>
    <row r="486">
      <c r="A486" s="28"/>
      <c r="B486" s="28"/>
    </row>
    <row r="487">
      <c r="A487" s="28"/>
      <c r="B487" s="28"/>
    </row>
    <row r="488">
      <c r="A488" s="28"/>
      <c r="B488" s="28"/>
    </row>
    <row r="489">
      <c r="A489" s="28"/>
      <c r="B489" s="28"/>
    </row>
    <row r="490">
      <c r="A490" s="28"/>
      <c r="B490" s="28"/>
    </row>
    <row r="491">
      <c r="A491" s="28"/>
      <c r="B491" s="28"/>
    </row>
    <row r="492">
      <c r="A492" s="28"/>
      <c r="B492" s="28"/>
    </row>
    <row r="493">
      <c r="A493" s="28"/>
      <c r="B493" s="28"/>
    </row>
    <row r="494">
      <c r="A494" s="28"/>
      <c r="B494" s="28"/>
    </row>
    <row r="495">
      <c r="A495" s="28"/>
      <c r="B495" s="28"/>
    </row>
    <row r="496">
      <c r="A496" s="28"/>
      <c r="B496" s="28"/>
    </row>
    <row r="497">
      <c r="A497" s="28"/>
      <c r="B497" s="28"/>
    </row>
    <row r="498">
      <c r="A498" s="28"/>
      <c r="B498" s="28"/>
    </row>
    <row r="499">
      <c r="A499" s="28"/>
      <c r="B499" s="28"/>
    </row>
    <row r="500">
      <c r="A500" s="28"/>
      <c r="B500" s="28"/>
    </row>
    <row r="501">
      <c r="A501" s="28"/>
      <c r="B501" s="28"/>
    </row>
    <row r="502">
      <c r="A502" s="28"/>
      <c r="B502" s="28"/>
    </row>
    <row r="503">
      <c r="A503" s="28"/>
      <c r="B503" s="28"/>
    </row>
    <row r="504">
      <c r="A504" s="28"/>
      <c r="B504" s="28"/>
    </row>
    <row r="505">
      <c r="A505" s="28"/>
      <c r="B505" s="28"/>
    </row>
    <row r="506">
      <c r="A506" s="28"/>
      <c r="B506" s="28"/>
    </row>
    <row r="507">
      <c r="A507" s="28"/>
      <c r="B507" s="28"/>
    </row>
    <row r="508">
      <c r="A508" s="28"/>
      <c r="B508" s="28"/>
    </row>
    <row r="509">
      <c r="A509" s="28"/>
      <c r="B509" s="28"/>
    </row>
    <row r="510">
      <c r="A510" s="28"/>
      <c r="B510" s="28"/>
    </row>
    <row r="511">
      <c r="A511" s="28"/>
      <c r="B511" s="28"/>
    </row>
    <row r="512">
      <c r="A512" s="28"/>
      <c r="B512" s="28"/>
    </row>
    <row r="513">
      <c r="A513" s="28"/>
      <c r="B513" s="28"/>
    </row>
    <row r="514">
      <c r="A514" s="28"/>
      <c r="B514" s="28"/>
    </row>
    <row r="515">
      <c r="A515" s="28"/>
      <c r="B515" s="28"/>
    </row>
    <row r="516">
      <c r="A516" s="28"/>
      <c r="B516" s="28"/>
    </row>
    <row r="517">
      <c r="A517" s="28"/>
      <c r="B517" s="28"/>
    </row>
    <row r="518">
      <c r="A518" s="28"/>
      <c r="B518" s="28"/>
    </row>
    <row r="519">
      <c r="A519" s="28"/>
      <c r="B519" s="28"/>
    </row>
    <row r="520">
      <c r="A520" s="28"/>
      <c r="B520" s="28"/>
    </row>
    <row r="521">
      <c r="A521" s="28"/>
      <c r="B521" s="28"/>
    </row>
    <row r="522">
      <c r="A522" s="28"/>
      <c r="B522" s="28"/>
    </row>
    <row r="523">
      <c r="A523" s="28"/>
      <c r="B523" s="28"/>
    </row>
    <row r="524">
      <c r="A524" s="28"/>
      <c r="B524" s="28"/>
    </row>
    <row r="525">
      <c r="A525" s="28"/>
      <c r="B525" s="28"/>
    </row>
    <row r="526">
      <c r="A526" s="28"/>
      <c r="B526" s="28"/>
    </row>
    <row r="527">
      <c r="A527" s="28"/>
      <c r="B527" s="28"/>
    </row>
    <row r="528">
      <c r="A528" s="28"/>
      <c r="B528" s="28"/>
    </row>
    <row r="529">
      <c r="A529" s="28"/>
      <c r="B529" s="28"/>
    </row>
    <row r="530">
      <c r="A530" s="28"/>
      <c r="B530" s="28"/>
    </row>
    <row r="531">
      <c r="A531" s="28"/>
      <c r="B531" s="28"/>
    </row>
    <row r="532">
      <c r="A532" s="28"/>
      <c r="B532" s="28"/>
    </row>
    <row r="533">
      <c r="A533" s="28"/>
      <c r="B533" s="28"/>
    </row>
    <row r="534">
      <c r="A534" s="28"/>
      <c r="B534" s="28"/>
    </row>
    <row r="535">
      <c r="A535" s="28"/>
      <c r="B535" s="28"/>
    </row>
    <row r="536">
      <c r="A536" s="28"/>
      <c r="B536" s="28"/>
    </row>
    <row r="537">
      <c r="A537" s="28"/>
      <c r="B537" s="28"/>
    </row>
    <row r="538">
      <c r="A538" s="28"/>
      <c r="B538" s="28"/>
    </row>
    <row r="539">
      <c r="A539" s="28"/>
      <c r="B539" s="28"/>
    </row>
    <row r="540">
      <c r="A540" s="28"/>
      <c r="B540" s="28"/>
    </row>
    <row r="541">
      <c r="A541" s="28"/>
      <c r="B541" s="28"/>
    </row>
    <row r="542">
      <c r="A542" s="28"/>
      <c r="B542" s="28"/>
    </row>
    <row r="543">
      <c r="A543" s="28"/>
      <c r="B543" s="28"/>
    </row>
    <row r="544">
      <c r="A544" s="28"/>
      <c r="B544" s="28"/>
    </row>
    <row r="545">
      <c r="A545" s="28"/>
      <c r="B545" s="28"/>
    </row>
    <row r="546">
      <c r="A546" s="28"/>
      <c r="B546" s="28"/>
    </row>
    <row r="547">
      <c r="A547" s="28"/>
      <c r="B547" s="28"/>
    </row>
    <row r="548">
      <c r="A548" s="28"/>
      <c r="B548" s="28"/>
    </row>
    <row r="549">
      <c r="A549" s="28"/>
      <c r="B549" s="28"/>
    </row>
    <row r="550">
      <c r="A550" s="28"/>
      <c r="B550" s="28"/>
    </row>
    <row r="551">
      <c r="A551" s="28"/>
      <c r="B551" s="28"/>
    </row>
    <row r="552">
      <c r="A552" s="28"/>
      <c r="B552" s="28"/>
    </row>
    <row r="553">
      <c r="A553" s="28"/>
      <c r="B553" s="28"/>
    </row>
    <row r="554">
      <c r="A554" s="28"/>
      <c r="B554" s="28"/>
    </row>
    <row r="555">
      <c r="A555" s="28"/>
      <c r="B555" s="28"/>
    </row>
    <row r="556">
      <c r="A556" s="28"/>
      <c r="B556" s="28"/>
    </row>
    <row r="557">
      <c r="A557" s="28"/>
      <c r="B557" s="28"/>
    </row>
    <row r="558">
      <c r="A558" s="28"/>
      <c r="B558" s="28"/>
    </row>
    <row r="559">
      <c r="A559" s="28"/>
      <c r="B559" s="28"/>
    </row>
    <row r="560">
      <c r="A560" s="28"/>
      <c r="B560" s="28"/>
    </row>
    <row r="561">
      <c r="A561" s="28"/>
      <c r="B561" s="28"/>
    </row>
    <row r="562">
      <c r="A562" s="28"/>
      <c r="B562" s="28"/>
    </row>
    <row r="563">
      <c r="A563" s="28"/>
      <c r="B563" s="28"/>
    </row>
    <row r="564">
      <c r="A564" s="28"/>
      <c r="B564" s="28"/>
    </row>
    <row r="565">
      <c r="A565" s="28"/>
      <c r="B565" s="28"/>
    </row>
    <row r="566">
      <c r="A566" s="28"/>
      <c r="B566" s="28"/>
    </row>
    <row r="567">
      <c r="A567" s="28"/>
      <c r="B567" s="28"/>
    </row>
    <row r="568">
      <c r="A568" s="28"/>
      <c r="B568" s="28"/>
    </row>
    <row r="569">
      <c r="A569" s="28"/>
      <c r="B569" s="28"/>
    </row>
    <row r="570">
      <c r="A570" s="28"/>
      <c r="B570" s="28"/>
    </row>
    <row r="571">
      <c r="A571" s="28"/>
      <c r="B571" s="28"/>
    </row>
    <row r="572">
      <c r="A572" s="28"/>
      <c r="B572" s="28"/>
    </row>
    <row r="573">
      <c r="A573" s="28"/>
      <c r="B573" s="28"/>
    </row>
    <row r="574">
      <c r="A574" s="28"/>
      <c r="B574" s="28"/>
    </row>
    <row r="575">
      <c r="A575" s="28"/>
      <c r="B575" s="28"/>
    </row>
    <row r="576">
      <c r="A576" s="28"/>
      <c r="B576" s="28"/>
    </row>
    <row r="577">
      <c r="A577" s="28"/>
      <c r="B577" s="28"/>
    </row>
    <row r="578">
      <c r="A578" s="28"/>
      <c r="B578" s="28"/>
    </row>
    <row r="579">
      <c r="A579" s="28"/>
      <c r="B579" s="28"/>
    </row>
    <row r="580">
      <c r="A580" s="28"/>
      <c r="B580" s="28"/>
    </row>
    <row r="581">
      <c r="A581" s="28"/>
      <c r="B581" s="28"/>
    </row>
    <row r="582">
      <c r="A582" s="28"/>
      <c r="B582" s="28"/>
    </row>
    <row r="583">
      <c r="A583" s="28"/>
      <c r="B583" s="28"/>
    </row>
    <row r="584">
      <c r="A584" s="28"/>
      <c r="B584" s="28"/>
    </row>
    <row r="585">
      <c r="A585" s="28"/>
      <c r="B585" s="28"/>
    </row>
    <row r="586">
      <c r="A586" s="28"/>
      <c r="B586" s="28"/>
    </row>
    <row r="587">
      <c r="A587" s="28"/>
      <c r="B587" s="28"/>
    </row>
    <row r="588">
      <c r="A588" s="28"/>
      <c r="B588" s="28"/>
    </row>
    <row r="589">
      <c r="A589" s="28"/>
      <c r="B589" s="28"/>
    </row>
    <row r="590">
      <c r="A590" s="28"/>
      <c r="B590" s="28"/>
    </row>
    <row r="591">
      <c r="A591" s="28"/>
      <c r="B591" s="28"/>
    </row>
    <row r="592">
      <c r="A592" s="28"/>
      <c r="B592" s="28"/>
    </row>
    <row r="593">
      <c r="A593" s="28"/>
      <c r="B593" s="28"/>
    </row>
    <row r="594">
      <c r="A594" s="28"/>
      <c r="B594" s="28"/>
    </row>
    <row r="595">
      <c r="A595" s="28"/>
      <c r="B595" s="28"/>
    </row>
    <row r="596">
      <c r="A596" s="28"/>
      <c r="B596" s="28"/>
    </row>
    <row r="597">
      <c r="A597" s="28"/>
      <c r="B597" s="28"/>
    </row>
    <row r="598">
      <c r="A598" s="28"/>
      <c r="B598" s="28"/>
    </row>
    <row r="599">
      <c r="A599" s="28"/>
      <c r="B599" s="28"/>
    </row>
    <row r="600">
      <c r="A600" s="28"/>
      <c r="B600" s="28"/>
    </row>
    <row r="601">
      <c r="A601" s="28"/>
      <c r="B601" s="28"/>
    </row>
    <row r="602">
      <c r="A602" s="28"/>
      <c r="B602" s="28"/>
    </row>
    <row r="603">
      <c r="A603" s="28"/>
      <c r="B603" s="28"/>
    </row>
    <row r="604">
      <c r="A604" s="28"/>
      <c r="B604" s="28"/>
    </row>
    <row r="605">
      <c r="A605" s="28"/>
      <c r="B605" s="28"/>
    </row>
    <row r="606">
      <c r="A606" s="28"/>
      <c r="B606" s="28"/>
    </row>
    <row r="607">
      <c r="A607" s="28"/>
      <c r="B607" s="28"/>
    </row>
    <row r="608">
      <c r="A608" s="28"/>
      <c r="B608" s="28"/>
    </row>
    <row r="609">
      <c r="A609" s="28"/>
      <c r="B609" s="28"/>
    </row>
    <row r="610">
      <c r="A610" s="28"/>
      <c r="B610" s="28"/>
    </row>
    <row r="611">
      <c r="A611" s="28"/>
      <c r="B611" s="28"/>
    </row>
    <row r="612">
      <c r="A612" s="28"/>
      <c r="B612" s="28"/>
    </row>
    <row r="613">
      <c r="A613" s="28"/>
      <c r="B613" s="28"/>
    </row>
    <row r="614">
      <c r="A614" s="28"/>
      <c r="B614" s="28"/>
    </row>
    <row r="615">
      <c r="A615" s="28"/>
      <c r="B615" s="28"/>
    </row>
    <row r="616">
      <c r="A616" s="28"/>
      <c r="B616" s="28"/>
    </row>
    <row r="617">
      <c r="A617" s="28"/>
      <c r="B617" s="28"/>
    </row>
    <row r="618">
      <c r="A618" s="28"/>
      <c r="B618" s="28"/>
    </row>
    <row r="619">
      <c r="A619" s="28"/>
      <c r="B619" s="28"/>
    </row>
    <row r="620">
      <c r="A620" s="28"/>
      <c r="B620" s="28"/>
    </row>
    <row r="621">
      <c r="A621" s="28"/>
      <c r="B621" s="28"/>
    </row>
    <row r="622">
      <c r="A622" s="28"/>
      <c r="B622" s="28"/>
    </row>
    <row r="623">
      <c r="A623" s="28"/>
      <c r="B623" s="28"/>
    </row>
    <row r="624">
      <c r="A624" s="28"/>
      <c r="B624" s="28"/>
    </row>
    <row r="625">
      <c r="A625" s="28"/>
      <c r="B625" s="28"/>
    </row>
    <row r="626">
      <c r="A626" s="28"/>
      <c r="B626" s="28"/>
    </row>
    <row r="627">
      <c r="A627" s="28"/>
      <c r="B627" s="28"/>
    </row>
    <row r="628">
      <c r="A628" s="28"/>
      <c r="B628" s="28"/>
    </row>
    <row r="629">
      <c r="A629" s="28"/>
      <c r="B629" s="28"/>
    </row>
    <row r="630">
      <c r="A630" s="28"/>
      <c r="B630" s="28"/>
    </row>
    <row r="631">
      <c r="A631" s="28"/>
      <c r="B631" s="28"/>
    </row>
    <row r="632">
      <c r="A632" s="28"/>
      <c r="B632" s="28"/>
    </row>
    <row r="633">
      <c r="A633" s="28"/>
      <c r="B633" s="28"/>
    </row>
    <row r="634">
      <c r="A634" s="28"/>
      <c r="B634" s="28"/>
    </row>
    <row r="635">
      <c r="A635" s="28"/>
      <c r="B635" s="28"/>
    </row>
    <row r="636">
      <c r="A636" s="28"/>
      <c r="B636" s="28"/>
    </row>
    <row r="637">
      <c r="A637" s="28"/>
      <c r="B637" s="28"/>
    </row>
    <row r="638">
      <c r="A638" s="28"/>
      <c r="B638" s="28"/>
    </row>
    <row r="639">
      <c r="A639" s="28"/>
      <c r="B639" s="28"/>
    </row>
    <row r="640">
      <c r="A640" s="28"/>
      <c r="B640" s="28"/>
    </row>
    <row r="641">
      <c r="A641" s="28"/>
      <c r="B641" s="28"/>
    </row>
    <row r="642">
      <c r="A642" s="28"/>
      <c r="B642" s="28"/>
    </row>
    <row r="643">
      <c r="A643" s="28"/>
      <c r="B643" s="28"/>
    </row>
    <row r="644">
      <c r="A644" s="28"/>
      <c r="B644" s="28"/>
    </row>
    <row r="645">
      <c r="A645" s="28"/>
      <c r="B645" s="28"/>
    </row>
    <row r="646">
      <c r="A646" s="28"/>
      <c r="B646" s="28"/>
    </row>
    <row r="647">
      <c r="A647" s="28"/>
      <c r="B647" s="28"/>
    </row>
    <row r="648">
      <c r="A648" s="28"/>
      <c r="B648" s="28"/>
    </row>
    <row r="649">
      <c r="A649" s="28"/>
      <c r="B649" s="28"/>
    </row>
    <row r="650">
      <c r="A650" s="28"/>
      <c r="B650" s="28"/>
    </row>
    <row r="651">
      <c r="A651" s="28"/>
      <c r="B651" s="28"/>
    </row>
    <row r="652">
      <c r="A652" s="28"/>
      <c r="B652" s="28"/>
    </row>
    <row r="653">
      <c r="A653" s="28"/>
      <c r="B653" s="28"/>
    </row>
    <row r="654">
      <c r="A654" s="28"/>
      <c r="B654" s="28"/>
    </row>
    <row r="655">
      <c r="A655" s="28"/>
      <c r="B655" s="28"/>
    </row>
    <row r="656">
      <c r="A656" s="28"/>
      <c r="B656" s="28"/>
    </row>
    <row r="657">
      <c r="A657" s="28"/>
      <c r="B657" s="28"/>
    </row>
    <row r="658">
      <c r="A658" s="28"/>
      <c r="B658" s="28"/>
    </row>
    <row r="659">
      <c r="A659" s="28"/>
      <c r="B659" s="28"/>
    </row>
    <row r="660">
      <c r="A660" s="28"/>
      <c r="B660" s="28"/>
    </row>
    <row r="661">
      <c r="A661" s="28"/>
      <c r="B661" s="28"/>
    </row>
    <row r="662">
      <c r="A662" s="28"/>
      <c r="B662" s="28"/>
    </row>
    <row r="663">
      <c r="A663" s="28"/>
      <c r="B663" s="28"/>
    </row>
    <row r="664">
      <c r="A664" s="28"/>
      <c r="B664" s="28"/>
    </row>
    <row r="665">
      <c r="A665" s="28"/>
      <c r="B665" s="28"/>
    </row>
    <row r="666">
      <c r="A666" s="28"/>
      <c r="B666" s="28"/>
    </row>
    <row r="667">
      <c r="A667" s="28"/>
      <c r="B667" s="28"/>
    </row>
    <row r="668">
      <c r="A668" s="28"/>
      <c r="B668" s="28"/>
    </row>
    <row r="669">
      <c r="A669" s="28"/>
      <c r="B669" s="28"/>
    </row>
    <row r="670">
      <c r="A670" s="28"/>
      <c r="B670" s="28"/>
    </row>
    <row r="671">
      <c r="A671" s="28"/>
      <c r="B671" s="28"/>
    </row>
    <row r="672">
      <c r="A672" s="28"/>
      <c r="B672" s="28"/>
    </row>
    <row r="673">
      <c r="A673" s="28"/>
      <c r="B673" s="28"/>
    </row>
    <row r="674">
      <c r="A674" s="28"/>
      <c r="B674" s="28"/>
    </row>
    <row r="675">
      <c r="A675" s="28"/>
      <c r="B675" s="28"/>
    </row>
    <row r="676">
      <c r="A676" s="28"/>
      <c r="B676" s="28"/>
    </row>
    <row r="677">
      <c r="A677" s="28"/>
      <c r="B677" s="28"/>
    </row>
    <row r="678">
      <c r="A678" s="28"/>
      <c r="B678" s="28"/>
    </row>
    <row r="679">
      <c r="A679" s="28"/>
      <c r="B679" s="28"/>
    </row>
    <row r="680">
      <c r="A680" s="28"/>
      <c r="B680" s="28"/>
    </row>
    <row r="681">
      <c r="A681" s="28"/>
      <c r="B681" s="28"/>
    </row>
    <row r="682">
      <c r="A682" s="28"/>
      <c r="B682" s="28"/>
    </row>
    <row r="683">
      <c r="A683" s="28"/>
      <c r="B683" s="28"/>
    </row>
    <row r="684">
      <c r="A684" s="28"/>
      <c r="B684" s="28"/>
    </row>
    <row r="685">
      <c r="A685" s="28"/>
      <c r="B685" s="28"/>
    </row>
    <row r="686">
      <c r="A686" s="28"/>
      <c r="B686" s="28"/>
    </row>
    <row r="687">
      <c r="A687" s="28"/>
      <c r="B687" s="28"/>
    </row>
    <row r="688">
      <c r="A688" s="28"/>
      <c r="B688" s="28"/>
    </row>
    <row r="689">
      <c r="A689" s="28"/>
      <c r="B689" s="28"/>
    </row>
    <row r="690">
      <c r="A690" s="28"/>
      <c r="B690" s="28"/>
    </row>
    <row r="691">
      <c r="A691" s="28"/>
      <c r="B691" s="28"/>
    </row>
    <row r="692">
      <c r="A692" s="28"/>
      <c r="B692" s="28"/>
    </row>
    <row r="693">
      <c r="A693" s="28"/>
      <c r="B693" s="28"/>
    </row>
    <row r="694">
      <c r="A694" s="28"/>
      <c r="B694" s="28"/>
    </row>
    <row r="695">
      <c r="A695" s="28"/>
      <c r="B695" s="28"/>
    </row>
    <row r="696">
      <c r="A696" s="28"/>
      <c r="B696" s="28"/>
    </row>
    <row r="697">
      <c r="A697" s="28"/>
      <c r="B697" s="28"/>
    </row>
    <row r="698">
      <c r="A698" s="28"/>
      <c r="B698" s="28"/>
    </row>
    <row r="699">
      <c r="A699" s="28"/>
      <c r="B699" s="28"/>
    </row>
    <row r="700">
      <c r="A700" s="28"/>
      <c r="B700" s="28"/>
    </row>
    <row r="701">
      <c r="A701" s="28"/>
      <c r="B701" s="28"/>
    </row>
    <row r="702">
      <c r="A702" s="28"/>
      <c r="B702" s="28"/>
    </row>
    <row r="703">
      <c r="A703" s="28"/>
      <c r="B703" s="28"/>
    </row>
    <row r="704">
      <c r="A704" s="28"/>
      <c r="B704" s="28"/>
    </row>
    <row r="705">
      <c r="A705" s="28"/>
      <c r="B705" s="28"/>
    </row>
    <row r="706">
      <c r="A706" s="28"/>
      <c r="B706" s="28"/>
    </row>
    <row r="707">
      <c r="A707" s="28"/>
      <c r="B707" s="28"/>
    </row>
    <row r="708">
      <c r="A708" s="28"/>
      <c r="B708" s="28"/>
    </row>
    <row r="709">
      <c r="A709" s="28"/>
      <c r="B709" s="28"/>
    </row>
    <row r="710">
      <c r="A710" s="28"/>
      <c r="B710" s="28"/>
    </row>
    <row r="711">
      <c r="A711" s="28"/>
      <c r="B711" s="28"/>
    </row>
    <row r="712">
      <c r="A712" s="28"/>
      <c r="B712" s="28"/>
    </row>
    <row r="713">
      <c r="A713" s="28"/>
      <c r="B713" s="28"/>
    </row>
    <row r="714">
      <c r="A714" s="28"/>
      <c r="B714" s="28"/>
    </row>
    <row r="715">
      <c r="A715" s="28"/>
      <c r="B715" s="28"/>
    </row>
    <row r="716">
      <c r="A716" s="28"/>
      <c r="B716" s="28"/>
    </row>
    <row r="717">
      <c r="A717" s="28"/>
      <c r="B717" s="28"/>
    </row>
    <row r="718">
      <c r="A718" s="28"/>
      <c r="B718" s="28"/>
    </row>
    <row r="719">
      <c r="A719" s="28"/>
      <c r="B719" s="28"/>
    </row>
    <row r="720">
      <c r="A720" s="28"/>
      <c r="B720" s="28"/>
    </row>
    <row r="721">
      <c r="A721" s="28"/>
      <c r="B721" s="28"/>
    </row>
    <row r="722">
      <c r="A722" s="28"/>
      <c r="B722" s="28"/>
    </row>
    <row r="723">
      <c r="A723" s="28"/>
      <c r="B723" s="28"/>
    </row>
    <row r="724">
      <c r="A724" s="28"/>
      <c r="B724" s="28"/>
    </row>
    <row r="725">
      <c r="A725" s="28"/>
      <c r="B725" s="28"/>
    </row>
    <row r="726">
      <c r="A726" s="28"/>
      <c r="B726" s="28"/>
    </row>
    <row r="727">
      <c r="A727" s="28"/>
      <c r="B727" s="28"/>
    </row>
    <row r="728">
      <c r="A728" s="28"/>
      <c r="B728" s="28"/>
    </row>
    <row r="729">
      <c r="A729" s="28"/>
      <c r="B729" s="28"/>
    </row>
    <row r="730">
      <c r="A730" s="28"/>
      <c r="B730" s="28"/>
    </row>
    <row r="731">
      <c r="A731" s="28"/>
      <c r="B731" s="28"/>
    </row>
    <row r="732">
      <c r="A732" s="28"/>
      <c r="B732" s="28"/>
    </row>
    <row r="733">
      <c r="A733" s="28"/>
      <c r="B733" s="28"/>
    </row>
    <row r="734">
      <c r="A734" s="28"/>
      <c r="B734" s="28"/>
    </row>
    <row r="735">
      <c r="A735" s="28"/>
      <c r="B735" s="28"/>
    </row>
    <row r="736">
      <c r="A736" s="28"/>
      <c r="B736" s="28"/>
    </row>
    <row r="737">
      <c r="A737" s="28"/>
      <c r="B737" s="28"/>
    </row>
    <row r="738">
      <c r="A738" s="28"/>
      <c r="B738" s="28"/>
    </row>
    <row r="739">
      <c r="A739" s="28"/>
      <c r="B739" s="28"/>
    </row>
    <row r="740">
      <c r="A740" s="28"/>
      <c r="B740" s="28"/>
    </row>
    <row r="741">
      <c r="A741" s="28"/>
      <c r="B741" s="28"/>
    </row>
    <row r="742">
      <c r="A742" s="28"/>
      <c r="B742" s="28"/>
    </row>
    <row r="743">
      <c r="A743" s="28"/>
      <c r="B743" s="28"/>
    </row>
    <row r="744">
      <c r="A744" s="28"/>
      <c r="B744" s="28"/>
    </row>
    <row r="745">
      <c r="A745" s="28"/>
      <c r="B745" s="28"/>
    </row>
    <row r="746">
      <c r="A746" s="28"/>
      <c r="B746" s="28"/>
    </row>
    <row r="747">
      <c r="A747" s="28"/>
      <c r="B747" s="28"/>
    </row>
    <row r="748">
      <c r="A748" s="28"/>
      <c r="B748" s="28"/>
    </row>
    <row r="749">
      <c r="A749" s="28"/>
      <c r="B749" s="28"/>
    </row>
    <row r="750">
      <c r="A750" s="28"/>
      <c r="B750" s="28"/>
    </row>
    <row r="751">
      <c r="A751" s="28"/>
      <c r="B751" s="28"/>
    </row>
    <row r="752">
      <c r="A752" s="28"/>
      <c r="B752" s="28"/>
    </row>
    <row r="753">
      <c r="A753" s="28"/>
      <c r="B753" s="28"/>
    </row>
    <row r="754">
      <c r="A754" s="28"/>
      <c r="B754" s="28"/>
    </row>
    <row r="755">
      <c r="A755" s="28"/>
      <c r="B755" s="28"/>
    </row>
    <row r="756">
      <c r="A756" s="28"/>
      <c r="B756" s="28"/>
    </row>
    <row r="757">
      <c r="A757" s="28"/>
      <c r="B757" s="28"/>
    </row>
    <row r="758">
      <c r="A758" s="28"/>
      <c r="B758" s="28"/>
    </row>
    <row r="759">
      <c r="A759" s="28"/>
      <c r="B759" s="28"/>
    </row>
    <row r="760">
      <c r="A760" s="28"/>
      <c r="B760" s="28"/>
    </row>
    <row r="761">
      <c r="A761" s="28"/>
      <c r="B761" s="28"/>
    </row>
    <row r="762">
      <c r="A762" s="28"/>
      <c r="B762" s="28"/>
    </row>
    <row r="763">
      <c r="A763" s="28"/>
      <c r="B763" s="28"/>
    </row>
    <row r="764">
      <c r="A764" s="28"/>
      <c r="B764" s="28"/>
    </row>
    <row r="765">
      <c r="A765" s="28"/>
      <c r="B765" s="28"/>
    </row>
    <row r="766">
      <c r="A766" s="28"/>
      <c r="B766" s="28"/>
    </row>
    <row r="767">
      <c r="A767" s="28"/>
      <c r="B767" s="28"/>
    </row>
    <row r="768">
      <c r="A768" s="28"/>
      <c r="B768" s="28"/>
    </row>
    <row r="769">
      <c r="A769" s="28"/>
      <c r="B769" s="28"/>
    </row>
    <row r="770">
      <c r="A770" s="28"/>
      <c r="B770" s="28"/>
    </row>
    <row r="771">
      <c r="A771" s="28"/>
      <c r="B771" s="28"/>
    </row>
    <row r="772">
      <c r="A772" s="28"/>
      <c r="B772" s="28"/>
    </row>
    <row r="773">
      <c r="A773" s="28"/>
      <c r="B773" s="28"/>
    </row>
    <row r="774">
      <c r="A774" s="28"/>
      <c r="B774" s="28"/>
    </row>
    <row r="775">
      <c r="A775" s="28"/>
      <c r="B775" s="28"/>
    </row>
    <row r="776">
      <c r="A776" s="28"/>
      <c r="B776" s="28"/>
    </row>
    <row r="777">
      <c r="A777" s="28"/>
      <c r="B777" s="28"/>
    </row>
    <row r="778">
      <c r="A778" s="28"/>
      <c r="B778" s="28"/>
    </row>
    <row r="779">
      <c r="A779" s="28"/>
      <c r="B779" s="28"/>
    </row>
    <row r="780">
      <c r="A780" s="28"/>
      <c r="B780" s="28"/>
    </row>
    <row r="781">
      <c r="A781" s="28"/>
      <c r="B781" s="28"/>
    </row>
    <row r="782">
      <c r="A782" s="28"/>
      <c r="B782" s="28"/>
    </row>
    <row r="783">
      <c r="A783" s="28"/>
      <c r="B783" s="28"/>
    </row>
    <row r="784">
      <c r="A784" s="28"/>
      <c r="B784" s="28"/>
    </row>
    <row r="785">
      <c r="A785" s="28"/>
      <c r="B785" s="28"/>
    </row>
    <row r="786">
      <c r="A786" s="28"/>
      <c r="B786" s="28"/>
    </row>
    <row r="787">
      <c r="A787" s="28"/>
      <c r="B787" s="28"/>
    </row>
    <row r="788">
      <c r="A788" s="28"/>
      <c r="B788" s="28"/>
    </row>
    <row r="789">
      <c r="A789" s="28"/>
      <c r="B789" s="28"/>
    </row>
    <row r="790">
      <c r="A790" s="28"/>
      <c r="B790" s="28"/>
    </row>
    <row r="791">
      <c r="A791" s="28"/>
      <c r="B791" s="28"/>
    </row>
    <row r="792">
      <c r="A792" s="28"/>
      <c r="B792" s="28"/>
    </row>
    <row r="793">
      <c r="A793" s="28"/>
      <c r="B793" s="28"/>
    </row>
    <row r="794">
      <c r="A794" s="28"/>
      <c r="B794" s="28"/>
    </row>
    <row r="795">
      <c r="A795" s="28"/>
      <c r="B795" s="28"/>
    </row>
    <row r="796">
      <c r="A796" s="28"/>
      <c r="B796" s="28"/>
    </row>
    <row r="797">
      <c r="A797" s="28"/>
      <c r="B797" s="28"/>
    </row>
    <row r="798">
      <c r="A798" s="28"/>
      <c r="B798" s="28"/>
    </row>
    <row r="799">
      <c r="A799" s="28"/>
      <c r="B799" s="28"/>
    </row>
    <row r="800">
      <c r="A800" s="28"/>
      <c r="B800" s="28"/>
    </row>
    <row r="801">
      <c r="A801" s="28"/>
      <c r="B801" s="28"/>
    </row>
    <row r="802">
      <c r="A802" s="28"/>
      <c r="B802" s="28"/>
    </row>
    <row r="803">
      <c r="A803" s="28"/>
      <c r="B803" s="28"/>
    </row>
    <row r="804">
      <c r="A804" s="28"/>
      <c r="B804" s="28"/>
    </row>
    <row r="805">
      <c r="A805" s="28"/>
      <c r="B805" s="28"/>
    </row>
    <row r="806">
      <c r="A806" s="28"/>
      <c r="B806" s="28"/>
    </row>
    <row r="807">
      <c r="A807" s="28"/>
      <c r="B807" s="28"/>
    </row>
    <row r="808">
      <c r="A808" s="28"/>
      <c r="B808" s="28"/>
    </row>
    <row r="809">
      <c r="A809" s="28"/>
      <c r="B809" s="28"/>
    </row>
    <row r="810">
      <c r="A810" s="28"/>
      <c r="B810" s="28"/>
    </row>
    <row r="811">
      <c r="A811" s="28"/>
      <c r="B811" s="28"/>
    </row>
    <row r="812">
      <c r="A812" s="28"/>
      <c r="B812" s="28"/>
    </row>
    <row r="813">
      <c r="A813" s="28"/>
      <c r="B813" s="28"/>
    </row>
    <row r="814">
      <c r="A814" s="28"/>
      <c r="B814" s="28"/>
    </row>
    <row r="815">
      <c r="A815" s="28"/>
      <c r="B815" s="28"/>
    </row>
    <row r="816">
      <c r="A816" s="28"/>
      <c r="B816" s="28"/>
    </row>
    <row r="817">
      <c r="A817" s="28"/>
      <c r="B817" s="28"/>
    </row>
    <row r="818">
      <c r="A818" s="28"/>
      <c r="B818" s="28"/>
    </row>
    <row r="819">
      <c r="A819" s="28"/>
      <c r="B819" s="28"/>
    </row>
    <row r="820">
      <c r="A820" s="28"/>
      <c r="B820" s="28"/>
    </row>
    <row r="821">
      <c r="A821" s="28"/>
      <c r="B821" s="28"/>
    </row>
    <row r="822">
      <c r="A822" s="28"/>
      <c r="B822" s="28"/>
    </row>
    <row r="823">
      <c r="A823" s="28"/>
      <c r="B823" s="28"/>
    </row>
    <row r="824">
      <c r="A824" s="28"/>
      <c r="B824" s="28"/>
    </row>
    <row r="825">
      <c r="A825" s="28"/>
      <c r="B825" s="28"/>
    </row>
    <row r="826">
      <c r="A826" s="28"/>
      <c r="B826" s="28"/>
    </row>
    <row r="827">
      <c r="A827" s="28"/>
      <c r="B827" s="28"/>
    </row>
    <row r="828">
      <c r="A828" s="28"/>
      <c r="B828" s="28"/>
    </row>
    <row r="829">
      <c r="A829" s="28"/>
      <c r="B829" s="28"/>
    </row>
    <row r="830">
      <c r="A830" s="28"/>
      <c r="B830" s="28"/>
    </row>
    <row r="831">
      <c r="A831" s="28"/>
      <c r="B831" s="28"/>
    </row>
    <row r="832">
      <c r="A832" s="28"/>
      <c r="B832" s="28"/>
    </row>
    <row r="833">
      <c r="A833" s="28"/>
      <c r="B833" s="28"/>
    </row>
    <row r="834">
      <c r="A834" s="28"/>
      <c r="B834" s="28"/>
    </row>
    <row r="835">
      <c r="A835" s="28"/>
      <c r="B835" s="28"/>
    </row>
    <row r="836">
      <c r="A836" s="28"/>
      <c r="B836" s="28"/>
    </row>
    <row r="837">
      <c r="A837" s="28"/>
      <c r="B837" s="28"/>
    </row>
    <row r="838">
      <c r="A838" s="28"/>
      <c r="B838" s="28"/>
    </row>
    <row r="839">
      <c r="A839" s="28"/>
      <c r="B839" s="28"/>
    </row>
    <row r="840">
      <c r="A840" s="28"/>
      <c r="B840" s="28"/>
    </row>
    <row r="841">
      <c r="A841" s="28"/>
      <c r="B841" s="28"/>
    </row>
    <row r="842">
      <c r="A842" s="28"/>
      <c r="B842" s="28"/>
    </row>
    <row r="843">
      <c r="A843" s="28"/>
      <c r="B843" s="28"/>
    </row>
    <row r="844">
      <c r="A844" s="28"/>
      <c r="B844" s="28"/>
    </row>
    <row r="845">
      <c r="A845" s="28"/>
      <c r="B845" s="28"/>
    </row>
    <row r="846">
      <c r="A846" s="28"/>
      <c r="B846" s="28"/>
    </row>
    <row r="847">
      <c r="A847" s="28"/>
      <c r="B847" s="28"/>
    </row>
    <row r="848">
      <c r="A848" s="28"/>
      <c r="B848" s="28"/>
    </row>
    <row r="849">
      <c r="A849" s="28"/>
      <c r="B849" s="28"/>
    </row>
    <row r="850">
      <c r="A850" s="28"/>
      <c r="B850" s="28"/>
    </row>
    <row r="851">
      <c r="A851" s="28"/>
      <c r="B851" s="28"/>
    </row>
    <row r="852">
      <c r="A852" s="28"/>
      <c r="B852" s="28"/>
    </row>
    <row r="853">
      <c r="A853" s="28"/>
      <c r="B853" s="28"/>
    </row>
    <row r="854">
      <c r="A854" s="28"/>
      <c r="B854" s="28"/>
    </row>
    <row r="855">
      <c r="A855" s="28"/>
      <c r="B855" s="28"/>
    </row>
    <row r="856">
      <c r="A856" s="28"/>
      <c r="B856" s="28"/>
    </row>
    <row r="857">
      <c r="A857" s="28"/>
      <c r="B857" s="28"/>
    </row>
    <row r="858">
      <c r="A858" s="28"/>
      <c r="B858" s="28"/>
    </row>
    <row r="859">
      <c r="A859" s="28"/>
      <c r="B859" s="28"/>
    </row>
    <row r="860">
      <c r="A860" s="28"/>
      <c r="B860" s="28"/>
    </row>
    <row r="861">
      <c r="A861" s="28"/>
      <c r="B861" s="28"/>
    </row>
    <row r="862">
      <c r="A862" s="28"/>
      <c r="B862" s="28"/>
    </row>
    <row r="863">
      <c r="A863" s="28"/>
      <c r="B863" s="28"/>
    </row>
    <row r="864">
      <c r="A864" s="28"/>
      <c r="B864" s="28"/>
    </row>
    <row r="865">
      <c r="A865" s="28"/>
      <c r="B865" s="28"/>
    </row>
    <row r="866">
      <c r="A866" s="28"/>
      <c r="B866" s="28"/>
    </row>
    <row r="867">
      <c r="A867" s="28"/>
      <c r="B867" s="28"/>
    </row>
    <row r="868">
      <c r="A868" s="28"/>
      <c r="B868" s="28"/>
    </row>
    <row r="869">
      <c r="A869" s="28"/>
      <c r="B869" s="28"/>
    </row>
    <row r="870">
      <c r="A870" s="28"/>
      <c r="B870" s="28"/>
    </row>
    <row r="871">
      <c r="A871" s="28"/>
      <c r="B871" s="28"/>
    </row>
    <row r="872">
      <c r="A872" s="28"/>
      <c r="B872" s="28"/>
    </row>
    <row r="873">
      <c r="A873" s="28"/>
      <c r="B873" s="28"/>
    </row>
    <row r="874">
      <c r="A874" s="28"/>
      <c r="B874" s="28"/>
    </row>
    <row r="875">
      <c r="A875" s="28"/>
      <c r="B875" s="28"/>
    </row>
    <row r="876">
      <c r="A876" s="28"/>
      <c r="B876" s="28"/>
    </row>
    <row r="877">
      <c r="A877" s="28"/>
      <c r="B877" s="28"/>
    </row>
    <row r="878">
      <c r="A878" s="28"/>
      <c r="B878" s="28"/>
    </row>
    <row r="879">
      <c r="A879" s="28"/>
      <c r="B879" s="28"/>
    </row>
    <row r="880">
      <c r="A880" s="28"/>
      <c r="B880" s="28"/>
    </row>
    <row r="881">
      <c r="A881" s="28"/>
      <c r="B881" s="28"/>
    </row>
    <row r="882">
      <c r="A882" s="28"/>
      <c r="B882" s="28"/>
    </row>
    <row r="883">
      <c r="A883" s="28"/>
      <c r="B883" s="28"/>
    </row>
    <row r="884">
      <c r="A884" s="28"/>
      <c r="B884" s="28"/>
    </row>
    <row r="885">
      <c r="A885" s="28"/>
      <c r="B885" s="28"/>
    </row>
    <row r="886">
      <c r="A886" s="28"/>
      <c r="B886" s="28"/>
    </row>
    <row r="887">
      <c r="A887" s="28"/>
      <c r="B887" s="28"/>
    </row>
    <row r="888">
      <c r="A888" s="28"/>
      <c r="B888" s="28"/>
    </row>
    <row r="889">
      <c r="A889" s="28"/>
      <c r="B889" s="28"/>
    </row>
    <row r="890">
      <c r="A890" s="28"/>
      <c r="B890" s="28"/>
    </row>
    <row r="891">
      <c r="A891" s="28"/>
      <c r="B891" s="28"/>
    </row>
    <row r="892">
      <c r="A892" s="28"/>
      <c r="B892" s="28"/>
    </row>
    <row r="893">
      <c r="A893" s="28"/>
      <c r="B893" s="28"/>
    </row>
    <row r="894">
      <c r="A894" s="28"/>
      <c r="B894" s="28"/>
    </row>
    <row r="895">
      <c r="A895" s="28"/>
      <c r="B895" s="28"/>
    </row>
    <row r="896">
      <c r="A896" s="28"/>
      <c r="B896" s="28"/>
    </row>
    <row r="897">
      <c r="A897" s="28"/>
      <c r="B897" s="28"/>
    </row>
    <row r="898">
      <c r="A898" s="28"/>
      <c r="B898" s="28"/>
    </row>
    <row r="899">
      <c r="A899" s="28"/>
      <c r="B899" s="28"/>
    </row>
    <row r="900">
      <c r="A900" s="28"/>
      <c r="B900" s="28"/>
    </row>
    <row r="901">
      <c r="A901" s="28"/>
      <c r="B901" s="28"/>
    </row>
    <row r="902">
      <c r="A902" s="28"/>
      <c r="B902" s="28"/>
    </row>
    <row r="903">
      <c r="A903" s="28"/>
      <c r="B903" s="28"/>
    </row>
    <row r="904">
      <c r="A904" s="28"/>
      <c r="B904" s="28"/>
    </row>
    <row r="905">
      <c r="A905" s="28"/>
      <c r="B905" s="28"/>
    </row>
    <row r="906">
      <c r="A906" s="28"/>
      <c r="B906" s="28"/>
    </row>
    <row r="907">
      <c r="A907" s="28"/>
      <c r="B907" s="28"/>
    </row>
    <row r="908">
      <c r="A908" s="28"/>
      <c r="B908" s="28"/>
    </row>
    <row r="909">
      <c r="A909" s="28"/>
      <c r="B909" s="28"/>
    </row>
    <row r="910">
      <c r="A910" s="28"/>
      <c r="B910" s="28"/>
    </row>
    <row r="911">
      <c r="A911" s="28"/>
      <c r="B911" s="28"/>
    </row>
    <row r="912">
      <c r="A912" s="28"/>
      <c r="B912" s="28"/>
    </row>
    <row r="913">
      <c r="A913" s="28"/>
      <c r="B913" s="28"/>
    </row>
    <row r="914">
      <c r="A914" s="28"/>
      <c r="B914" s="28"/>
    </row>
    <row r="915">
      <c r="A915" s="28"/>
      <c r="B915" s="28"/>
    </row>
    <row r="916">
      <c r="A916" s="28"/>
      <c r="B916" s="28"/>
    </row>
    <row r="917">
      <c r="A917" s="28"/>
      <c r="B917" s="28"/>
    </row>
    <row r="918">
      <c r="A918" s="28"/>
      <c r="B918" s="28"/>
    </row>
    <row r="919">
      <c r="A919" s="28"/>
      <c r="B919" s="28"/>
    </row>
    <row r="920">
      <c r="A920" s="28"/>
      <c r="B920" s="28"/>
    </row>
    <row r="921">
      <c r="A921" s="28"/>
      <c r="B921" s="28"/>
    </row>
    <row r="922">
      <c r="A922" s="28"/>
      <c r="B922" s="28"/>
    </row>
    <row r="923">
      <c r="A923" s="28"/>
      <c r="B923" s="28"/>
    </row>
    <row r="924">
      <c r="A924" s="28"/>
      <c r="B924" s="28"/>
    </row>
    <row r="925">
      <c r="A925" s="28"/>
      <c r="B925" s="28"/>
    </row>
    <row r="926">
      <c r="A926" s="28"/>
      <c r="B926" s="28"/>
    </row>
    <row r="927">
      <c r="A927" s="28"/>
      <c r="B927" s="28"/>
    </row>
    <row r="928">
      <c r="A928" s="28"/>
      <c r="B928" s="28"/>
    </row>
    <row r="929">
      <c r="A929" s="28"/>
      <c r="B929" s="28"/>
    </row>
    <row r="930">
      <c r="A930" s="28"/>
      <c r="B930" s="28"/>
    </row>
    <row r="931">
      <c r="A931" s="28"/>
      <c r="B931" s="28"/>
    </row>
    <row r="932">
      <c r="A932" s="28"/>
      <c r="B932" s="28"/>
    </row>
    <row r="933">
      <c r="A933" s="28"/>
      <c r="B933" s="28"/>
    </row>
    <row r="934">
      <c r="A934" s="28"/>
      <c r="B934" s="28"/>
    </row>
    <row r="935">
      <c r="A935" s="28"/>
      <c r="B935" s="28"/>
    </row>
    <row r="936">
      <c r="A936" s="28"/>
      <c r="B936" s="28"/>
    </row>
    <row r="937">
      <c r="A937" s="28"/>
      <c r="B937" s="28"/>
    </row>
    <row r="938">
      <c r="A938" s="28"/>
      <c r="B938" s="28"/>
    </row>
    <row r="939">
      <c r="A939" s="28"/>
      <c r="B939" s="28"/>
    </row>
    <row r="940">
      <c r="A940" s="28"/>
      <c r="B940" s="28"/>
    </row>
    <row r="941">
      <c r="A941" s="28"/>
      <c r="B941" s="28"/>
    </row>
    <row r="942">
      <c r="A942" s="28"/>
      <c r="B942" s="28"/>
    </row>
    <row r="943">
      <c r="A943" s="28"/>
      <c r="B943" s="28"/>
    </row>
    <row r="944">
      <c r="A944" s="28"/>
      <c r="B944" s="28"/>
    </row>
    <row r="945">
      <c r="A945" s="28"/>
      <c r="B945" s="28"/>
    </row>
    <row r="946">
      <c r="A946" s="28"/>
      <c r="B946" s="28"/>
    </row>
    <row r="947">
      <c r="A947" s="28"/>
      <c r="B947" s="28"/>
    </row>
    <row r="948">
      <c r="A948" s="28"/>
      <c r="B948" s="28"/>
    </row>
    <row r="949">
      <c r="A949" s="28"/>
      <c r="B949" s="28"/>
    </row>
    <row r="950">
      <c r="A950" s="28"/>
      <c r="B950" s="28"/>
    </row>
    <row r="951">
      <c r="A951" s="28"/>
      <c r="B951" s="28"/>
    </row>
    <row r="952">
      <c r="A952" s="28"/>
      <c r="B952" s="28"/>
    </row>
    <row r="953">
      <c r="A953" s="28"/>
      <c r="B953" s="28"/>
    </row>
    <row r="954">
      <c r="A954" s="28"/>
      <c r="B954" s="28"/>
    </row>
    <row r="955">
      <c r="A955" s="28"/>
      <c r="B955" s="28"/>
    </row>
    <row r="956">
      <c r="A956" s="28"/>
      <c r="B956" s="28"/>
    </row>
    <row r="957">
      <c r="A957" s="28"/>
      <c r="B957" s="28"/>
    </row>
    <row r="958">
      <c r="A958" s="28"/>
      <c r="B958" s="28"/>
    </row>
    <row r="959">
      <c r="A959" s="28"/>
      <c r="B959" s="28"/>
    </row>
    <row r="960">
      <c r="A960" s="28"/>
      <c r="B960" s="28"/>
    </row>
    <row r="961">
      <c r="A961" s="28"/>
      <c r="B961" s="28"/>
    </row>
    <row r="962">
      <c r="A962" s="28"/>
      <c r="B962" s="28"/>
    </row>
    <row r="963">
      <c r="A963" s="28"/>
      <c r="B963" s="28"/>
    </row>
    <row r="964">
      <c r="A964" s="28"/>
      <c r="B964" s="28"/>
    </row>
    <row r="965">
      <c r="A965" s="28"/>
      <c r="B965" s="28"/>
    </row>
    <row r="966">
      <c r="A966" s="28"/>
      <c r="B966" s="28"/>
    </row>
    <row r="967">
      <c r="A967" s="28"/>
      <c r="B967" s="28"/>
    </row>
    <row r="968">
      <c r="A968" s="28"/>
      <c r="B968" s="28"/>
    </row>
    <row r="969">
      <c r="A969" s="28"/>
      <c r="B969" s="28"/>
    </row>
    <row r="970">
      <c r="A970" s="28"/>
      <c r="B970" s="28"/>
    </row>
    <row r="971">
      <c r="A971" s="28"/>
      <c r="B971" s="28"/>
    </row>
    <row r="972">
      <c r="A972" s="28"/>
      <c r="B972" s="28"/>
    </row>
    <row r="973">
      <c r="A973" s="28"/>
      <c r="B973" s="28"/>
    </row>
    <row r="974">
      <c r="A974" s="28"/>
      <c r="B974" s="28"/>
    </row>
    <row r="975">
      <c r="A975" s="28"/>
      <c r="B975" s="28"/>
    </row>
    <row r="976">
      <c r="A976" s="28"/>
      <c r="B976" s="28"/>
    </row>
    <row r="977">
      <c r="A977" s="28"/>
      <c r="B977" s="28"/>
    </row>
    <row r="978">
      <c r="A978" s="28"/>
      <c r="B978" s="28"/>
    </row>
    <row r="979">
      <c r="A979" s="28"/>
      <c r="B979" s="28"/>
    </row>
    <row r="980">
      <c r="A980" s="28"/>
      <c r="B980" s="28"/>
    </row>
    <row r="981">
      <c r="A981" s="28"/>
      <c r="B981" s="28"/>
    </row>
    <row r="982">
      <c r="A982" s="28"/>
      <c r="B982" s="28"/>
    </row>
    <row r="983">
      <c r="A983" s="28"/>
      <c r="B983" s="28"/>
    </row>
    <row r="984">
      <c r="A984" s="28"/>
      <c r="B984" s="28"/>
    </row>
    <row r="985">
      <c r="A985" s="28"/>
      <c r="B985" s="28"/>
    </row>
    <row r="986">
      <c r="A986" s="28"/>
      <c r="B986" s="28"/>
    </row>
    <row r="987">
      <c r="A987" s="28"/>
      <c r="B987" s="28"/>
    </row>
    <row r="988">
      <c r="A988" s="28"/>
      <c r="B988" s="28"/>
    </row>
    <row r="989">
      <c r="A989" s="28"/>
      <c r="B989" s="28"/>
    </row>
    <row r="990">
      <c r="A990" s="28"/>
      <c r="B990" s="28"/>
    </row>
    <row r="991">
      <c r="A991" s="28"/>
      <c r="B991" s="28"/>
    </row>
    <row r="992">
      <c r="A992" s="28"/>
      <c r="B992" s="28"/>
    </row>
    <row r="993">
      <c r="A993" s="28"/>
      <c r="B993" s="28"/>
    </row>
    <row r="994">
      <c r="A994" s="28"/>
      <c r="B994" s="28"/>
    </row>
    <row r="995">
      <c r="A995" s="28"/>
      <c r="B995" s="28"/>
    </row>
    <row r="996">
      <c r="A996" s="28"/>
      <c r="B996" s="28"/>
    </row>
    <row r="997">
      <c r="A997" s="28"/>
      <c r="B997" s="28"/>
    </row>
    <row r="998">
      <c r="A998" s="28"/>
      <c r="B998" s="28"/>
    </row>
    <row r="999">
      <c r="A999" s="28"/>
      <c r="B999" s="28"/>
    </row>
    <row r="1000">
      <c r="A1000" s="28"/>
      <c r="B10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0"/>
    <col customWidth="1" min="13" max="13" width="15.75"/>
    <col customWidth="1" min="14" max="14" width="19.75"/>
    <col customWidth="1" min="15" max="15" width="17.13"/>
    <col customWidth="1" min="16" max="16" width="11.0"/>
    <col customWidth="1" min="17" max="18" width="18.0"/>
    <col customWidth="1" min="19" max="19" width="10.25"/>
    <col customWidth="1" min="20" max="20" width="15.38"/>
  </cols>
  <sheetData>
    <row r="1">
      <c r="A1" s="29" t="s">
        <v>215</v>
      </c>
      <c r="B1" s="29" t="s">
        <v>216</v>
      </c>
      <c r="C1" s="29" t="s">
        <v>217</v>
      </c>
      <c r="D1" s="29" t="s">
        <v>218</v>
      </c>
      <c r="E1" s="29" t="s">
        <v>219</v>
      </c>
      <c r="F1" s="29" t="s">
        <v>220</v>
      </c>
      <c r="G1" s="29" t="s">
        <v>221</v>
      </c>
      <c r="H1" s="29" t="s">
        <v>222</v>
      </c>
      <c r="I1" s="29" t="s">
        <v>223</v>
      </c>
      <c r="J1" s="29" t="s">
        <v>224</v>
      </c>
      <c r="K1" s="29" t="s">
        <v>225</v>
      </c>
      <c r="L1" s="29" t="s">
        <v>226</v>
      </c>
      <c r="M1" s="30" t="s">
        <v>227</v>
      </c>
      <c r="N1" s="29" t="s">
        <v>228</v>
      </c>
      <c r="O1" s="31" t="s">
        <v>7</v>
      </c>
      <c r="P1" s="29" t="s">
        <v>229</v>
      </c>
      <c r="Q1" s="29" t="s">
        <v>10</v>
      </c>
      <c r="R1" s="32" t="s">
        <v>11</v>
      </c>
      <c r="S1" s="33" t="s">
        <v>230</v>
      </c>
      <c r="T1" s="33" t="s">
        <v>231</v>
      </c>
    </row>
    <row r="2">
      <c r="A2" s="34" t="s">
        <v>207</v>
      </c>
      <c r="B2" s="35">
        <v>45317.0</v>
      </c>
      <c r="C2" s="36">
        <v>9.5</v>
      </c>
      <c r="D2" s="36">
        <v>5.2</v>
      </c>
      <c r="E2" s="36">
        <v>11.76</v>
      </c>
      <c r="F2" s="36">
        <v>2.26</v>
      </c>
      <c r="G2" s="36">
        <v>2.26</v>
      </c>
      <c r="H2" s="36">
        <v>15.97</v>
      </c>
      <c r="I2" s="36">
        <v>9.18</v>
      </c>
      <c r="J2" s="36">
        <v>9.56</v>
      </c>
      <c r="K2" s="34" t="s">
        <v>232</v>
      </c>
      <c r="L2" s="37">
        <f t="shared" ref="L2:L82" si="1">D2/100</f>
        <v>0.052</v>
      </c>
      <c r="M2" s="38">
        <f t="shared" ref="M2:M82" si="2">C2/(L2+1)</f>
        <v>9.030418251</v>
      </c>
      <c r="N2" s="39">
        <f>VLOOKUP(A2,Total_de_acoes!A:B,2,0)</f>
        <v>515117391</v>
      </c>
      <c r="O2" s="40">
        <f t="shared" ref="O2:O82" si="3">(C2-M2)*N2</f>
        <v>241889725.4</v>
      </c>
      <c r="P2" s="37" t="str">
        <f t="shared" ref="P2:P82" si="4">if(O2&gt;0,"Subiu",if(O2&lt;0,"Desceu","Estável"))</f>
        <v>Subiu</v>
      </c>
      <c r="Q2" s="37" t="str">
        <f>vlookup(A2,Ticker!A:B,2,0)</f>
        <v>Usiminas</v>
      </c>
      <c r="R2" s="41" t="str">
        <f>VLOOKUP(Q2,chatgpt!A:C,2,0)</f>
        <v>Siderurgia</v>
      </c>
      <c r="S2" s="42">
        <f>VLOOKUP(R2,chatgpt!B:D,2,0)</f>
        <v>62</v>
      </c>
      <c r="T2" s="42" t="str">
        <f t="shared" ref="T2:T82" si="5">if(S2&gt;100,"Mais de 100 anos",if(S2&lt;50,"Menos de 50 anos","Entre 50 e 100"))</f>
        <v>Entre 50 e 100</v>
      </c>
    </row>
    <row r="3">
      <c r="A3" s="43" t="s">
        <v>151</v>
      </c>
      <c r="B3" s="44">
        <v>45317.0</v>
      </c>
      <c r="C3" s="45">
        <v>6.82</v>
      </c>
      <c r="D3" s="45">
        <v>2.4</v>
      </c>
      <c r="E3" s="45">
        <v>2.4</v>
      </c>
      <c r="F3" s="45">
        <v>-12.11</v>
      </c>
      <c r="G3" s="45">
        <v>-12.11</v>
      </c>
      <c r="H3" s="45">
        <v>50.56</v>
      </c>
      <c r="I3" s="45">
        <v>6.66</v>
      </c>
      <c r="J3" s="45">
        <v>6.86</v>
      </c>
      <c r="K3" s="43" t="s">
        <v>233</v>
      </c>
      <c r="L3" s="46">
        <f t="shared" si="1"/>
        <v>0.024</v>
      </c>
      <c r="M3" s="47">
        <f t="shared" si="2"/>
        <v>6.66015625</v>
      </c>
      <c r="N3" s="48">
        <f>VLOOKUP(A3,Total_de_acoes!A:B,2,0)</f>
        <v>1110559345</v>
      </c>
      <c r="O3" s="49">
        <f t="shared" si="3"/>
        <v>177515970.3</v>
      </c>
      <c r="P3" s="46" t="str">
        <f t="shared" si="4"/>
        <v>Subiu</v>
      </c>
      <c r="Q3" s="46" t="str">
        <f>vlookup(A3,Ticker!A:B,2,0)</f>
        <v>CSN Mineração</v>
      </c>
      <c r="R3" s="50" t="str">
        <f>VLOOKUP(Q3,chatgpt!A:C,2,0)</f>
        <v>Mineração</v>
      </c>
      <c r="S3" s="51">
        <f>VLOOKUP(R3,chatgpt!B:D,2,0)</f>
        <v>78</v>
      </c>
      <c r="T3" s="51" t="str">
        <f t="shared" si="5"/>
        <v>Entre 50 e 100</v>
      </c>
    </row>
    <row r="4">
      <c r="A4" s="34" t="s">
        <v>186</v>
      </c>
      <c r="B4" s="35">
        <v>45317.0</v>
      </c>
      <c r="C4" s="36">
        <v>41.96</v>
      </c>
      <c r="D4" s="36">
        <v>2.19</v>
      </c>
      <c r="E4" s="36">
        <v>7.73</v>
      </c>
      <c r="F4" s="36">
        <v>7.64</v>
      </c>
      <c r="G4" s="36">
        <v>7.64</v>
      </c>
      <c r="H4" s="36">
        <v>77.55</v>
      </c>
      <c r="I4" s="36">
        <v>40.81</v>
      </c>
      <c r="J4" s="36">
        <v>42.34</v>
      </c>
      <c r="K4" s="34" t="s">
        <v>234</v>
      </c>
      <c r="L4" s="37">
        <f t="shared" si="1"/>
        <v>0.0219</v>
      </c>
      <c r="M4" s="38">
        <f t="shared" si="2"/>
        <v>41.06076916</v>
      </c>
      <c r="N4" s="39">
        <f>VLOOKUP(A4,Total_de_acoes!A:B,2,0)</f>
        <v>2379877655</v>
      </c>
      <c r="O4" s="40">
        <f t="shared" si="3"/>
        <v>2140059394</v>
      </c>
      <c r="P4" s="37" t="str">
        <f t="shared" si="4"/>
        <v>Subiu</v>
      </c>
      <c r="Q4" s="37" t="str">
        <f>vlookup(A4,Ticker!A:B,2,0)</f>
        <v>Petrobras</v>
      </c>
      <c r="R4" s="41" t="str">
        <f>VLOOKUP(Q4,chatgpt!A:C,2,0)</f>
        <v>Energia/Petróleo</v>
      </c>
      <c r="S4" s="42">
        <f>VLOOKUP(R4,chatgpt!B:D,2,0)</f>
        <v>68</v>
      </c>
      <c r="T4" s="42" t="str">
        <f t="shared" si="5"/>
        <v>Entre 50 e 100</v>
      </c>
    </row>
    <row r="5">
      <c r="A5" s="43" t="s">
        <v>200</v>
      </c>
      <c r="B5" s="44">
        <v>45317.0</v>
      </c>
      <c r="C5" s="45">
        <v>52.91</v>
      </c>
      <c r="D5" s="45">
        <v>2.04</v>
      </c>
      <c r="E5" s="45">
        <v>2.14</v>
      </c>
      <c r="F5" s="45">
        <v>-4.89</v>
      </c>
      <c r="G5" s="45">
        <v>-4.89</v>
      </c>
      <c r="H5" s="45">
        <v>18.85</v>
      </c>
      <c r="I5" s="45">
        <v>51.89</v>
      </c>
      <c r="J5" s="45">
        <v>53.17</v>
      </c>
      <c r="K5" s="43" t="s">
        <v>235</v>
      </c>
      <c r="L5" s="46">
        <f t="shared" si="1"/>
        <v>0.0204</v>
      </c>
      <c r="M5" s="47">
        <f t="shared" si="2"/>
        <v>51.85221482</v>
      </c>
      <c r="N5" s="48">
        <f>VLOOKUP(A5,Total_de_acoes!A:B,2,0)</f>
        <v>683452836</v>
      </c>
      <c r="O5" s="49">
        <f t="shared" si="3"/>
        <v>722946282.7</v>
      </c>
      <c r="P5" s="46" t="str">
        <f t="shared" si="4"/>
        <v>Subiu</v>
      </c>
      <c r="Q5" s="46" t="str">
        <f>vlookup(A5,Ticker!A:B,2,0)</f>
        <v>Suzano</v>
      </c>
      <c r="R5" s="50" t="str">
        <f>VLOOKUP(Q5,chatgpt!A:C,2,0)</f>
        <v>Papel e Celulose</v>
      </c>
      <c r="S5" s="51">
        <f>VLOOKUP(R5,chatgpt!B:D,2,0)</f>
        <v>97</v>
      </c>
      <c r="T5" s="51" t="str">
        <f t="shared" si="5"/>
        <v>Entre 50 e 100</v>
      </c>
    </row>
    <row r="6">
      <c r="A6" s="34" t="s">
        <v>150</v>
      </c>
      <c r="B6" s="35">
        <v>45317.0</v>
      </c>
      <c r="C6" s="36">
        <v>37.1</v>
      </c>
      <c r="D6" s="36">
        <v>2.03</v>
      </c>
      <c r="E6" s="36">
        <v>2.49</v>
      </c>
      <c r="F6" s="36">
        <v>-3.66</v>
      </c>
      <c r="G6" s="36">
        <v>-3.66</v>
      </c>
      <c r="H6" s="36">
        <v>20.7</v>
      </c>
      <c r="I6" s="36">
        <v>36.37</v>
      </c>
      <c r="J6" s="36">
        <v>37.32</v>
      </c>
      <c r="K6" s="34" t="s">
        <v>236</v>
      </c>
      <c r="L6" s="37">
        <f t="shared" si="1"/>
        <v>0.0203</v>
      </c>
      <c r="M6" s="38">
        <f t="shared" si="2"/>
        <v>36.36185436</v>
      </c>
      <c r="N6" s="39">
        <f>VLOOKUP(A6,Total_de_acoes!A:B,2,0)</f>
        <v>187732538</v>
      </c>
      <c r="O6" s="40">
        <f t="shared" si="3"/>
        <v>138573955.1</v>
      </c>
      <c r="P6" s="37" t="str">
        <f t="shared" si="4"/>
        <v>Subiu</v>
      </c>
      <c r="Q6" s="37" t="str">
        <f>vlookup(A6,Ticker!A:B,2,0)</f>
        <v>CPFL Energia</v>
      </c>
      <c r="R6" s="41" t="str">
        <f>VLOOKUP(Q6,chatgpt!A:C,2,0)</f>
        <v>Energia</v>
      </c>
      <c r="S6" s="42">
        <f>VLOOKUP(R6,chatgpt!B:D,2,0)</f>
        <v>109</v>
      </c>
      <c r="T6" s="42" t="str">
        <f t="shared" si="5"/>
        <v>Mais de 100 anos</v>
      </c>
    </row>
    <row r="7">
      <c r="A7" s="43" t="s">
        <v>189</v>
      </c>
      <c r="B7" s="44">
        <v>45317.0</v>
      </c>
      <c r="C7" s="45">
        <v>45.69</v>
      </c>
      <c r="D7" s="45">
        <v>1.98</v>
      </c>
      <c r="E7" s="45">
        <v>2.42</v>
      </c>
      <c r="F7" s="45">
        <v>-0.78</v>
      </c>
      <c r="G7" s="45">
        <v>-0.78</v>
      </c>
      <c r="H7" s="45">
        <v>8.08</v>
      </c>
      <c r="I7" s="45">
        <v>44.25</v>
      </c>
      <c r="J7" s="45">
        <v>45.69</v>
      </c>
      <c r="K7" s="43" t="s">
        <v>237</v>
      </c>
      <c r="L7" s="46">
        <f t="shared" si="1"/>
        <v>0.0198</v>
      </c>
      <c r="M7" s="47">
        <f t="shared" si="2"/>
        <v>44.80290253</v>
      </c>
      <c r="N7" s="48">
        <f>VLOOKUP(A7,Total_de_acoes!A:B,2,0)</f>
        <v>800010734</v>
      </c>
      <c r="O7" s="49">
        <f t="shared" si="3"/>
        <v>709687498.2</v>
      </c>
      <c r="P7" s="46" t="str">
        <f t="shared" si="4"/>
        <v>Subiu</v>
      </c>
      <c r="Q7" s="46" t="str">
        <f>vlookup(A7,Ticker!A:B,2,0)</f>
        <v>PetroRio</v>
      </c>
      <c r="R7" s="50" t="str">
        <f>VLOOKUP(Q7,chatgpt!A:C,2,0)</f>
        <v>Energia/Petróleo</v>
      </c>
      <c r="S7" s="51">
        <f>VLOOKUP(R7,chatgpt!B:D,2,0)</f>
        <v>68</v>
      </c>
      <c r="T7" s="51" t="str">
        <f t="shared" si="5"/>
        <v>Entre 50 e 100</v>
      </c>
    </row>
    <row r="8">
      <c r="A8" s="34" t="s">
        <v>187</v>
      </c>
      <c r="B8" s="35">
        <v>45317.0</v>
      </c>
      <c r="C8" s="36">
        <v>39.96</v>
      </c>
      <c r="D8" s="36">
        <v>1.73</v>
      </c>
      <c r="E8" s="36">
        <v>6.47</v>
      </c>
      <c r="F8" s="36">
        <v>7.3</v>
      </c>
      <c r="G8" s="36">
        <v>7.3</v>
      </c>
      <c r="H8" s="36">
        <v>95.01</v>
      </c>
      <c r="I8" s="36">
        <v>38.91</v>
      </c>
      <c r="J8" s="36">
        <v>40.09</v>
      </c>
      <c r="K8" s="34" t="s">
        <v>238</v>
      </c>
      <c r="L8" s="37">
        <f t="shared" si="1"/>
        <v>0.0173</v>
      </c>
      <c r="M8" s="38">
        <f t="shared" si="2"/>
        <v>39.28044825</v>
      </c>
      <c r="N8" s="39">
        <f>VLOOKUP(A8,Total_de_acoes!A:B,2,0)</f>
        <v>4566445852</v>
      </c>
      <c r="O8" s="40">
        <f t="shared" si="3"/>
        <v>3103136291</v>
      </c>
      <c r="P8" s="37" t="str">
        <f t="shared" si="4"/>
        <v>Subiu</v>
      </c>
      <c r="Q8" s="37" t="str">
        <f>vlookup(A8,Ticker!A:B,2,0)</f>
        <v>Petrobras</v>
      </c>
      <c r="R8" s="41" t="str">
        <f>VLOOKUP(Q8,chatgpt!A:C,2,0)</f>
        <v>Energia/Petróleo</v>
      </c>
      <c r="S8" s="42">
        <f>VLOOKUP(R8,chatgpt!B:D,2,0)</f>
        <v>68</v>
      </c>
      <c r="T8" s="42" t="str">
        <f t="shared" si="5"/>
        <v>Entre 50 e 100</v>
      </c>
    </row>
    <row r="9">
      <c r="A9" s="43" t="s">
        <v>208</v>
      </c>
      <c r="B9" s="44">
        <v>45317.0</v>
      </c>
      <c r="C9" s="45">
        <v>69.5</v>
      </c>
      <c r="D9" s="45">
        <v>1.66</v>
      </c>
      <c r="E9" s="45">
        <v>2.06</v>
      </c>
      <c r="F9" s="45">
        <v>-9.97</v>
      </c>
      <c r="G9" s="45">
        <v>-9.97</v>
      </c>
      <c r="H9" s="45">
        <v>-23.49</v>
      </c>
      <c r="I9" s="45">
        <v>67.5</v>
      </c>
      <c r="J9" s="45">
        <v>69.81</v>
      </c>
      <c r="K9" s="43" t="s">
        <v>239</v>
      </c>
      <c r="L9" s="46">
        <f t="shared" si="1"/>
        <v>0.0166</v>
      </c>
      <c r="M9" s="47">
        <f t="shared" si="2"/>
        <v>68.3651387</v>
      </c>
      <c r="N9" s="48">
        <f>VLOOKUP(A9,Total_de_acoes!A:B,2,0)</f>
        <v>4196924316</v>
      </c>
      <c r="O9" s="49">
        <f t="shared" si="3"/>
        <v>4762926995</v>
      </c>
      <c r="P9" s="46" t="str">
        <f t="shared" si="4"/>
        <v>Subiu</v>
      </c>
      <c r="Q9" s="46" t="str">
        <f>vlookup(A9,Ticker!A:B,2,0)</f>
        <v>Vale</v>
      </c>
      <c r="R9" s="50" t="str">
        <f>VLOOKUP(Q9,chatgpt!A:C,2,0)</f>
        <v>Mineração</v>
      </c>
      <c r="S9" s="51">
        <f>VLOOKUP(R9,chatgpt!B:D,2,0)</f>
        <v>78</v>
      </c>
      <c r="T9" s="51" t="str">
        <f t="shared" si="5"/>
        <v>Entre 50 e 100</v>
      </c>
    </row>
    <row r="10">
      <c r="A10" s="34" t="s">
        <v>184</v>
      </c>
      <c r="B10" s="35">
        <v>45317.0</v>
      </c>
      <c r="C10" s="36">
        <v>28.19</v>
      </c>
      <c r="D10" s="36">
        <v>1.58</v>
      </c>
      <c r="E10" s="36">
        <v>2.03</v>
      </c>
      <c r="F10" s="36">
        <v>-0.81</v>
      </c>
      <c r="G10" s="36">
        <v>-0.81</v>
      </c>
      <c r="H10" s="36">
        <v>24.02</v>
      </c>
      <c r="I10" s="36">
        <v>27.71</v>
      </c>
      <c r="J10" s="36">
        <v>28.36</v>
      </c>
      <c r="K10" s="34" t="s">
        <v>240</v>
      </c>
      <c r="L10" s="37">
        <f t="shared" si="1"/>
        <v>0.0158</v>
      </c>
      <c r="M10" s="38">
        <f t="shared" si="2"/>
        <v>27.75152589</v>
      </c>
      <c r="N10" s="39">
        <f>VLOOKUP(A10,Total_de_acoes!A:B,2,0)</f>
        <v>268505432</v>
      </c>
      <c r="O10" s="40">
        <f t="shared" si="3"/>
        <v>117732680.1</v>
      </c>
      <c r="P10" s="37" t="str">
        <f t="shared" si="4"/>
        <v>Subiu</v>
      </c>
      <c r="Q10" s="37" t="str">
        <f>vlookup(A10,Ticker!A:B,2,0)</f>
        <v>Multiplan</v>
      </c>
      <c r="R10" s="41" t="str">
        <f>VLOOKUP(Q10,chatgpt!A:C,2,0)</f>
        <v>Imobiliário</v>
      </c>
      <c r="S10" s="42">
        <f>VLOOKUP(R10,chatgpt!B:D,2,0)</f>
        <v>49</v>
      </c>
      <c r="T10" s="42" t="str">
        <f t="shared" si="5"/>
        <v>Menos de 50 anos</v>
      </c>
    </row>
    <row r="11">
      <c r="A11" s="43" t="s">
        <v>174</v>
      </c>
      <c r="B11" s="44">
        <v>45317.0</v>
      </c>
      <c r="C11" s="45">
        <v>32.81</v>
      </c>
      <c r="D11" s="45">
        <v>1.48</v>
      </c>
      <c r="E11" s="45">
        <v>-0.39</v>
      </c>
      <c r="F11" s="45">
        <v>-3.36</v>
      </c>
      <c r="G11" s="45">
        <v>-3.36</v>
      </c>
      <c r="H11" s="45">
        <v>34.25</v>
      </c>
      <c r="I11" s="45">
        <v>32.35</v>
      </c>
      <c r="J11" s="45">
        <v>32.91</v>
      </c>
      <c r="K11" s="43" t="s">
        <v>241</v>
      </c>
      <c r="L11" s="46">
        <f t="shared" si="1"/>
        <v>0.0148</v>
      </c>
      <c r="M11" s="47">
        <f t="shared" si="2"/>
        <v>32.33149389</v>
      </c>
      <c r="N11" s="48">
        <f>VLOOKUP(A11,Total_de_acoes!A:B,2,0)</f>
        <v>4801593832</v>
      </c>
      <c r="O11" s="49">
        <f t="shared" si="3"/>
        <v>2297591984</v>
      </c>
      <c r="P11" s="46" t="str">
        <f t="shared" si="4"/>
        <v>Subiu</v>
      </c>
      <c r="Q11" s="46" t="str">
        <f>vlookup(A11,Ticker!A:B,2,0)</f>
        <v>Itaú Unibanco</v>
      </c>
      <c r="R11" s="50" t="str">
        <f>VLOOKUP(Q11,chatgpt!A:C,2,0)</f>
        <v>Bancário</v>
      </c>
      <c r="S11" s="51">
        <f>VLOOKUP(R11,chatgpt!B:D,2,0)</f>
        <v>97</v>
      </c>
      <c r="T11" s="51" t="str">
        <f t="shared" si="5"/>
        <v>Entre 50 e 100</v>
      </c>
    </row>
    <row r="12">
      <c r="A12" s="34" t="s">
        <v>193</v>
      </c>
      <c r="B12" s="35">
        <v>45317.0</v>
      </c>
      <c r="C12" s="36">
        <v>27.56</v>
      </c>
      <c r="D12" s="36">
        <v>1.43</v>
      </c>
      <c r="E12" s="36">
        <v>3.41</v>
      </c>
      <c r="F12" s="36">
        <v>-4.17</v>
      </c>
      <c r="G12" s="36">
        <v>-4.17</v>
      </c>
      <c r="H12" s="36">
        <v>-6.01</v>
      </c>
      <c r="I12" s="36">
        <v>26.9</v>
      </c>
      <c r="J12" s="36">
        <v>27.91</v>
      </c>
      <c r="K12" s="34" t="s">
        <v>242</v>
      </c>
      <c r="L12" s="37">
        <f t="shared" si="1"/>
        <v>0.0143</v>
      </c>
      <c r="M12" s="38">
        <f t="shared" si="2"/>
        <v>27.17144829</v>
      </c>
      <c r="N12" s="39">
        <f>VLOOKUP(A12,Total_de_acoes!A:B,2,0)</f>
        <v>1168230366</v>
      </c>
      <c r="O12" s="40">
        <f t="shared" si="3"/>
        <v>453917907</v>
      </c>
      <c r="P12" s="37" t="str">
        <f t="shared" si="4"/>
        <v>Subiu</v>
      </c>
      <c r="Q12" s="37" t="str">
        <f>vlookup(A12,Ticker!A:B,2,0)</f>
        <v>Rede D'Or</v>
      </c>
      <c r="R12" s="41" t="str">
        <f>VLOOKUP(Q12,chatgpt!A:C,2,0)</f>
        <v>Saúde</v>
      </c>
      <c r="S12" s="42">
        <f>VLOOKUP(R12,chatgpt!B:D,2,0)</f>
        <v>45</v>
      </c>
      <c r="T12" s="42" t="str">
        <f t="shared" si="5"/>
        <v>Menos de 50 anos</v>
      </c>
    </row>
    <row r="13">
      <c r="A13" s="43" t="s">
        <v>139</v>
      </c>
      <c r="B13" s="44">
        <v>45317.0</v>
      </c>
      <c r="C13" s="45">
        <v>18.55</v>
      </c>
      <c r="D13" s="45">
        <v>1.42</v>
      </c>
      <c r="E13" s="45">
        <v>5.1</v>
      </c>
      <c r="F13" s="45">
        <v>-15.14</v>
      </c>
      <c r="G13" s="45">
        <v>-15.14</v>
      </c>
      <c r="H13" s="45">
        <v>-18.39</v>
      </c>
      <c r="I13" s="45">
        <v>18.29</v>
      </c>
      <c r="J13" s="45">
        <v>18.73</v>
      </c>
      <c r="K13" s="43" t="s">
        <v>243</v>
      </c>
      <c r="L13" s="46">
        <f t="shared" si="1"/>
        <v>0.0142</v>
      </c>
      <c r="M13" s="47">
        <f t="shared" si="2"/>
        <v>18.29027805</v>
      </c>
      <c r="N13" s="48">
        <f>VLOOKUP(A13,Total_de_acoes!A:B,2,0)</f>
        <v>265877867</v>
      </c>
      <c r="O13" s="49">
        <f t="shared" si="3"/>
        <v>69054317.64</v>
      </c>
      <c r="P13" s="46" t="str">
        <f t="shared" si="4"/>
        <v>Subiu</v>
      </c>
      <c r="Q13" s="46" t="str">
        <f>vlookup(A13,Ticker!A:B,2,0)</f>
        <v>Braskem</v>
      </c>
      <c r="R13" s="50" t="str">
        <f>VLOOKUP(Q13,chatgpt!A:C,2,0)</f>
        <v>Química</v>
      </c>
      <c r="S13" s="51">
        <f>VLOOKUP(R13,chatgpt!B:D,2,0)</f>
        <v>19</v>
      </c>
      <c r="T13" s="51" t="str">
        <f t="shared" si="5"/>
        <v>Menos de 50 anos</v>
      </c>
    </row>
    <row r="14">
      <c r="A14" s="34" t="s">
        <v>132</v>
      </c>
      <c r="B14" s="35">
        <v>45317.0</v>
      </c>
      <c r="C14" s="36">
        <v>14.27</v>
      </c>
      <c r="D14" s="36">
        <v>1.42</v>
      </c>
      <c r="E14" s="36">
        <v>8.85</v>
      </c>
      <c r="F14" s="36">
        <v>-10.87</v>
      </c>
      <c r="G14" s="36">
        <v>-10.87</v>
      </c>
      <c r="H14" s="36">
        <v>18.52</v>
      </c>
      <c r="I14" s="36">
        <v>13.8</v>
      </c>
      <c r="J14" s="36">
        <v>14.36</v>
      </c>
      <c r="K14" s="34" t="s">
        <v>244</v>
      </c>
      <c r="L14" s="37">
        <f t="shared" si="1"/>
        <v>0.0142</v>
      </c>
      <c r="M14" s="38">
        <f t="shared" si="2"/>
        <v>14.07020312</v>
      </c>
      <c r="N14" s="39">
        <f>VLOOKUP(A14,Total_de_acoes!A:B,2,0)</f>
        <v>327593725</v>
      </c>
      <c r="O14" s="40">
        <f t="shared" si="3"/>
        <v>65452205.55</v>
      </c>
      <c r="P14" s="37" t="str">
        <f t="shared" si="4"/>
        <v>Subiu</v>
      </c>
      <c r="Q14" s="37" t="str">
        <f>vlookup(A14,Ticker!A:B,2,0)</f>
        <v>Azul</v>
      </c>
      <c r="R14" s="41" t="str">
        <f>VLOOKUP(Q14,chatgpt!A:C,2,0)</f>
        <v>Transporte</v>
      </c>
      <c r="S14" s="42">
        <f>VLOOKUP(R14,chatgpt!B:D,2,0)</f>
        <v>14</v>
      </c>
      <c r="T14" s="42" t="str">
        <f t="shared" si="5"/>
        <v>Menos de 50 anos</v>
      </c>
    </row>
    <row r="15">
      <c r="A15" s="43" t="s">
        <v>127</v>
      </c>
      <c r="B15" s="44">
        <v>45317.0</v>
      </c>
      <c r="C15" s="45">
        <v>28.75</v>
      </c>
      <c r="D15" s="45">
        <v>1.41</v>
      </c>
      <c r="E15" s="45">
        <v>-2.71</v>
      </c>
      <c r="F15" s="45">
        <v>9.4</v>
      </c>
      <c r="G15" s="45">
        <v>9.4</v>
      </c>
      <c r="H15" s="45">
        <v>-37.7</v>
      </c>
      <c r="I15" s="45">
        <v>28.0</v>
      </c>
      <c r="J15" s="45">
        <v>28.75</v>
      </c>
      <c r="K15" s="43" t="s">
        <v>245</v>
      </c>
      <c r="L15" s="46">
        <f t="shared" si="1"/>
        <v>0.0141</v>
      </c>
      <c r="M15" s="47">
        <f t="shared" si="2"/>
        <v>28.35026132</v>
      </c>
      <c r="N15" s="48">
        <f>VLOOKUP(A15,Total_de_acoes!A:B,2,0)</f>
        <v>235665566</v>
      </c>
      <c r="O15" s="49">
        <f t="shared" si="3"/>
        <v>94204643.35</v>
      </c>
      <c r="P15" s="46" t="str">
        <f t="shared" si="4"/>
        <v>Subiu</v>
      </c>
      <c r="Q15" s="46" t="str">
        <f>vlookup(A15,Ticker!A:B,2,0)</f>
        <v>3R Petroleum</v>
      </c>
      <c r="R15" s="50" t="str">
        <f>VLOOKUP(Q15,chatgpt!A:C,2,0)</f>
        <v>Energia/Petróleo</v>
      </c>
      <c r="S15" s="51">
        <f>VLOOKUP(R15,chatgpt!B:D,2,0)</f>
        <v>68</v>
      </c>
      <c r="T15" s="51" t="str">
        <f t="shared" si="5"/>
        <v>Entre 50 e 100</v>
      </c>
    </row>
    <row r="16">
      <c r="A16" s="34" t="s">
        <v>161</v>
      </c>
      <c r="B16" s="35">
        <v>45317.0</v>
      </c>
      <c r="C16" s="36">
        <v>35.32</v>
      </c>
      <c r="D16" s="36">
        <v>1.34</v>
      </c>
      <c r="E16" s="36">
        <v>2.76</v>
      </c>
      <c r="F16" s="36">
        <v>-1.12</v>
      </c>
      <c r="G16" s="36">
        <v>-1.12</v>
      </c>
      <c r="H16" s="36">
        <v>28.01</v>
      </c>
      <c r="I16" s="36">
        <v>34.85</v>
      </c>
      <c r="J16" s="36">
        <v>35.76</v>
      </c>
      <c r="K16" s="34" t="s">
        <v>246</v>
      </c>
      <c r="L16" s="37">
        <f t="shared" si="1"/>
        <v>0.0134</v>
      </c>
      <c r="M16" s="38">
        <f t="shared" si="2"/>
        <v>34.8529702</v>
      </c>
      <c r="N16" s="39">
        <f>VLOOKUP(A16,Total_de_acoes!A:B,2,0)</f>
        <v>1095587251</v>
      </c>
      <c r="O16" s="40">
        <f t="shared" si="3"/>
        <v>511671895.5</v>
      </c>
      <c r="P16" s="37" t="str">
        <f t="shared" si="4"/>
        <v>Subiu</v>
      </c>
      <c r="Q16" s="37" t="str">
        <f>vlookup(A16,Ticker!A:B,2,0)</f>
        <v>Equatorial Energia</v>
      </c>
      <c r="R16" s="41" t="str">
        <f>VLOOKUP(Q16,chatgpt!A:C,2,0)</f>
        <v>Energia</v>
      </c>
      <c r="S16" s="42">
        <f>VLOOKUP(R16,chatgpt!B:D,2,0)</f>
        <v>109</v>
      </c>
      <c r="T16" s="42" t="str">
        <f t="shared" si="5"/>
        <v>Mais de 100 anos</v>
      </c>
    </row>
    <row r="17">
      <c r="A17" s="43" t="s">
        <v>198</v>
      </c>
      <c r="B17" s="44">
        <v>45317.0</v>
      </c>
      <c r="C17" s="45">
        <v>18.16</v>
      </c>
      <c r="D17" s="45">
        <v>1.33</v>
      </c>
      <c r="E17" s="45">
        <v>4.79</v>
      </c>
      <c r="F17" s="45">
        <v>-7.63</v>
      </c>
      <c r="G17" s="45">
        <v>-7.63</v>
      </c>
      <c r="H17" s="45">
        <v>12.45</v>
      </c>
      <c r="I17" s="45">
        <v>18.0</v>
      </c>
      <c r="J17" s="45">
        <v>18.49</v>
      </c>
      <c r="K17" s="43" t="s">
        <v>247</v>
      </c>
      <c r="L17" s="46">
        <f t="shared" si="1"/>
        <v>0.0133</v>
      </c>
      <c r="M17" s="47">
        <f t="shared" si="2"/>
        <v>17.92164216</v>
      </c>
      <c r="N17" s="48">
        <f>VLOOKUP(A17,Total_de_acoes!A:B,2,0)</f>
        <v>600865451</v>
      </c>
      <c r="O17" s="49">
        <f t="shared" si="3"/>
        <v>143220991.5</v>
      </c>
      <c r="P17" s="46" t="str">
        <f t="shared" si="4"/>
        <v>Subiu</v>
      </c>
      <c r="Q17" s="46" t="str">
        <f>vlookup(A17,Ticker!A:B,2,0)</f>
        <v>Siderúrgica Nacional</v>
      </c>
      <c r="R17" s="50" t="str">
        <f>VLOOKUP(Q17,chatgpt!A:C,2,0)</f>
        <v>Siderurgia</v>
      </c>
      <c r="S17" s="51">
        <f>VLOOKUP(R17,chatgpt!B:D,2,0)</f>
        <v>62</v>
      </c>
      <c r="T17" s="51" t="str">
        <f t="shared" si="5"/>
        <v>Entre 50 e 100</v>
      </c>
    </row>
    <row r="18">
      <c r="A18" s="34" t="s">
        <v>212</v>
      </c>
      <c r="B18" s="35">
        <v>45317.0</v>
      </c>
      <c r="C18" s="36">
        <v>19.77</v>
      </c>
      <c r="D18" s="36">
        <v>1.28</v>
      </c>
      <c r="E18" s="36">
        <v>-5.9</v>
      </c>
      <c r="F18" s="36">
        <v>-11.82</v>
      </c>
      <c r="G18" s="36">
        <v>-11.82</v>
      </c>
      <c r="H18" s="36">
        <v>108.45</v>
      </c>
      <c r="I18" s="36">
        <v>18.99</v>
      </c>
      <c r="J18" s="36">
        <v>19.78</v>
      </c>
      <c r="K18" s="34" t="s">
        <v>248</v>
      </c>
      <c r="L18" s="37">
        <f t="shared" si="1"/>
        <v>0.0128</v>
      </c>
      <c r="M18" s="38">
        <f t="shared" si="2"/>
        <v>19.52014218</v>
      </c>
      <c r="N18" s="39">
        <f>VLOOKUP(A18,Total_de_acoes!A:B,2,0)</f>
        <v>289347914</v>
      </c>
      <c r="O18" s="40">
        <f t="shared" si="3"/>
        <v>72295838.99</v>
      </c>
      <c r="P18" s="37" t="str">
        <f t="shared" si="4"/>
        <v>Subiu</v>
      </c>
      <c r="Q18" s="37" t="str">
        <f>vlookup(A18,Ticker!A:B,2,0)</f>
        <v>YDUQS</v>
      </c>
      <c r="R18" s="41" t="str">
        <f>VLOOKUP(Q18,chatgpt!A:C,2,0)</f>
        <v>Educação</v>
      </c>
      <c r="S18" s="42">
        <f>VLOOKUP(R18,chatgpt!B:D,2,0)</f>
        <v>54</v>
      </c>
      <c r="T18" s="42" t="str">
        <f t="shared" si="5"/>
        <v>Entre 50 e 100</v>
      </c>
    </row>
    <row r="19">
      <c r="A19" s="43" t="s">
        <v>206</v>
      </c>
      <c r="B19" s="44">
        <v>45317.0</v>
      </c>
      <c r="C19" s="45">
        <v>28.31</v>
      </c>
      <c r="D19" s="45">
        <v>1.28</v>
      </c>
      <c r="E19" s="45">
        <v>2.35</v>
      </c>
      <c r="F19" s="45">
        <v>6.79</v>
      </c>
      <c r="G19" s="45">
        <v>6.79</v>
      </c>
      <c r="H19" s="45">
        <v>119.82</v>
      </c>
      <c r="I19" s="45">
        <v>27.84</v>
      </c>
      <c r="J19" s="45">
        <v>28.39</v>
      </c>
      <c r="K19" s="43" t="s">
        <v>249</v>
      </c>
      <c r="L19" s="46">
        <f t="shared" si="1"/>
        <v>0.0128</v>
      </c>
      <c r="M19" s="47">
        <f t="shared" si="2"/>
        <v>27.95221169</v>
      </c>
      <c r="N19" s="48">
        <f>VLOOKUP(A19,Total_de_acoes!A:B,2,0)</f>
        <v>1086411192</v>
      </c>
      <c r="O19" s="49">
        <f t="shared" si="3"/>
        <v>388705224</v>
      </c>
      <c r="P19" s="46" t="str">
        <f t="shared" si="4"/>
        <v>Subiu</v>
      </c>
      <c r="Q19" s="46" t="str">
        <f>vlookup(A19,Ticker!A:B,2,0)</f>
        <v>Ultrapar</v>
      </c>
      <c r="R19" s="50" t="str">
        <f>VLOOKUP(Q19,chatgpt!A:C,2,0)</f>
        <v>Energia/Química</v>
      </c>
      <c r="S19" s="51">
        <f>VLOOKUP(R19,chatgpt!B:D,2,0)</f>
        <v>84</v>
      </c>
      <c r="T19" s="51" t="str">
        <f t="shared" si="5"/>
        <v>Entre 50 e 100</v>
      </c>
    </row>
    <row r="20">
      <c r="A20" s="34" t="s">
        <v>183</v>
      </c>
      <c r="B20" s="35">
        <v>45317.0</v>
      </c>
      <c r="C20" s="36">
        <v>8.08</v>
      </c>
      <c r="D20" s="36">
        <v>1.25</v>
      </c>
      <c r="E20" s="36">
        <v>1.38</v>
      </c>
      <c r="F20" s="36">
        <v>-28.05</v>
      </c>
      <c r="G20" s="36">
        <v>-28.05</v>
      </c>
      <c r="H20" s="36">
        <v>14.12</v>
      </c>
      <c r="I20" s="36">
        <v>7.93</v>
      </c>
      <c r="J20" s="36">
        <v>8.23</v>
      </c>
      <c r="K20" s="34" t="s">
        <v>250</v>
      </c>
      <c r="L20" s="37">
        <f t="shared" si="1"/>
        <v>0.0125</v>
      </c>
      <c r="M20" s="38">
        <f t="shared" si="2"/>
        <v>7.980246914</v>
      </c>
      <c r="N20" s="39">
        <f>VLOOKUP(A20,Total_de_acoes!A:B,2,0)</f>
        <v>376187582</v>
      </c>
      <c r="O20" s="40">
        <f t="shared" si="3"/>
        <v>37525872.38</v>
      </c>
      <c r="P20" s="37" t="str">
        <f t="shared" si="4"/>
        <v>Subiu</v>
      </c>
      <c r="Q20" s="37" t="str">
        <f>vlookup(A20,Ticker!A:B,2,0)</f>
        <v>MRV</v>
      </c>
      <c r="R20" s="41" t="str">
        <f>VLOOKUP(Q20,chatgpt!A:C,2,0)</f>
        <v>Construção Civil</v>
      </c>
      <c r="S20" s="42">
        <f>VLOOKUP(R20,chatgpt!B:D,2,0)</f>
        <v>41</v>
      </c>
      <c r="T20" s="42" t="str">
        <f t="shared" si="5"/>
        <v>Menos de 50 anos</v>
      </c>
    </row>
    <row r="21">
      <c r="A21" s="43" t="s">
        <v>130</v>
      </c>
      <c r="B21" s="44">
        <v>45317.0</v>
      </c>
      <c r="C21" s="45">
        <v>57.91</v>
      </c>
      <c r="D21" s="45">
        <v>1.15</v>
      </c>
      <c r="E21" s="45">
        <v>-1.03</v>
      </c>
      <c r="F21" s="45">
        <v>-10.26</v>
      </c>
      <c r="G21" s="45">
        <v>-10.26</v>
      </c>
      <c r="H21" s="45">
        <v>-28.97</v>
      </c>
      <c r="I21" s="45">
        <v>56.22</v>
      </c>
      <c r="J21" s="45">
        <v>59.29</v>
      </c>
      <c r="K21" s="43" t="s">
        <v>251</v>
      </c>
      <c r="L21" s="46">
        <f t="shared" si="1"/>
        <v>0.0115</v>
      </c>
      <c r="M21" s="47">
        <f t="shared" si="2"/>
        <v>57.25160652</v>
      </c>
      <c r="N21" s="48">
        <f>VLOOKUP(A21,Total_de_acoes!A:B,2,0)</f>
        <v>62305891</v>
      </c>
      <c r="O21" s="49">
        <f t="shared" si="3"/>
        <v>41021792.09</v>
      </c>
      <c r="P21" s="46" t="str">
        <f t="shared" si="4"/>
        <v>Subiu</v>
      </c>
      <c r="Q21" s="46" t="str">
        <f>vlookup(A21,Ticker!A:B,2,0)</f>
        <v>Arezzo</v>
      </c>
      <c r="R21" s="50" t="str">
        <f>VLOOKUP(Q21,chatgpt!A:C,2,0)</f>
        <v>Vestuário</v>
      </c>
      <c r="S21" s="51">
        <f>VLOOKUP(R21,chatgpt!B:D,2,0)</f>
        <v>48</v>
      </c>
      <c r="T21" s="51" t="str">
        <f t="shared" si="5"/>
        <v>Menos de 50 anos</v>
      </c>
    </row>
    <row r="22">
      <c r="A22" s="34" t="s">
        <v>136</v>
      </c>
      <c r="B22" s="35">
        <v>45317.0</v>
      </c>
      <c r="C22" s="36">
        <v>15.52</v>
      </c>
      <c r="D22" s="36">
        <v>1.04</v>
      </c>
      <c r="E22" s="36">
        <v>-0.77</v>
      </c>
      <c r="F22" s="36">
        <v>-9.08</v>
      </c>
      <c r="G22" s="36">
        <v>-9.08</v>
      </c>
      <c r="H22" s="36">
        <v>16.11</v>
      </c>
      <c r="I22" s="36">
        <v>15.35</v>
      </c>
      <c r="J22" s="36">
        <v>15.62</v>
      </c>
      <c r="K22" s="34" t="s">
        <v>252</v>
      </c>
      <c r="L22" s="37">
        <f t="shared" si="1"/>
        <v>0.0104</v>
      </c>
      <c r="M22" s="38">
        <f t="shared" si="2"/>
        <v>15.36025337</v>
      </c>
      <c r="N22" s="39">
        <f>VLOOKUP(A22,Total_de_acoes!A:B,2,0)</f>
        <v>5146576868</v>
      </c>
      <c r="O22" s="40">
        <f t="shared" si="3"/>
        <v>822148336.4</v>
      </c>
      <c r="P22" s="37" t="str">
        <f t="shared" si="4"/>
        <v>Subiu</v>
      </c>
      <c r="Q22" s="37" t="str">
        <f>vlookup(A22,Ticker!A:B,2,0)</f>
        <v>Banco Bradesco</v>
      </c>
      <c r="R22" s="41" t="str">
        <f>VLOOKUP(Q22,chatgpt!A:C,2,0)</f>
        <v>Bancário</v>
      </c>
      <c r="S22" s="42">
        <f>VLOOKUP(R22,chatgpt!B:D,2,0)</f>
        <v>97</v>
      </c>
      <c r="T22" s="42" t="str">
        <f t="shared" si="5"/>
        <v>Entre 50 e 100</v>
      </c>
    </row>
    <row r="23">
      <c r="A23" s="43" t="s">
        <v>182</v>
      </c>
      <c r="B23" s="44">
        <v>45317.0</v>
      </c>
      <c r="C23" s="45">
        <v>7.19</v>
      </c>
      <c r="D23" s="45">
        <v>0.98</v>
      </c>
      <c r="E23" s="45">
        <v>6.05</v>
      </c>
      <c r="F23" s="45">
        <v>-3.75</v>
      </c>
      <c r="G23" s="45">
        <v>-3.75</v>
      </c>
      <c r="H23" s="45">
        <v>-48.31</v>
      </c>
      <c r="I23" s="45">
        <v>7.11</v>
      </c>
      <c r="J23" s="45">
        <v>7.24</v>
      </c>
      <c r="K23" s="43" t="s">
        <v>253</v>
      </c>
      <c r="L23" s="46">
        <f t="shared" si="1"/>
        <v>0.0098</v>
      </c>
      <c r="M23" s="47">
        <f t="shared" si="2"/>
        <v>7.120221826</v>
      </c>
      <c r="N23" s="48">
        <f>VLOOKUP(A23,Total_de_acoes!A:B,2,0)</f>
        <v>261036182</v>
      </c>
      <c r="O23" s="49">
        <f t="shared" si="3"/>
        <v>18214628.1</v>
      </c>
      <c r="P23" s="46" t="str">
        <f t="shared" si="4"/>
        <v>Subiu</v>
      </c>
      <c r="Q23" s="46" t="str">
        <f>vlookup(A23,Ticker!A:B,2,0)</f>
        <v>Minerva</v>
      </c>
      <c r="R23" s="50" t="str">
        <f>VLOOKUP(Q23,chatgpt!A:C,2,0)</f>
        <v>Alimentos</v>
      </c>
      <c r="S23" s="51">
        <f>VLOOKUP(R23,chatgpt!B:D,2,0)</f>
        <v>29</v>
      </c>
      <c r="T23" s="51" t="str">
        <f t="shared" si="5"/>
        <v>Menos de 50 anos</v>
      </c>
    </row>
    <row r="24">
      <c r="A24" s="34" t="s">
        <v>185</v>
      </c>
      <c r="B24" s="35">
        <v>45317.0</v>
      </c>
      <c r="C24" s="36">
        <v>4.14</v>
      </c>
      <c r="D24" s="36">
        <v>0.97</v>
      </c>
      <c r="E24" s="36">
        <v>-6.33</v>
      </c>
      <c r="F24" s="36">
        <v>1.97</v>
      </c>
      <c r="G24" s="36">
        <v>1.97</v>
      </c>
      <c r="H24" s="36">
        <v>-51.18</v>
      </c>
      <c r="I24" s="36">
        <v>4.08</v>
      </c>
      <c r="J24" s="36">
        <v>4.2</v>
      </c>
      <c r="K24" s="34" t="s">
        <v>254</v>
      </c>
      <c r="L24" s="37">
        <f t="shared" si="1"/>
        <v>0.0097</v>
      </c>
      <c r="M24" s="38">
        <f t="shared" si="2"/>
        <v>4.10022779</v>
      </c>
      <c r="N24" s="39">
        <f>VLOOKUP(A24,Total_de_acoes!A:B,2,0)</f>
        <v>159430826</v>
      </c>
      <c r="O24" s="40">
        <f t="shared" si="3"/>
        <v>6340916.223</v>
      </c>
      <c r="P24" s="37" t="str">
        <f t="shared" si="4"/>
        <v>Subiu</v>
      </c>
      <c r="Q24" s="37" t="str">
        <f>vlookup(A24,Ticker!A:B,2,0)</f>
        <v>Grupo Pão de Açúcar</v>
      </c>
      <c r="R24" s="41" t="str">
        <f>VLOOKUP(Q24,chatgpt!A:C,2,0)</f>
        <v>Alimentos</v>
      </c>
      <c r="S24" s="42">
        <f>VLOOKUP(R24,chatgpt!B:D,2,0)</f>
        <v>29</v>
      </c>
      <c r="T24" s="42" t="str">
        <f t="shared" si="5"/>
        <v>Menos de 50 anos</v>
      </c>
    </row>
    <row r="25">
      <c r="A25" s="43" t="s">
        <v>140</v>
      </c>
      <c r="B25" s="44">
        <v>45317.0</v>
      </c>
      <c r="C25" s="45">
        <v>14.61</v>
      </c>
      <c r="D25" s="45">
        <v>0.96</v>
      </c>
      <c r="E25" s="45">
        <v>12.38</v>
      </c>
      <c r="F25" s="45">
        <v>5.79</v>
      </c>
      <c r="G25" s="45">
        <v>5.79</v>
      </c>
      <c r="H25" s="45">
        <v>78.17</v>
      </c>
      <c r="I25" s="45">
        <v>14.46</v>
      </c>
      <c r="J25" s="45">
        <v>14.93</v>
      </c>
      <c r="K25" s="43" t="s">
        <v>255</v>
      </c>
      <c r="L25" s="46">
        <f t="shared" si="1"/>
        <v>0.0096</v>
      </c>
      <c r="M25" s="47">
        <f t="shared" si="2"/>
        <v>14.47107765</v>
      </c>
      <c r="N25" s="48">
        <f>VLOOKUP(A25,Total_de_acoes!A:B,2,0)</f>
        <v>1677525446</v>
      </c>
      <c r="O25" s="49">
        <f t="shared" si="3"/>
        <v>233045769.6</v>
      </c>
      <c r="P25" s="46" t="str">
        <f t="shared" si="4"/>
        <v>Subiu</v>
      </c>
      <c r="Q25" s="46" t="str">
        <f>vlookup(A25,Ticker!A:B,2,0)</f>
        <v>BRF</v>
      </c>
      <c r="R25" s="50" t="str">
        <f>VLOOKUP(Q25,chatgpt!A:C,2,0)</f>
        <v>Alimentos</v>
      </c>
      <c r="S25" s="51">
        <f>VLOOKUP(R25,chatgpt!B:D,2,0)</f>
        <v>29</v>
      </c>
      <c r="T25" s="51" t="str">
        <f t="shared" si="5"/>
        <v>Menos de 50 anos</v>
      </c>
    </row>
    <row r="26">
      <c r="A26" s="34" t="s">
        <v>202</v>
      </c>
      <c r="B26" s="35">
        <v>45317.0</v>
      </c>
      <c r="C26" s="36">
        <v>51.2</v>
      </c>
      <c r="D26" s="36">
        <v>0.88</v>
      </c>
      <c r="E26" s="36">
        <v>1.09</v>
      </c>
      <c r="F26" s="36">
        <v>-4.19</v>
      </c>
      <c r="G26" s="36">
        <v>-4.19</v>
      </c>
      <c r="H26" s="36">
        <v>32.78</v>
      </c>
      <c r="I26" s="36">
        <v>50.62</v>
      </c>
      <c r="J26" s="36">
        <v>51.26</v>
      </c>
      <c r="K26" s="34" t="s">
        <v>256</v>
      </c>
      <c r="L26" s="37">
        <f t="shared" si="1"/>
        <v>0.0088</v>
      </c>
      <c r="M26" s="38">
        <f t="shared" si="2"/>
        <v>50.75337034</v>
      </c>
      <c r="N26" s="39">
        <f>VLOOKUP(A26,Total_de_acoes!A:B,2,0)</f>
        <v>423091712</v>
      </c>
      <c r="O26" s="40">
        <f t="shared" si="3"/>
        <v>188965307.1</v>
      </c>
      <c r="P26" s="37" t="str">
        <f t="shared" si="4"/>
        <v>Subiu</v>
      </c>
      <c r="Q26" s="37" t="str">
        <f>vlookup(A26,Ticker!A:B,2,0)</f>
        <v>Vivo</v>
      </c>
      <c r="R26" s="41" t="str">
        <f>VLOOKUP(Q26,chatgpt!A:C,2,0)</f>
        <v>Telecomunicações</v>
      </c>
      <c r="S26" s="42">
        <f>VLOOKUP(R26,chatgpt!B:D,2,0)</f>
        <v>21</v>
      </c>
      <c r="T26" s="42" t="str">
        <f t="shared" si="5"/>
        <v>Menos de 50 anos</v>
      </c>
    </row>
    <row r="27">
      <c r="A27" s="43" t="s">
        <v>194</v>
      </c>
      <c r="B27" s="44">
        <v>45317.0</v>
      </c>
      <c r="C27" s="45">
        <v>22.64</v>
      </c>
      <c r="D27" s="45">
        <v>0.84</v>
      </c>
      <c r="E27" s="45">
        <v>1.07</v>
      </c>
      <c r="F27" s="45">
        <v>-1.35</v>
      </c>
      <c r="G27" s="45">
        <v>-1.35</v>
      </c>
      <c r="H27" s="45">
        <v>20.93</v>
      </c>
      <c r="I27" s="45">
        <v>22.32</v>
      </c>
      <c r="J27" s="45">
        <v>22.83</v>
      </c>
      <c r="K27" s="43" t="s">
        <v>257</v>
      </c>
      <c r="L27" s="46">
        <f t="shared" si="1"/>
        <v>0.0084</v>
      </c>
      <c r="M27" s="47">
        <f t="shared" si="2"/>
        <v>22.45140817</v>
      </c>
      <c r="N27" s="48">
        <f>VLOOKUP(A27,Total_de_acoes!A:B,2,0)</f>
        <v>1218352541</v>
      </c>
      <c r="O27" s="49">
        <f t="shared" si="3"/>
        <v>229771333.6</v>
      </c>
      <c r="P27" s="46" t="str">
        <f t="shared" si="4"/>
        <v>Subiu</v>
      </c>
      <c r="Q27" s="46" t="str">
        <f>vlookup(A27,Ticker!A:B,2,0)</f>
        <v>Rumo</v>
      </c>
      <c r="R27" s="50" t="str">
        <f>VLOOKUP(Q27,chatgpt!A:C,2,0)</f>
        <v>Transporte</v>
      </c>
      <c r="S27" s="51">
        <f>VLOOKUP(R27,chatgpt!B:D,2,0)</f>
        <v>14</v>
      </c>
      <c r="T27" s="51" t="str">
        <f t="shared" si="5"/>
        <v>Menos de 50 anos</v>
      </c>
    </row>
    <row r="28">
      <c r="A28" s="34" t="s">
        <v>146</v>
      </c>
      <c r="B28" s="35">
        <v>45317.0</v>
      </c>
      <c r="C28" s="36">
        <v>4.9</v>
      </c>
      <c r="D28" s="36">
        <v>0.82</v>
      </c>
      <c r="E28" s="36">
        <v>9.38</v>
      </c>
      <c r="F28" s="36">
        <v>5.83</v>
      </c>
      <c r="G28" s="36">
        <v>5.83</v>
      </c>
      <c r="H28" s="36">
        <v>-2.19</v>
      </c>
      <c r="I28" s="36">
        <v>4.82</v>
      </c>
      <c r="J28" s="36">
        <v>4.97</v>
      </c>
      <c r="K28" s="34" t="s">
        <v>258</v>
      </c>
      <c r="L28" s="37">
        <f t="shared" si="1"/>
        <v>0.0082</v>
      </c>
      <c r="M28" s="38">
        <f t="shared" si="2"/>
        <v>4.860146796</v>
      </c>
      <c r="N28" s="39">
        <f>VLOOKUP(A28,Total_de_acoes!A:B,2,0)</f>
        <v>1095462329</v>
      </c>
      <c r="O28" s="40">
        <f t="shared" si="3"/>
        <v>43657683.38</v>
      </c>
      <c r="P28" s="37" t="str">
        <f t="shared" si="4"/>
        <v>Subiu</v>
      </c>
      <c r="Q28" s="37" t="str">
        <f>vlookup(A28,Ticker!A:B,2,0)</f>
        <v>Cielo</v>
      </c>
      <c r="R28" s="41" t="str">
        <f>VLOOKUP(Q28,chatgpt!A:C,2,0)</f>
        <v>Serviços Financeiros</v>
      </c>
      <c r="S28" s="42">
        <f>VLOOKUP(R28,chatgpt!B:D,2,0)</f>
        <v>24</v>
      </c>
      <c r="T28" s="42" t="str">
        <f t="shared" si="5"/>
        <v>Menos de 50 anos</v>
      </c>
    </row>
    <row r="29">
      <c r="A29" s="43" t="s">
        <v>154</v>
      </c>
      <c r="B29" s="44">
        <v>45317.0</v>
      </c>
      <c r="C29" s="45">
        <v>7.81</v>
      </c>
      <c r="D29" s="45">
        <v>0.77</v>
      </c>
      <c r="E29" s="45">
        <v>3.17</v>
      </c>
      <c r="F29" s="45">
        <v>-3.22</v>
      </c>
      <c r="G29" s="45">
        <v>-3.22</v>
      </c>
      <c r="H29" s="45">
        <v>9.94</v>
      </c>
      <c r="I29" s="45">
        <v>7.7</v>
      </c>
      <c r="J29" s="45">
        <v>7.85</v>
      </c>
      <c r="K29" s="43" t="s">
        <v>259</v>
      </c>
      <c r="L29" s="46">
        <f t="shared" si="1"/>
        <v>0.0077</v>
      </c>
      <c r="M29" s="47">
        <f t="shared" si="2"/>
        <v>7.750322517</v>
      </c>
      <c r="N29" s="48">
        <f>VLOOKUP(A29,Total_de_acoes!A:B,2,0)</f>
        <v>302768240</v>
      </c>
      <c r="O29" s="49">
        <f t="shared" si="3"/>
        <v>18068446.61</v>
      </c>
      <c r="P29" s="46" t="str">
        <f t="shared" si="4"/>
        <v>Subiu</v>
      </c>
      <c r="Q29" s="46" t="str">
        <f>vlookup(A29,Ticker!A:B,2,0)</f>
        <v>Dexco</v>
      </c>
      <c r="R29" s="50" t="str">
        <f>VLOOKUP(Q29,chatgpt!A:C,2,0)</f>
        <v>Serviços Financeiros</v>
      </c>
      <c r="S29" s="51">
        <f>VLOOKUP(R29,chatgpt!B:D,2,0)</f>
        <v>24</v>
      </c>
      <c r="T29" s="51" t="str">
        <f t="shared" si="5"/>
        <v>Menos de 50 anos</v>
      </c>
    </row>
    <row r="30">
      <c r="A30" s="34" t="s">
        <v>203</v>
      </c>
      <c r="B30" s="35">
        <v>45317.0</v>
      </c>
      <c r="C30" s="36">
        <v>17.52</v>
      </c>
      <c r="D30" s="36">
        <v>0.74</v>
      </c>
      <c r="E30" s="36">
        <v>-0.57</v>
      </c>
      <c r="F30" s="36">
        <v>-2.29</v>
      </c>
      <c r="G30" s="36">
        <v>-2.29</v>
      </c>
      <c r="H30" s="36">
        <v>56.87</v>
      </c>
      <c r="I30" s="36">
        <v>17.36</v>
      </c>
      <c r="J30" s="36">
        <v>17.58</v>
      </c>
      <c r="K30" s="34" t="s">
        <v>260</v>
      </c>
      <c r="L30" s="37">
        <f t="shared" si="1"/>
        <v>0.0074</v>
      </c>
      <c r="M30" s="38">
        <f t="shared" si="2"/>
        <v>17.39130435</v>
      </c>
      <c r="N30" s="39">
        <f>VLOOKUP(A30,Total_de_acoes!A:B,2,0)</f>
        <v>807896814</v>
      </c>
      <c r="O30" s="40">
        <f t="shared" si="3"/>
        <v>103972807.4</v>
      </c>
      <c r="P30" s="37" t="str">
        <f t="shared" si="4"/>
        <v>Subiu</v>
      </c>
      <c r="Q30" s="37" t="str">
        <f>vlookup(A30,Ticker!A:B,2,0)</f>
        <v>TIM</v>
      </c>
      <c r="R30" s="41" t="str">
        <f>VLOOKUP(Q30,chatgpt!A:C,2,0)</f>
        <v>Telecomunicações</v>
      </c>
      <c r="S30" s="42">
        <f>VLOOKUP(R30,chatgpt!B:D,2,0)</f>
        <v>21</v>
      </c>
      <c r="T30" s="42" t="str">
        <f t="shared" si="5"/>
        <v>Menos de 50 anos</v>
      </c>
    </row>
    <row r="31">
      <c r="A31" s="43" t="s">
        <v>137</v>
      </c>
      <c r="B31" s="44">
        <v>45317.0</v>
      </c>
      <c r="C31" s="45">
        <v>23.22</v>
      </c>
      <c r="D31" s="45">
        <v>0.73</v>
      </c>
      <c r="E31" s="45">
        <v>1.93</v>
      </c>
      <c r="F31" s="45">
        <v>-9.51</v>
      </c>
      <c r="G31" s="45">
        <v>-9.51</v>
      </c>
      <c r="H31" s="45">
        <v>-20.4</v>
      </c>
      <c r="I31" s="45">
        <v>22.69</v>
      </c>
      <c r="J31" s="45">
        <v>23.28</v>
      </c>
      <c r="K31" s="43" t="s">
        <v>261</v>
      </c>
      <c r="L31" s="46">
        <f t="shared" si="1"/>
        <v>0.0073</v>
      </c>
      <c r="M31" s="47">
        <f t="shared" si="2"/>
        <v>23.05172243</v>
      </c>
      <c r="N31" s="48">
        <f>VLOOKUP(A31,Total_de_acoes!A:B,2,0)</f>
        <v>251003438</v>
      </c>
      <c r="O31" s="49">
        <f t="shared" si="3"/>
        <v>42238249.54</v>
      </c>
      <c r="P31" s="46" t="str">
        <f t="shared" si="4"/>
        <v>Subiu</v>
      </c>
      <c r="Q31" s="46" t="str">
        <f>vlookup(A31,Ticker!A:B,2,0)</f>
        <v>Bradespar</v>
      </c>
      <c r="R31" s="50" t="str">
        <f>VLOOKUP(Q31,chatgpt!A:C,2,0)</f>
        <v>Investimentos</v>
      </c>
      <c r="S31" s="51">
        <f>VLOOKUP(R31,chatgpt!B:D,2,0)</f>
        <v>22</v>
      </c>
      <c r="T31" s="51" t="str">
        <f t="shared" si="5"/>
        <v>Menos de 50 anos</v>
      </c>
    </row>
    <row r="32">
      <c r="A32" s="34" t="s">
        <v>179</v>
      </c>
      <c r="B32" s="35">
        <v>45317.0</v>
      </c>
      <c r="C32" s="36">
        <v>5.55</v>
      </c>
      <c r="D32" s="36">
        <v>0.72</v>
      </c>
      <c r="E32" s="36">
        <v>-3.65</v>
      </c>
      <c r="F32" s="36">
        <v>-7.65</v>
      </c>
      <c r="G32" s="36">
        <v>-7.65</v>
      </c>
      <c r="H32" s="36">
        <v>-14.03</v>
      </c>
      <c r="I32" s="36">
        <v>5.46</v>
      </c>
      <c r="J32" s="36">
        <v>5.6</v>
      </c>
      <c r="K32" s="34" t="s">
        <v>262</v>
      </c>
      <c r="L32" s="37">
        <f t="shared" si="1"/>
        <v>0.0072</v>
      </c>
      <c r="M32" s="38">
        <f t="shared" si="2"/>
        <v>5.510325655</v>
      </c>
      <c r="N32" s="39">
        <f>VLOOKUP(A32,Total_de_acoes!A:B,2,0)</f>
        <v>393173139</v>
      </c>
      <c r="O32" s="40">
        <f t="shared" si="3"/>
        <v>15598886.65</v>
      </c>
      <c r="P32" s="37" t="str">
        <f t="shared" si="4"/>
        <v>Subiu</v>
      </c>
      <c r="Q32" s="37" t="str">
        <f>vlookup(A32,Ticker!A:B,2,0)</f>
        <v>Locaweb</v>
      </c>
      <c r="R32" s="41" t="str">
        <f>VLOOKUP(Q32,chatgpt!A:C,2,0)</f>
        <v>Tecnologia</v>
      </c>
      <c r="S32" s="42">
        <f>VLOOKUP(R32,chatgpt!B:D,2,0)</f>
        <v>24</v>
      </c>
      <c r="T32" s="42" t="str">
        <f t="shared" si="5"/>
        <v>Menos de 50 anos</v>
      </c>
    </row>
    <row r="33">
      <c r="A33" s="43" t="s">
        <v>188</v>
      </c>
      <c r="B33" s="44">
        <v>45317.0</v>
      </c>
      <c r="C33" s="45">
        <v>23.83</v>
      </c>
      <c r="D33" s="45">
        <v>0.71</v>
      </c>
      <c r="E33" s="45">
        <v>1.49</v>
      </c>
      <c r="F33" s="45">
        <v>9.71</v>
      </c>
      <c r="G33" s="45">
        <v>9.71</v>
      </c>
      <c r="H33" s="45">
        <v>-26.61</v>
      </c>
      <c r="I33" s="45">
        <v>23.36</v>
      </c>
      <c r="J33" s="45">
        <v>23.99</v>
      </c>
      <c r="K33" s="43" t="s">
        <v>263</v>
      </c>
      <c r="L33" s="46">
        <f t="shared" si="1"/>
        <v>0.0071</v>
      </c>
      <c r="M33" s="47">
        <f t="shared" si="2"/>
        <v>23.6619998</v>
      </c>
      <c r="N33" s="48">
        <f>VLOOKUP(A33,Total_de_acoes!A:B,2,0)</f>
        <v>275005663</v>
      </c>
      <c r="O33" s="49">
        <f t="shared" si="3"/>
        <v>46201006</v>
      </c>
      <c r="P33" s="46" t="str">
        <f t="shared" si="4"/>
        <v>Subiu</v>
      </c>
      <c r="Q33" s="46" t="str">
        <f>vlookup(A33,Ticker!A:B,2,0)</f>
        <v>PetroRecôncavo</v>
      </c>
      <c r="R33" s="50" t="str">
        <f>VLOOKUP(Q33,chatgpt!A:C,2,0)</f>
        <v>Energia/Petróleo</v>
      </c>
      <c r="S33" s="51">
        <f>VLOOKUP(R33,chatgpt!B:D,2,0)</f>
        <v>68</v>
      </c>
      <c r="T33" s="51" t="str">
        <f t="shared" si="5"/>
        <v>Entre 50 e 100</v>
      </c>
    </row>
    <row r="34">
      <c r="A34" s="34" t="s">
        <v>173</v>
      </c>
      <c r="B34" s="35">
        <v>45317.0</v>
      </c>
      <c r="C34" s="36">
        <v>10.01</v>
      </c>
      <c r="D34" s="36">
        <v>0.7</v>
      </c>
      <c r="E34" s="36">
        <v>-0.3</v>
      </c>
      <c r="F34" s="36">
        <v>-3.47</v>
      </c>
      <c r="G34" s="36">
        <v>-3.47</v>
      </c>
      <c r="H34" s="36">
        <v>29.0</v>
      </c>
      <c r="I34" s="36">
        <v>9.93</v>
      </c>
      <c r="J34" s="36">
        <v>10.06</v>
      </c>
      <c r="K34" s="34" t="s">
        <v>264</v>
      </c>
      <c r="L34" s="37">
        <f t="shared" si="1"/>
        <v>0.007</v>
      </c>
      <c r="M34" s="38">
        <f t="shared" si="2"/>
        <v>9.94041708</v>
      </c>
      <c r="N34" s="39">
        <f>VLOOKUP(A34,Total_de_acoes!A:B,2,0)</f>
        <v>5372783971</v>
      </c>
      <c r="O34" s="40">
        <f t="shared" si="3"/>
        <v>373853994.9</v>
      </c>
      <c r="P34" s="37" t="str">
        <f t="shared" si="4"/>
        <v>Subiu</v>
      </c>
      <c r="Q34" s="37" t="str">
        <f>vlookup(A34,Ticker!A:B,2,0)</f>
        <v>Itaúsa</v>
      </c>
      <c r="R34" s="41" t="str">
        <f>VLOOKUP(Q34,chatgpt!A:C,2,0)</f>
        <v>Investimentos</v>
      </c>
      <c r="S34" s="42">
        <f>VLOOKUP(R34,chatgpt!B:D,2,0)</f>
        <v>22</v>
      </c>
      <c r="T34" s="42" t="str">
        <f t="shared" si="5"/>
        <v>Menos de 50 anos</v>
      </c>
    </row>
    <row r="35">
      <c r="A35" s="43" t="s">
        <v>138</v>
      </c>
      <c r="B35" s="44">
        <v>45317.0</v>
      </c>
      <c r="C35" s="45">
        <v>56.97</v>
      </c>
      <c r="D35" s="45">
        <v>0.68</v>
      </c>
      <c r="E35" s="45">
        <v>1.88</v>
      </c>
      <c r="F35" s="45">
        <v>2.85</v>
      </c>
      <c r="G35" s="45">
        <v>2.85</v>
      </c>
      <c r="H35" s="45">
        <v>52.87</v>
      </c>
      <c r="I35" s="45">
        <v>56.55</v>
      </c>
      <c r="J35" s="45">
        <v>56.99</v>
      </c>
      <c r="K35" s="43" t="s">
        <v>265</v>
      </c>
      <c r="L35" s="46">
        <f t="shared" si="1"/>
        <v>0.0068</v>
      </c>
      <c r="M35" s="47">
        <f t="shared" si="2"/>
        <v>56.5852205</v>
      </c>
      <c r="N35" s="48">
        <f>VLOOKUP(A35,Total_de_acoes!A:B,2,0)</f>
        <v>1420949112</v>
      </c>
      <c r="O35" s="49">
        <f t="shared" si="3"/>
        <v>546752088</v>
      </c>
      <c r="P35" s="46" t="str">
        <f t="shared" si="4"/>
        <v>Subiu</v>
      </c>
      <c r="Q35" s="46" t="str">
        <f>vlookup(A35,Ticker!A:B,2,0)</f>
        <v>Banco do Brasil</v>
      </c>
      <c r="R35" s="50" t="str">
        <f>VLOOKUP(Q35,chatgpt!A:C,2,0)</f>
        <v>Bancário</v>
      </c>
      <c r="S35" s="51">
        <f>VLOOKUP(R35,chatgpt!B:D,2,0)</f>
        <v>97</v>
      </c>
      <c r="T35" s="51" t="str">
        <f t="shared" si="5"/>
        <v>Entre 50 e 100</v>
      </c>
    </row>
    <row r="36">
      <c r="A36" s="34" t="s">
        <v>191</v>
      </c>
      <c r="B36" s="35">
        <v>45317.0</v>
      </c>
      <c r="C36" s="36">
        <v>26.16</v>
      </c>
      <c r="D36" s="36">
        <v>0.61</v>
      </c>
      <c r="E36" s="36">
        <v>-2.75</v>
      </c>
      <c r="F36" s="36">
        <v>-11.02</v>
      </c>
      <c r="G36" s="36">
        <v>-11.02</v>
      </c>
      <c r="H36" s="36">
        <v>10.07</v>
      </c>
      <c r="I36" s="36">
        <v>25.87</v>
      </c>
      <c r="J36" s="36">
        <v>26.38</v>
      </c>
      <c r="K36" s="34" t="s">
        <v>266</v>
      </c>
      <c r="L36" s="37">
        <f t="shared" si="1"/>
        <v>0.0061</v>
      </c>
      <c r="M36" s="38">
        <f t="shared" si="2"/>
        <v>26.00139151</v>
      </c>
      <c r="N36" s="39">
        <f>VLOOKUP(A36,Total_de_acoes!A:B,2,0)</f>
        <v>1275798515</v>
      </c>
      <c r="O36" s="40">
        <f t="shared" si="3"/>
        <v>202352473.7</v>
      </c>
      <c r="P36" s="37" t="str">
        <f t="shared" si="4"/>
        <v>Subiu</v>
      </c>
      <c r="Q36" s="37" t="str">
        <f>vlookup(A36,Ticker!A:B,2,0)</f>
        <v>RaiaDrogasil</v>
      </c>
      <c r="R36" s="41" t="str">
        <f>VLOOKUP(Q36,chatgpt!A:C,2,0)</f>
        <v>Varejo/Farmacêutico</v>
      </c>
      <c r="S36" s="42">
        <f>VLOOKUP(R36,chatgpt!B:D,2,0)</f>
        <v>116</v>
      </c>
      <c r="T36" s="42" t="str">
        <f t="shared" si="5"/>
        <v>Mais de 100 anos</v>
      </c>
    </row>
    <row r="37">
      <c r="A37" s="43" t="s">
        <v>165</v>
      </c>
      <c r="B37" s="44">
        <v>45317.0</v>
      </c>
      <c r="C37" s="45">
        <v>10.08</v>
      </c>
      <c r="D37" s="45">
        <v>0.59</v>
      </c>
      <c r="E37" s="45">
        <v>3.28</v>
      </c>
      <c r="F37" s="45">
        <v>-7.18</v>
      </c>
      <c r="G37" s="45">
        <v>-7.18</v>
      </c>
      <c r="H37" s="45">
        <v>-21.14</v>
      </c>
      <c r="I37" s="45">
        <v>10.03</v>
      </c>
      <c r="J37" s="45">
        <v>10.14</v>
      </c>
      <c r="K37" s="43" t="s">
        <v>267</v>
      </c>
      <c r="L37" s="46">
        <f t="shared" si="1"/>
        <v>0.0059</v>
      </c>
      <c r="M37" s="47">
        <f t="shared" si="2"/>
        <v>10.02087683</v>
      </c>
      <c r="N37" s="48">
        <f>VLOOKUP(A37,Total_de_acoes!A:B,2,0)</f>
        <v>660411219</v>
      </c>
      <c r="O37" s="49">
        <f t="shared" si="3"/>
        <v>39045606.94</v>
      </c>
      <c r="P37" s="46" t="str">
        <f t="shared" si="4"/>
        <v>Subiu</v>
      </c>
      <c r="Q37" s="46" t="str">
        <f>vlookup(A37,Ticker!A:B,2,0)</f>
        <v>Metalúrgica Gerdau</v>
      </c>
      <c r="R37" s="50" t="str">
        <f>VLOOKUP(Q37,chatgpt!A:C,2,0)</f>
        <v>Siderurgia</v>
      </c>
      <c r="S37" s="51">
        <f>VLOOKUP(R37,chatgpt!B:D,2,0)</f>
        <v>62</v>
      </c>
      <c r="T37" s="51" t="str">
        <f t="shared" si="5"/>
        <v>Entre 50 e 100</v>
      </c>
    </row>
    <row r="38">
      <c r="A38" s="34" t="s">
        <v>149</v>
      </c>
      <c r="B38" s="35">
        <v>45317.0</v>
      </c>
      <c r="C38" s="36">
        <v>18.57</v>
      </c>
      <c r="D38" s="36">
        <v>0.59</v>
      </c>
      <c r="E38" s="36">
        <v>2.65</v>
      </c>
      <c r="F38" s="36">
        <v>-4.08</v>
      </c>
      <c r="G38" s="36">
        <v>-4.08</v>
      </c>
      <c r="H38" s="36">
        <v>13.35</v>
      </c>
      <c r="I38" s="36">
        <v>18.3</v>
      </c>
      <c r="J38" s="36">
        <v>18.66</v>
      </c>
      <c r="K38" s="34" t="s">
        <v>268</v>
      </c>
      <c r="L38" s="37">
        <f t="shared" si="1"/>
        <v>0.0059</v>
      </c>
      <c r="M38" s="38">
        <f t="shared" si="2"/>
        <v>18.46107963</v>
      </c>
      <c r="N38" s="39">
        <f>VLOOKUP(A38,Total_de_acoes!A:B,2,0)</f>
        <v>1168097881</v>
      </c>
      <c r="O38" s="40">
        <f t="shared" si="3"/>
        <v>127229653.2</v>
      </c>
      <c r="P38" s="37" t="str">
        <f t="shared" si="4"/>
        <v>Subiu</v>
      </c>
      <c r="Q38" s="37" t="str">
        <f>vlookup(A38,Ticker!A:B,2,0)</f>
        <v>Cosan</v>
      </c>
      <c r="R38" s="41" t="str">
        <f>VLOOKUP(Q38,chatgpt!A:C,2,0)</f>
        <v>Energia</v>
      </c>
      <c r="S38" s="42">
        <f>VLOOKUP(R38,chatgpt!B:D,2,0)</f>
        <v>109</v>
      </c>
      <c r="T38" s="42" t="str">
        <f t="shared" si="5"/>
        <v>Mais de 100 anos</v>
      </c>
    </row>
    <row r="39">
      <c r="A39" s="43" t="s">
        <v>175</v>
      </c>
      <c r="B39" s="44">
        <v>45317.0</v>
      </c>
      <c r="C39" s="45">
        <v>24.34</v>
      </c>
      <c r="D39" s="45">
        <v>0.57</v>
      </c>
      <c r="E39" s="45">
        <v>2.48</v>
      </c>
      <c r="F39" s="45">
        <v>-2.29</v>
      </c>
      <c r="G39" s="45">
        <v>-2.29</v>
      </c>
      <c r="H39" s="45">
        <v>17.29</v>
      </c>
      <c r="I39" s="45">
        <v>24.17</v>
      </c>
      <c r="J39" s="45">
        <v>24.56</v>
      </c>
      <c r="K39" s="43" t="s">
        <v>269</v>
      </c>
      <c r="L39" s="46">
        <f t="shared" si="1"/>
        <v>0.0057</v>
      </c>
      <c r="M39" s="47">
        <f t="shared" si="2"/>
        <v>24.20204832</v>
      </c>
      <c r="N39" s="48">
        <f>VLOOKUP(A39,Total_de_acoes!A:B,2,0)</f>
        <v>1134986472</v>
      </c>
      <c r="O39" s="49">
        <f t="shared" si="3"/>
        <v>156573285.4</v>
      </c>
      <c r="P39" s="46" t="str">
        <f t="shared" si="4"/>
        <v>Subiu</v>
      </c>
      <c r="Q39" s="46" t="str">
        <f>vlookup(A39,Ticker!A:B,2,0)</f>
        <v>JBS</v>
      </c>
      <c r="R39" s="50" t="str">
        <f>VLOOKUP(Q39,chatgpt!A:C,2,0)</f>
        <v>Alimentos</v>
      </c>
      <c r="S39" s="51">
        <f>VLOOKUP(R39,chatgpt!B:D,2,0)</f>
        <v>29</v>
      </c>
      <c r="T39" s="51" t="str">
        <f t="shared" si="5"/>
        <v>Menos de 50 anos</v>
      </c>
    </row>
    <row r="40">
      <c r="A40" s="34" t="s">
        <v>180</v>
      </c>
      <c r="B40" s="35">
        <v>45317.0</v>
      </c>
      <c r="C40" s="36">
        <v>2.08</v>
      </c>
      <c r="D40" s="36">
        <v>0.48</v>
      </c>
      <c r="E40" s="36">
        <v>2.46</v>
      </c>
      <c r="F40" s="36">
        <v>-3.7</v>
      </c>
      <c r="G40" s="36">
        <v>-3.7</v>
      </c>
      <c r="H40" s="36">
        <v>-51.4</v>
      </c>
      <c r="I40" s="36">
        <v>2.02</v>
      </c>
      <c r="J40" s="36">
        <v>2.1</v>
      </c>
      <c r="K40" s="34" t="s">
        <v>270</v>
      </c>
      <c r="L40" s="37">
        <f t="shared" si="1"/>
        <v>0.0048</v>
      </c>
      <c r="M40" s="38">
        <f t="shared" si="2"/>
        <v>2.070063694</v>
      </c>
      <c r="N40" s="39">
        <f>VLOOKUP(A40,Total_de_acoes!A:B,2,0)</f>
        <v>2867627068</v>
      </c>
      <c r="O40" s="40">
        <f t="shared" si="3"/>
        <v>28493619.27</v>
      </c>
      <c r="P40" s="37" t="str">
        <f t="shared" si="4"/>
        <v>Subiu</v>
      </c>
      <c r="Q40" s="37" t="str">
        <f>vlookup(A40,Ticker!A:B,2,0)</f>
        <v>Magazine Luiza</v>
      </c>
      <c r="R40" s="41" t="str">
        <f>VLOOKUP(Q40,chatgpt!A:C,2,0)</f>
        <v>Varejo</v>
      </c>
      <c r="S40" s="42">
        <f>VLOOKUP(R40,chatgpt!B:D,2,0)</f>
        <v>64</v>
      </c>
      <c r="T40" s="42" t="str">
        <f t="shared" si="5"/>
        <v>Entre 50 e 100</v>
      </c>
    </row>
    <row r="41">
      <c r="A41" s="43" t="s">
        <v>135</v>
      </c>
      <c r="B41" s="44">
        <v>45317.0</v>
      </c>
      <c r="C41" s="45">
        <v>13.75</v>
      </c>
      <c r="D41" s="45">
        <v>0.36</v>
      </c>
      <c r="E41" s="45">
        <v>-0.72</v>
      </c>
      <c r="F41" s="45">
        <v>-9.95</v>
      </c>
      <c r="G41" s="45">
        <v>-9.95</v>
      </c>
      <c r="H41" s="45">
        <v>15.78</v>
      </c>
      <c r="I41" s="45">
        <v>13.67</v>
      </c>
      <c r="J41" s="45">
        <v>13.9</v>
      </c>
      <c r="K41" s="43" t="s">
        <v>271</v>
      </c>
      <c r="L41" s="46">
        <f t="shared" si="1"/>
        <v>0.0036</v>
      </c>
      <c r="M41" s="47">
        <f t="shared" si="2"/>
        <v>13.70067756</v>
      </c>
      <c r="N41" s="48">
        <f>VLOOKUP(A41,Total_de_acoes!A:B,2,0)</f>
        <v>1500728902</v>
      </c>
      <c r="O41" s="49">
        <f t="shared" si="3"/>
        <v>74019610.05</v>
      </c>
      <c r="P41" s="46" t="str">
        <f t="shared" si="4"/>
        <v>Subiu</v>
      </c>
      <c r="Q41" s="46" t="str">
        <f>vlookup(A41,Ticker!A:B,2,0)</f>
        <v>Banco Bradesco</v>
      </c>
      <c r="R41" s="50" t="str">
        <f>VLOOKUP(Q41,chatgpt!A:C,2,0)</f>
        <v>Bancário</v>
      </c>
      <c r="S41" s="51">
        <f>VLOOKUP(R41,chatgpt!B:D,2,0)</f>
        <v>97</v>
      </c>
      <c r="T41" s="51" t="str">
        <f t="shared" si="5"/>
        <v>Entre 50 e 100</v>
      </c>
    </row>
    <row r="42">
      <c r="A42" s="34" t="s">
        <v>164</v>
      </c>
      <c r="B42" s="35">
        <v>45317.0</v>
      </c>
      <c r="C42" s="36">
        <v>21.84</v>
      </c>
      <c r="D42" s="36">
        <v>0.27</v>
      </c>
      <c r="E42" s="36">
        <v>3.65</v>
      </c>
      <c r="F42" s="36">
        <v>-8.08</v>
      </c>
      <c r="G42" s="36">
        <v>-8.08</v>
      </c>
      <c r="H42" s="36">
        <v>-26.1</v>
      </c>
      <c r="I42" s="36">
        <v>21.7</v>
      </c>
      <c r="J42" s="36">
        <v>21.94</v>
      </c>
      <c r="K42" s="34" t="s">
        <v>272</v>
      </c>
      <c r="L42" s="37">
        <f t="shared" si="1"/>
        <v>0.0027</v>
      </c>
      <c r="M42" s="38">
        <f t="shared" si="2"/>
        <v>21.78119078</v>
      </c>
      <c r="N42" s="39">
        <f>VLOOKUP(A42,Total_de_acoes!A:B,2,0)</f>
        <v>1118525506</v>
      </c>
      <c r="O42" s="40">
        <f t="shared" si="3"/>
        <v>65779607.1</v>
      </c>
      <c r="P42" s="37" t="str">
        <f t="shared" si="4"/>
        <v>Subiu</v>
      </c>
      <c r="Q42" s="37" t="str">
        <f>vlookup(A42,Ticker!A:B,2,0)</f>
        <v>Gerdau</v>
      </c>
      <c r="R42" s="41" t="str">
        <f>VLOOKUP(Q42,chatgpt!A:C,2,0)</f>
        <v>Siderurgia</v>
      </c>
      <c r="S42" s="42">
        <f>VLOOKUP(R42,chatgpt!B:D,2,0)</f>
        <v>62</v>
      </c>
      <c r="T42" s="42" t="str">
        <f t="shared" si="5"/>
        <v>Entre 50 e 100</v>
      </c>
    </row>
    <row r="43">
      <c r="A43" s="43" t="s">
        <v>192</v>
      </c>
      <c r="B43" s="44">
        <v>45317.0</v>
      </c>
      <c r="C43" s="45">
        <v>3.74</v>
      </c>
      <c r="D43" s="45">
        <v>0.26</v>
      </c>
      <c r="E43" s="45">
        <v>0.0</v>
      </c>
      <c r="F43" s="45">
        <v>-7.2</v>
      </c>
      <c r="G43" s="45">
        <v>-7.2</v>
      </c>
      <c r="H43" s="45">
        <v>15.46</v>
      </c>
      <c r="I43" s="45">
        <v>3.71</v>
      </c>
      <c r="J43" s="45">
        <v>3.78</v>
      </c>
      <c r="K43" s="43" t="s">
        <v>273</v>
      </c>
      <c r="L43" s="46">
        <f t="shared" si="1"/>
        <v>0.0026</v>
      </c>
      <c r="M43" s="47">
        <f t="shared" si="2"/>
        <v>3.730301217</v>
      </c>
      <c r="N43" s="48">
        <f>VLOOKUP(A43,Total_de_acoes!A:B,2,0)</f>
        <v>1193047233</v>
      </c>
      <c r="O43" s="49">
        <f t="shared" si="3"/>
        <v>11571106.42</v>
      </c>
      <c r="P43" s="46" t="str">
        <f t="shared" si="4"/>
        <v>Subiu</v>
      </c>
      <c r="Q43" s="46" t="str">
        <f>vlookup(A43,Ticker!A:B,2,0)</f>
        <v>Raízen</v>
      </c>
      <c r="R43" s="50" t="str">
        <f>VLOOKUP(Q43,chatgpt!A:C,2,0)</f>
        <v>Energia</v>
      </c>
      <c r="S43" s="51">
        <f>VLOOKUP(R43,chatgpt!B:D,2,0)</f>
        <v>109</v>
      </c>
      <c r="T43" s="51" t="str">
        <f t="shared" si="5"/>
        <v>Mais de 100 anos</v>
      </c>
    </row>
    <row r="44">
      <c r="A44" s="34" t="s">
        <v>148</v>
      </c>
      <c r="B44" s="35">
        <v>45317.0</v>
      </c>
      <c r="C44" s="36">
        <v>10.07</v>
      </c>
      <c r="D44" s="36">
        <v>0.19</v>
      </c>
      <c r="E44" s="36">
        <v>0.9</v>
      </c>
      <c r="F44" s="36">
        <v>-2.8</v>
      </c>
      <c r="G44" s="36">
        <v>-2.8</v>
      </c>
      <c r="H44" s="36">
        <v>32.08</v>
      </c>
      <c r="I44" s="36">
        <v>9.96</v>
      </c>
      <c r="J44" s="36">
        <v>10.13</v>
      </c>
      <c r="K44" s="34" t="s">
        <v>274</v>
      </c>
      <c r="L44" s="37">
        <f t="shared" si="1"/>
        <v>0.0019</v>
      </c>
      <c r="M44" s="38">
        <f t="shared" si="2"/>
        <v>10.05090328</v>
      </c>
      <c r="N44" s="39">
        <f>VLOOKUP(A44,Total_de_acoes!A:B,2,0)</f>
        <v>1679335290</v>
      </c>
      <c r="O44" s="40">
        <f t="shared" si="3"/>
        <v>32069789.5</v>
      </c>
      <c r="P44" s="37" t="str">
        <f t="shared" si="4"/>
        <v>Subiu</v>
      </c>
      <c r="Q44" s="37" t="str">
        <f>vlookup(A44,Ticker!A:B,2,0)</f>
        <v>Copel</v>
      </c>
      <c r="R44" s="41" t="str">
        <f>VLOOKUP(Q44,chatgpt!A:C,2,0)</f>
        <v>Energia</v>
      </c>
      <c r="S44" s="42">
        <f>VLOOKUP(R44,chatgpt!B:D,2,0)</f>
        <v>109</v>
      </c>
      <c r="T44" s="42" t="str">
        <f t="shared" si="5"/>
        <v>Mais de 100 anos</v>
      </c>
    </row>
    <row r="45">
      <c r="A45" s="43" t="s">
        <v>209</v>
      </c>
      <c r="B45" s="44">
        <v>45317.0</v>
      </c>
      <c r="C45" s="45">
        <v>8.18</v>
      </c>
      <c r="D45" s="45">
        <v>0.12</v>
      </c>
      <c r="E45" s="45">
        <v>-3.76</v>
      </c>
      <c r="F45" s="45">
        <v>-18.77</v>
      </c>
      <c r="G45" s="45">
        <v>-18.77</v>
      </c>
      <c r="H45" s="45">
        <v>-40.74</v>
      </c>
      <c r="I45" s="45">
        <v>8.11</v>
      </c>
      <c r="J45" s="45">
        <v>8.27</v>
      </c>
      <c r="K45" s="43" t="s">
        <v>275</v>
      </c>
      <c r="L45" s="46">
        <f t="shared" si="1"/>
        <v>0.0012</v>
      </c>
      <c r="M45" s="47">
        <f t="shared" si="2"/>
        <v>8.170195765</v>
      </c>
      <c r="N45" s="48">
        <f>VLOOKUP(A45,Total_de_acoes!A:B,2,0)</f>
        <v>421383330</v>
      </c>
      <c r="O45" s="49">
        <f t="shared" si="3"/>
        <v>4131341.158</v>
      </c>
      <c r="P45" s="46" t="str">
        <f t="shared" si="4"/>
        <v>Subiu</v>
      </c>
      <c r="Q45" s="46" t="str">
        <f>vlookup(A45,Ticker!A:B,2,0)</f>
        <v>Grupo Vamos</v>
      </c>
      <c r="R45" s="50" t="str">
        <f>VLOOKUP(Q45,chatgpt!A:C,2,0)</f>
        <v>Logística</v>
      </c>
      <c r="S45" s="51">
        <f>VLOOKUP(R45,chatgpt!B:D,2,0)</f>
        <v>46</v>
      </c>
      <c r="T45" s="51" t="str">
        <f t="shared" si="5"/>
        <v>Menos de 50 anos</v>
      </c>
    </row>
    <row r="46">
      <c r="A46" s="34" t="s">
        <v>181</v>
      </c>
      <c r="B46" s="35">
        <v>45317.0</v>
      </c>
      <c r="C46" s="36">
        <v>9.74</v>
      </c>
      <c r="D46" s="36">
        <v>0.0</v>
      </c>
      <c r="E46" s="36">
        <v>5.3</v>
      </c>
      <c r="F46" s="36">
        <v>0.41</v>
      </c>
      <c r="G46" s="36">
        <v>0.41</v>
      </c>
      <c r="H46" s="36">
        <v>17.99</v>
      </c>
      <c r="I46" s="36">
        <v>9.61</v>
      </c>
      <c r="J46" s="36">
        <v>9.86</v>
      </c>
      <c r="K46" s="34" t="s">
        <v>276</v>
      </c>
      <c r="L46" s="37">
        <f t="shared" si="1"/>
        <v>0</v>
      </c>
      <c r="M46" s="38">
        <f t="shared" si="2"/>
        <v>9.74</v>
      </c>
      <c r="N46" s="39">
        <f>VLOOKUP(A46,Total_de_acoes!A:B,2,0)</f>
        <v>331799687</v>
      </c>
      <c r="O46" s="40">
        <f t="shared" si="3"/>
        <v>0</v>
      </c>
      <c r="P46" s="37" t="str">
        <f t="shared" si="4"/>
        <v>Estável</v>
      </c>
      <c r="Q46" s="37" t="str">
        <f>vlookup(A46,Ticker!A:B,2,0)</f>
        <v>Marfrig</v>
      </c>
      <c r="R46" s="41" t="str">
        <f>VLOOKUP(Q46,chatgpt!A:C,2,0)</f>
        <v>Alimentos</v>
      </c>
      <c r="S46" s="42">
        <f>VLOOKUP(R46,chatgpt!B:D,2,0)</f>
        <v>29</v>
      </c>
      <c r="T46" s="42" t="str">
        <f t="shared" si="5"/>
        <v>Menos de 50 anos</v>
      </c>
    </row>
    <row r="47">
      <c r="A47" s="43" t="s">
        <v>129</v>
      </c>
      <c r="B47" s="44">
        <v>45317.0</v>
      </c>
      <c r="C47" s="45">
        <v>13.2</v>
      </c>
      <c r="D47" s="45">
        <v>0.0</v>
      </c>
      <c r="E47" s="45">
        <v>-1.12</v>
      </c>
      <c r="F47" s="45">
        <v>-3.86</v>
      </c>
      <c r="G47" s="45">
        <v>-3.86</v>
      </c>
      <c r="H47" s="45">
        <v>0.3</v>
      </c>
      <c r="I47" s="45">
        <v>13.15</v>
      </c>
      <c r="J47" s="45">
        <v>13.29</v>
      </c>
      <c r="K47" s="43" t="s">
        <v>277</v>
      </c>
      <c r="L47" s="46">
        <f t="shared" si="1"/>
        <v>0</v>
      </c>
      <c r="M47" s="47">
        <f t="shared" si="2"/>
        <v>13.2</v>
      </c>
      <c r="N47" s="48">
        <f>VLOOKUP(A47,Total_de_acoes!A:B,2,0)</f>
        <v>4394245879</v>
      </c>
      <c r="O47" s="49">
        <f t="shared" si="3"/>
        <v>0</v>
      </c>
      <c r="P47" s="46" t="str">
        <f t="shared" si="4"/>
        <v>Estável</v>
      </c>
      <c r="Q47" s="46" t="str">
        <f>vlookup(A47,Ticker!A:B,2,0)</f>
        <v>Ambev</v>
      </c>
      <c r="R47" s="50" t="str">
        <f>VLOOKUP(Q47,chatgpt!A:C,2,0)</f>
        <v>Alimentos</v>
      </c>
      <c r="S47" s="51">
        <f>VLOOKUP(R47,chatgpt!B:D,2,0)</f>
        <v>29</v>
      </c>
      <c r="T47" s="51" t="str">
        <f t="shared" si="5"/>
        <v>Menos de 50 anos</v>
      </c>
    </row>
    <row r="48">
      <c r="A48" s="34" t="s">
        <v>134</v>
      </c>
      <c r="B48" s="35">
        <v>45317.0</v>
      </c>
      <c r="C48" s="36">
        <v>33.73</v>
      </c>
      <c r="D48" s="36">
        <v>-0.02</v>
      </c>
      <c r="E48" s="36">
        <v>-2.37</v>
      </c>
      <c r="F48" s="36">
        <v>0.24</v>
      </c>
      <c r="G48" s="36">
        <v>0.24</v>
      </c>
      <c r="H48" s="36">
        <v>0.91</v>
      </c>
      <c r="I48" s="36">
        <v>33.73</v>
      </c>
      <c r="J48" s="36">
        <v>34.03</v>
      </c>
      <c r="K48" s="34" t="s">
        <v>278</v>
      </c>
      <c r="L48" s="37">
        <f t="shared" si="1"/>
        <v>-0.0002</v>
      </c>
      <c r="M48" s="38">
        <f t="shared" si="2"/>
        <v>33.73674735</v>
      </c>
      <c r="N48" s="39">
        <f>VLOOKUP(A48,Total_de_acoes!A:B,2,0)</f>
        <v>671750768</v>
      </c>
      <c r="O48" s="40">
        <f t="shared" si="3"/>
        <v>-4532537.188</v>
      </c>
      <c r="P48" s="37" t="str">
        <f t="shared" si="4"/>
        <v>Desceu</v>
      </c>
      <c r="Q48" s="37" t="str">
        <f>vlookup(A48,Ticker!A:B,2,0)</f>
        <v>BB Seguridade</v>
      </c>
      <c r="R48" s="41" t="str">
        <f>VLOOKUP(Q48,chatgpt!A:C,2,0)</f>
        <v>Seguros</v>
      </c>
      <c r="S48" s="42">
        <f>VLOOKUP(R48,chatgpt!B:D,2,0)</f>
        <v>10</v>
      </c>
      <c r="T48" s="42" t="str">
        <f t="shared" si="5"/>
        <v>Menos de 50 anos</v>
      </c>
    </row>
    <row r="49">
      <c r="A49" s="43" t="s">
        <v>195</v>
      </c>
      <c r="B49" s="44">
        <v>45317.0</v>
      </c>
      <c r="C49" s="45">
        <v>77.04</v>
      </c>
      <c r="D49" s="45">
        <v>-0.06</v>
      </c>
      <c r="E49" s="45">
        <v>1.37</v>
      </c>
      <c r="F49" s="45">
        <v>2.22</v>
      </c>
      <c r="G49" s="45">
        <v>2.22</v>
      </c>
      <c r="H49" s="45">
        <v>45.92</v>
      </c>
      <c r="I49" s="45">
        <v>76.52</v>
      </c>
      <c r="J49" s="45">
        <v>77.69</v>
      </c>
      <c r="K49" s="43" t="s">
        <v>279</v>
      </c>
      <c r="L49" s="46">
        <f t="shared" si="1"/>
        <v>-0.0006</v>
      </c>
      <c r="M49" s="47">
        <f t="shared" si="2"/>
        <v>77.08625175</v>
      </c>
      <c r="N49" s="48">
        <f>VLOOKUP(A49,Total_de_acoes!A:B,2,0)</f>
        <v>340001799</v>
      </c>
      <c r="O49" s="49">
        <f t="shared" si="3"/>
        <v>-15725678.56</v>
      </c>
      <c r="P49" s="46" t="str">
        <f t="shared" si="4"/>
        <v>Desceu</v>
      </c>
      <c r="Q49" s="46" t="str">
        <f>vlookup(A49,Ticker!A:B,2,0)</f>
        <v>Sabesp</v>
      </c>
      <c r="R49" s="50" t="str">
        <f>VLOOKUP(Q49,chatgpt!A:C,2,0)</f>
        <v>Saneamento</v>
      </c>
      <c r="S49" s="51">
        <f>VLOOKUP(R49,chatgpt!B:D,2,0)</f>
        <v>48</v>
      </c>
      <c r="T49" s="51" t="str">
        <f t="shared" si="5"/>
        <v>Menos de 50 anos</v>
      </c>
    </row>
    <row r="50">
      <c r="A50" s="34" t="s">
        <v>204</v>
      </c>
      <c r="B50" s="35">
        <v>45317.0</v>
      </c>
      <c r="C50" s="36">
        <v>30.88</v>
      </c>
      <c r="D50" s="36">
        <v>-0.06</v>
      </c>
      <c r="E50" s="36">
        <v>-2.65</v>
      </c>
      <c r="F50" s="36">
        <v>-8.34</v>
      </c>
      <c r="G50" s="36">
        <v>-8.34</v>
      </c>
      <c r="H50" s="36">
        <v>5.89</v>
      </c>
      <c r="I50" s="36">
        <v>30.65</v>
      </c>
      <c r="J50" s="36">
        <v>31.34</v>
      </c>
      <c r="K50" s="34" t="s">
        <v>280</v>
      </c>
      <c r="L50" s="37">
        <f t="shared" si="1"/>
        <v>-0.0006</v>
      </c>
      <c r="M50" s="38">
        <f t="shared" si="2"/>
        <v>30.89853912</v>
      </c>
      <c r="N50" s="39">
        <f>VLOOKUP(A50,Total_de_acoes!A:B,2,0)</f>
        <v>514122351</v>
      </c>
      <c r="O50" s="40">
        <f t="shared" si="3"/>
        <v>-9531377.746</v>
      </c>
      <c r="P50" s="37" t="str">
        <f t="shared" si="4"/>
        <v>Desceu</v>
      </c>
      <c r="Q50" s="37" t="str">
        <f>vlookup(A50,Ticker!A:B,2,0)</f>
        <v>Totvs</v>
      </c>
      <c r="R50" s="41" t="str">
        <f>VLOOKUP(Q50,chatgpt!A:C,2,0)</f>
        <v>Tecnologia</v>
      </c>
      <c r="S50" s="42">
        <f>VLOOKUP(R50,chatgpt!B:D,2,0)</f>
        <v>24</v>
      </c>
      <c r="T50" s="42" t="str">
        <f t="shared" si="5"/>
        <v>Menos de 50 anos</v>
      </c>
    </row>
    <row r="51">
      <c r="A51" s="43" t="s">
        <v>145</v>
      </c>
      <c r="B51" s="44">
        <v>45317.0</v>
      </c>
      <c r="C51" s="45">
        <v>11.64</v>
      </c>
      <c r="D51" s="45">
        <v>-0.17</v>
      </c>
      <c r="E51" s="45">
        <v>0.95</v>
      </c>
      <c r="F51" s="45">
        <v>1.39</v>
      </c>
      <c r="G51" s="45">
        <v>1.39</v>
      </c>
      <c r="H51" s="45">
        <v>12.26</v>
      </c>
      <c r="I51" s="45">
        <v>11.64</v>
      </c>
      <c r="J51" s="45">
        <v>11.8</v>
      </c>
      <c r="K51" s="43" t="s">
        <v>281</v>
      </c>
      <c r="L51" s="46">
        <f t="shared" si="1"/>
        <v>-0.0017</v>
      </c>
      <c r="M51" s="47">
        <f t="shared" si="2"/>
        <v>11.6598217</v>
      </c>
      <c r="N51" s="48">
        <f>VLOOKUP(A51,Total_de_acoes!A:B,2,0)</f>
        <v>1437415777</v>
      </c>
      <c r="O51" s="49">
        <f t="shared" si="3"/>
        <v>-28492019.83</v>
      </c>
      <c r="P51" s="46" t="str">
        <f t="shared" si="4"/>
        <v>Desceu</v>
      </c>
      <c r="Q51" s="46" t="str">
        <f>vlookup(A51,Ticker!A:B,2,0)</f>
        <v>CEMIG</v>
      </c>
      <c r="R51" s="50" t="str">
        <f>VLOOKUP(Q51,chatgpt!A:C,2,0)</f>
        <v>Energia</v>
      </c>
      <c r="S51" s="51">
        <f>VLOOKUP(R51,chatgpt!B:D,2,0)</f>
        <v>109</v>
      </c>
      <c r="T51" s="51" t="str">
        <f t="shared" si="5"/>
        <v>Mais de 100 anos</v>
      </c>
    </row>
    <row r="52">
      <c r="A52" s="34" t="s">
        <v>156</v>
      </c>
      <c r="B52" s="35">
        <v>45317.0</v>
      </c>
      <c r="C52" s="36">
        <v>46.04</v>
      </c>
      <c r="D52" s="36">
        <v>-0.19</v>
      </c>
      <c r="E52" s="36">
        <v>-1.41</v>
      </c>
      <c r="F52" s="36">
        <v>-2.0</v>
      </c>
      <c r="G52" s="36">
        <v>-2.0</v>
      </c>
      <c r="H52" s="36">
        <v>7.43</v>
      </c>
      <c r="I52" s="36">
        <v>45.91</v>
      </c>
      <c r="J52" s="36">
        <v>46.42</v>
      </c>
      <c r="K52" s="34" t="s">
        <v>282</v>
      </c>
      <c r="L52" s="37">
        <f t="shared" si="1"/>
        <v>-0.0019</v>
      </c>
      <c r="M52" s="38">
        <f t="shared" si="2"/>
        <v>46.12764252</v>
      </c>
      <c r="N52" s="39">
        <f>VLOOKUP(A52,Total_de_acoes!A:B,2,0)</f>
        <v>268544014</v>
      </c>
      <c r="O52" s="40">
        <f t="shared" si="3"/>
        <v>-23535874.33</v>
      </c>
      <c r="P52" s="37" t="str">
        <f t="shared" si="4"/>
        <v>Desceu</v>
      </c>
      <c r="Q52" s="37" t="str">
        <f>vlookup(A52,Ticker!A:B,2,0)</f>
        <v>Eletrobras</v>
      </c>
      <c r="R52" s="41" t="str">
        <f>VLOOKUP(Q52,chatgpt!A:C,2,0)</f>
        <v>Energia</v>
      </c>
      <c r="S52" s="42">
        <f>VLOOKUP(R52,chatgpt!B:D,2,0)</f>
        <v>109</v>
      </c>
      <c r="T52" s="42" t="str">
        <f t="shared" si="5"/>
        <v>Mais de 100 anos</v>
      </c>
    </row>
    <row r="53">
      <c r="A53" s="43" t="s">
        <v>159</v>
      </c>
      <c r="B53" s="44">
        <v>45317.0</v>
      </c>
      <c r="C53" s="45">
        <v>12.87</v>
      </c>
      <c r="D53" s="45">
        <v>-0.23</v>
      </c>
      <c r="E53" s="45">
        <v>1.42</v>
      </c>
      <c r="F53" s="45">
        <v>-5.44</v>
      </c>
      <c r="G53" s="45">
        <v>-5.44</v>
      </c>
      <c r="H53" s="45">
        <v>6.36</v>
      </c>
      <c r="I53" s="45">
        <v>12.84</v>
      </c>
      <c r="J53" s="45">
        <v>13.09</v>
      </c>
      <c r="K53" s="43" t="s">
        <v>283</v>
      </c>
      <c r="L53" s="46">
        <f t="shared" si="1"/>
        <v>-0.0023</v>
      </c>
      <c r="M53" s="47">
        <f t="shared" si="2"/>
        <v>12.89966924</v>
      </c>
      <c r="N53" s="48">
        <f>VLOOKUP(A53,Total_de_acoes!A:B,2,0)</f>
        <v>1579130168</v>
      </c>
      <c r="O53" s="49">
        <f t="shared" si="3"/>
        <v>-46851590.76</v>
      </c>
      <c r="P53" s="46" t="str">
        <f t="shared" si="4"/>
        <v>Desceu</v>
      </c>
      <c r="Q53" s="46" t="str">
        <f>vlookup(A53,Ticker!A:B,2,0)</f>
        <v>Eneva</v>
      </c>
      <c r="R53" s="50" t="str">
        <f>VLOOKUP(Q53,chatgpt!A:C,2,0)</f>
        <v>Energia</v>
      </c>
      <c r="S53" s="51">
        <f>VLOOKUP(R53,chatgpt!B:D,2,0)</f>
        <v>109</v>
      </c>
      <c r="T53" s="51" t="str">
        <f t="shared" si="5"/>
        <v>Mais de 100 anos</v>
      </c>
    </row>
    <row r="54">
      <c r="A54" s="34" t="s">
        <v>211</v>
      </c>
      <c r="B54" s="35">
        <v>45317.0</v>
      </c>
      <c r="C54" s="36">
        <v>33.17</v>
      </c>
      <c r="D54" s="36">
        <v>-0.24</v>
      </c>
      <c r="E54" s="36">
        <v>-0.93</v>
      </c>
      <c r="F54" s="36">
        <v>-10.13</v>
      </c>
      <c r="G54" s="36">
        <v>-10.13</v>
      </c>
      <c r="H54" s="36">
        <v>-11.84</v>
      </c>
      <c r="I54" s="36">
        <v>33.04</v>
      </c>
      <c r="J54" s="36">
        <v>33.5</v>
      </c>
      <c r="K54" s="34" t="s">
        <v>284</v>
      </c>
      <c r="L54" s="37">
        <f t="shared" si="1"/>
        <v>-0.0024</v>
      </c>
      <c r="M54" s="38">
        <f t="shared" si="2"/>
        <v>33.24979952</v>
      </c>
      <c r="N54" s="39">
        <f>VLOOKUP(A54,Total_de_acoes!A:B,2,0)</f>
        <v>1481593024</v>
      </c>
      <c r="O54" s="40">
        <f t="shared" si="3"/>
        <v>-118230410.4</v>
      </c>
      <c r="P54" s="37" t="str">
        <f t="shared" si="4"/>
        <v>Desceu</v>
      </c>
      <c r="Q54" s="37" t="str">
        <f>vlookup(A54,Ticker!A:B,2,0)</f>
        <v>WEG</v>
      </c>
      <c r="R54" s="41" t="str">
        <f>VLOOKUP(Q54,chatgpt!A:C,2,0)</f>
        <v>Tecnologia</v>
      </c>
      <c r="S54" s="42">
        <f>VLOOKUP(R54,chatgpt!B:D,2,0)</f>
        <v>24</v>
      </c>
      <c r="T54" s="42" t="str">
        <f t="shared" si="5"/>
        <v>Menos de 50 anos</v>
      </c>
    </row>
    <row r="55">
      <c r="A55" s="43" t="s">
        <v>199</v>
      </c>
      <c r="B55" s="44">
        <v>45317.0</v>
      </c>
      <c r="C55" s="45">
        <v>19.3</v>
      </c>
      <c r="D55" s="45">
        <v>-0.25</v>
      </c>
      <c r="E55" s="45">
        <v>2.01</v>
      </c>
      <c r="F55" s="45">
        <v>2.55</v>
      </c>
      <c r="G55" s="45">
        <v>2.55</v>
      </c>
      <c r="H55" s="45">
        <v>-10.11</v>
      </c>
      <c r="I55" s="45">
        <v>19.1</v>
      </c>
      <c r="J55" s="45">
        <v>19.51</v>
      </c>
      <c r="K55" s="43" t="s">
        <v>285</v>
      </c>
      <c r="L55" s="46">
        <f t="shared" si="1"/>
        <v>-0.0025</v>
      </c>
      <c r="M55" s="47">
        <f t="shared" si="2"/>
        <v>19.34837093</v>
      </c>
      <c r="N55" s="48">
        <f>VLOOKUP(A55,Total_de_acoes!A:B,2,0)</f>
        <v>195751130</v>
      </c>
      <c r="O55" s="49">
        <f t="shared" si="3"/>
        <v>-9468663.682</v>
      </c>
      <c r="P55" s="46" t="str">
        <f t="shared" si="4"/>
        <v>Desceu</v>
      </c>
      <c r="Q55" s="46" t="str">
        <f>vlookup(A55,Ticker!A:B,2,0)</f>
        <v>SLC Agrícola</v>
      </c>
      <c r="R55" s="50" t="str">
        <f>VLOOKUP(Q55,chatgpt!A:C,2,0)</f>
        <v>Agricultura</v>
      </c>
      <c r="S55" s="51">
        <f>VLOOKUP(R55,chatgpt!B:D,2,0)</f>
        <v>44</v>
      </c>
      <c r="T55" s="51" t="str">
        <f t="shared" si="5"/>
        <v>Menos de 50 anos</v>
      </c>
    </row>
    <row r="56">
      <c r="A56" s="34" t="s">
        <v>90</v>
      </c>
      <c r="B56" s="35">
        <v>45317.0</v>
      </c>
      <c r="C56" s="36">
        <v>24.62</v>
      </c>
      <c r="D56" s="36">
        <v>-0.28</v>
      </c>
      <c r="E56" s="36">
        <v>0.53</v>
      </c>
      <c r="F56" s="36">
        <v>-7.27</v>
      </c>
      <c r="G56" s="36">
        <v>-7.27</v>
      </c>
      <c r="H56" s="36">
        <v>39.82</v>
      </c>
      <c r="I56" s="36">
        <v>24.53</v>
      </c>
      <c r="J56" s="36">
        <v>24.92</v>
      </c>
      <c r="K56" s="34" t="s">
        <v>286</v>
      </c>
      <c r="L56" s="37">
        <f t="shared" si="1"/>
        <v>-0.0028</v>
      </c>
      <c r="M56" s="38">
        <f t="shared" si="2"/>
        <v>24.68912956</v>
      </c>
      <c r="N56" s="39">
        <f>VLOOKUP(A56,Total_de_acoes!A:B,2,0)</f>
        <v>532616595</v>
      </c>
      <c r="O56" s="40">
        <f t="shared" si="3"/>
        <v>-36819552.34</v>
      </c>
      <c r="P56" s="37" t="str">
        <f t="shared" si="4"/>
        <v>Desceu</v>
      </c>
      <c r="Q56" s="37" t="str">
        <f>vlookup(A56,Ticker!A:B,2,0)</f>
        <v>ALOS3</v>
      </c>
      <c r="R56" s="41" t="str">
        <f>VLOOKUP(Q56,chatgpt!A:C,2,0)</f>
        <v>Energia</v>
      </c>
      <c r="S56" s="42">
        <f>VLOOKUP(R56,chatgpt!B:D,2,0)</f>
        <v>109</v>
      </c>
      <c r="T56" s="42" t="str">
        <f t="shared" si="5"/>
        <v>Mais de 100 anos</v>
      </c>
    </row>
    <row r="57">
      <c r="A57" s="43" t="s">
        <v>144</v>
      </c>
      <c r="B57" s="44">
        <v>45317.0</v>
      </c>
      <c r="C57" s="45">
        <v>13.27</v>
      </c>
      <c r="D57" s="45">
        <v>-0.3</v>
      </c>
      <c r="E57" s="45">
        <v>-1.78</v>
      </c>
      <c r="F57" s="45">
        <v>-6.42</v>
      </c>
      <c r="G57" s="45">
        <v>-6.42</v>
      </c>
      <c r="H57" s="45">
        <v>13.59</v>
      </c>
      <c r="I57" s="45">
        <v>13.23</v>
      </c>
      <c r="J57" s="45">
        <v>13.41</v>
      </c>
      <c r="K57" s="43" t="s">
        <v>287</v>
      </c>
      <c r="L57" s="46">
        <f t="shared" si="1"/>
        <v>-0.003</v>
      </c>
      <c r="M57" s="47">
        <f t="shared" si="2"/>
        <v>13.30992979</v>
      </c>
      <c r="N57" s="48">
        <f>VLOOKUP(A57,Total_de_acoes!A:B,2,0)</f>
        <v>995335937</v>
      </c>
      <c r="O57" s="49">
        <f t="shared" si="3"/>
        <v>-39743554.31</v>
      </c>
      <c r="P57" s="46" t="str">
        <f t="shared" si="4"/>
        <v>Desceu</v>
      </c>
      <c r="Q57" s="46" t="str">
        <f>vlookup(A57,Ticker!A:B,2,0)</f>
        <v>Grupo CCR</v>
      </c>
      <c r="R57" s="50" t="str">
        <f>VLOOKUP(Q57,chatgpt!A:C,2,0)</f>
        <v>Logística</v>
      </c>
      <c r="S57" s="51">
        <f>VLOOKUP(R57,chatgpt!B:D,2,0)</f>
        <v>46</v>
      </c>
      <c r="T57" s="51" t="str">
        <f t="shared" si="5"/>
        <v>Menos de 50 anos</v>
      </c>
    </row>
    <row r="58">
      <c r="A58" s="34" t="s">
        <v>147</v>
      </c>
      <c r="B58" s="35">
        <v>45317.0</v>
      </c>
      <c r="C58" s="36">
        <v>3.03</v>
      </c>
      <c r="D58" s="36">
        <v>-0.32</v>
      </c>
      <c r="E58" s="36">
        <v>-5.02</v>
      </c>
      <c r="F58" s="36">
        <v>-13.18</v>
      </c>
      <c r="G58" s="36">
        <v>-13.18</v>
      </c>
      <c r="H58" s="36">
        <v>37.73</v>
      </c>
      <c r="I58" s="36">
        <v>2.97</v>
      </c>
      <c r="J58" s="36">
        <v>3.06</v>
      </c>
      <c r="K58" s="34" t="s">
        <v>288</v>
      </c>
      <c r="L58" s="37">
        <f t="shared" si="1"/>
        <v>-0.0032</v>
      </c>
      <c r="M58" s="38">
        <f t="shared" si="2"/>
        <v>3.039727127</v>
      </c>
      <c r="N58" s="39">
        <f>VLOOKUP(A58,Total_de_acoes!A:B,2,0)</f>
        <v>1814920980</v>
      </c>
      <c r="O58" s="40">
        <f t="shared" si="3"/>
        <v>-17653966.51</v>
      </c>
      <c r="P58" s="37" t="str">
        <f t="shared" si="4"/>
        <v>Desceu</v>
      </c>
      <c r="Q58" s="37" t="str">
        <f>vlookup(A58,Ticker!A:B,2,0)</f>
        <v>Cogna</v>
      </c>
      <c r="R58" s="41" t="str">
        <f>VLOOKUP(Q58,chatgpt!A:C,2,0)</f>
        <v>Educação</v>
      </c>
      <c r="S58" s="42">
        <f>VLOOKUP(R58,chatgpt!B:D,2,0)</f>
        <v>54</v>
      </c>
      <c r="T58" s="42" t="str">
        <f t="shared" si="5"/>
        <v>Entre 50 e 100</v>
      </c>
    </row>
    <row r="59">
      <c r="A59" s="43" t="s">
        <v>205</v>
      </c>
      <c r="B59" s="44">
        <v>45317.0</v>
      </c>
      <c r="C59" s="45">
        <v>26.12</v>
      </c>
      <c r="D59" s="45">
        <v>-0.41</v>
      </c>
      <c r="E59" s="45">
        <v>-1.25</v>
      </c>
      <c r="F59" s="45">
        <v>-1.43</v>
      </c>
      <c r="G59" s="45">
        <v>-1.43</v>
      </c>
      <c r="H59" s="45">
        <v>22.81</v>
      </c>
      <c r="I59" s="45">
        <v>26.09</v>
      </c>
      <c r="J59" s="45">
        <v>26.4</v>
      </c>
      <c r="K59" s="43" t="s">
        <v>289</v>
      </c>
      <c r="L59" s="46">
        <f t="shared" si="1"/>
        <v>-0.0041</v>
      </c>
      <c r="M59" s="47">
        <f t="shared" si="2"/>
        <v>26.22753288</v>
      </c>
      <c r="N59" s="48">
        <f>VLOOKUP(A59,Total_de_acoes!A:B,2,0)</f>
        <v>395801044</v>
      </c>
      <c r="O59" s="49">
        <f t="shared" si="3"/>
        <v>-42561628.08</v>
      </c>
      <c r="P59" s="46" t="str">
        <f t="shared" si="4"/>
        <v>Desceu</v>
      </c>
      <c r="Q59" s="46" t="str">
        <f>vlookup(A59,Ticker!A:B,2,0)</f>
        <v>Transmissão Paulista</v>
      </c>
      <c r="R59" s="50" t="str">
        <f>VLOOKUP(Q59,chatgpt!A:C,2,0)</f>
        <v>Energia</v>
      </c>
      <c r="S59" s="51">
        <f>VLOOKUP(R59,chatgpt!B:D,2,0)</f>
        <v>109</v>
      </c>
      <c r="T59" s="51" t="str">
        <f t="shared" si="5"/>
        <v>Mais de 100 anos</v>
      </c>
    </row>
    <row r="60">
      <c r="A60" s="34" t="s">
        <v>160</v>
      </c>
      <c r="B60" s="35">
        <v>45317.0</v>
      </c>
      <c r="C60" s="36">
        <v>41.04</v>
      </c>
      <c r="D60" s="36">
        <v>-0.46</v>
      </c>
      <c r="E60" s="36">
        <v>0.56</v>
      </c>
      <c r="F60" s="36">
        <v>-9.46</v>
      </c>
      <c r="G60" s="36">
        <v>-9.46</v>
      </c>
      <c r="H60" s="36">
        <v>13.41</v>
      </c>
      <c r="I60" s="36">
        <v>40.92</v>
      </c>
      <c r="J60" s="36">
        <v>41.59</v>
      </c>
      <c r="K60" s="34" t="s">
        <v>290</v>
      </c>
      <c r="L60" s="37">
        <f t="shared" si="1"/>
        <v>-0.0046</v>
      </c>
      <c r="M60" s="38">
        <f t="shared" si="2"/>
        <v>41.22965642</v>
      </c>
      <c r="N60" s="39">
        <f>VLOOKUP(A60,Total_de_acoes!A:B,2,0)</f>
        <v>255236961</v>
      </c>
      <c r="O60" s="40">
        <f t="shared" si="3"/>
        <v>-48407328.15</v>
      </c>
      <c r="P60" s="37" t="str">
        <f t="shared" si="4"/>
        <v>Desceu</v>
      </c>
      <c r="Q60" s="37" t="str">
        <f>vlookup(A60,Ticker!A:B,2,0)</f>
        <v>Engie</v>
      </c>
      <c r="R60" s="41" t="str">
        <f>VLOOKUP(Q60,chatgpt!A:C,2,0)</f>
        <v>Energia</v>
      </c>
      <c r="S60" s="42">
        <f>VLOOKUP(R60,chatgpt!B:D,2,0)</f>
        <v>109</v>
      </c>
      <c r="T60" s="42" t="str">
        <f t="shared" si="5"/>
        <v>Mais de 100 anos</v>
      </c>
    </row>
    <row r="61">
      <c r="A61" s="43" t="s">
        <v>210</v>
      </c>
      <c r="B61" s="44">
        <v>45317.0</v>
      </c>
      <c r="C61" s="45">
        <v>23.23</v>
      </c>
      <c r="D61" s="45">
        <v>-0.47</v>
      </c>
      <c r="E61" s="45">
        <v>2.43</v>
      </c>
      <c r="F61" s="45">
        <v>2.07</v>
      </c>
      <c r="G61" s="45">
        <v>2.07</v>
      </c>
      <c r="H61" s="45">
        <v>50.65</v>
      </c>
      <c r="I61" s="45">
        <v>22.97</v>
      </c>
      <c r="J61" s="45">
        <v>23.4</v>
      </c>
      <c r="K61" s="43" t="s">
        <v>291</v>
      </c>
      <c r="L61" s="46">
        <f t="shared" si="1"/>
        <v>-0.0047</v>
      </c>
      <c r="M61" s="47">
        <f t="shared" si="2"/>
        <v>23.33969657</v>
      </c>
      <c r="N61" s="48">
        <f>VLOOKUP(A61,Total_de_acoes!A:B,2,0)</f>
        <v>1114412532</v>
      </c>
      <c r="O61" s="49">
        <f t="shared" si="3"/>
        <v>-122247236.7</v>
      </c>
      <c r="P61" s="46" t="str">
        <f t="shared" si="4"/>
        <v>Desceu</v>
      </c>
      <c r="Q61" s="46" t="str">
        <f>vlookup(A61,Ticker!A:B,2,0)</f>
        <v>Vibra Energia</v>
      </c>
      <c r="R61" s="50" t="str">
        <f>VLOOKUP(Q61,chatgpt!A:C,2,0)</f>
        <v>Energia</v>
      </c>
      <c r="S61" s="51">
        <f>VLOOKUP(R61,chatgpt!B:D,2,0)</f>
        <v>109</v>
      </c>
      <c r="T61" s="51" t="str">
        <f t="shared" si="5"/>
        <v>Mais de 100 anos</v>
      </c>
    </row>
    <row r="62">
      <c r="A62" s="34" t="s">
        <v>172</v>
      </c>
      <c r="B62" s="35">
        <v>45317.0</v>
      </c>
      <c r="C62" s="36">
        <v>40.65</v>
      </c>
      <c r="D62" s="36">
        <v>-0.65</v>
      </c>
      <c r="E62" s="36">
        <v>5.45</v>
      </c>
      <c r="F62" s="36">
        <v>-8.24</v>
      </c>
      <c r="G62" s="36">
        <v>-8.24</v>
      </c>
      <c r="H62" s="36">
        <v>73.5</v>
      </c>
      <c r="I62" s="36">
        <v>40.09</v>
      </c>
      <c r="J62" s="36">
        <v>41.4</v>
      </c>
      <c r="K62" s="34" t="s">
        <v>292</v>
      </c>
      <c r="L62" s="37">
        <f t="shared" si="1"/>
        <v>-0.0065</v>
      </c>
      <c r="M62" s="38">
        <f t="shared" si="2"/>
        <v>40.9159537</v>
      </c>
      <c r="N62" s="39">
        <f>VLOOKUP(A62,Total_de_acoes!A:B,2,0)</f>
        <v>81838843</v>
      </c>
      <c r="O62" s="40">
        <f t="shared" si="3"/>
        <v>-21765343.02</v>
      </c>
      <c r="P62" s="37" t="str">
        <f t="shared" si="4"/>
        <v>Desceu</v>
      </c>
      <c r="Q62" s="37" t="str">
        <f>vlookup(A62,Ticker!A:B,2,0)</f>
        <v>IRB Brasil RE</v>
      </c>
      <c r="R62" s="41" t="str">
        <f>VLOOKUP(Q62,chatgpt!A:C,2,0)</f>
        <v>Seguros</v>
      </c>
      <c r="S62" s="42">
        <f>VLOOKUP(R62,chatgpt!B:D,2,0)</f>
        <v>10</v>
      </c>
      <c r="T62" s="42" t="str">
        <f t="shared" si="5"/>
        <v>Menos de 50 anos</v>
      </c>
    </row>
    <row r="63">
      <c r="A63" s="43" t="s">
        <v>155</v>
      </c>
      <c r="B63" s="44">
        <v>45317.0</v>
      </c>
      <c r="C63" s="45">
        <v>40.86</v>
      </c>
      <c r="D63" s="45">
        <v>-0.65</v>
      </c>
      <c r="E63" s="45">
        <v>-2.04</v>
      </c>
      <c r="F63" s="45">
        <v>-3.7</v>
      </c>
      <c r="G63" s="45">
        <v>-3.7</v>
      </c>
      <c r="H63" s="45">
        <v>-3.64</v>
      </c>
      <c r="I63" s="45">
        <v>40.86</v>
      </c>
      <c r="J63" s="45">
        <v>41.44</v>
      </c>
      <c r="K63" s="43" t="s">
        <v>293</v>
      </c>
      <c r="L63" s="46">
        <f t="shared" si="1"/>
        <v>-0.0065</v>
      </c>
      <c r="M63" s="47">
        <f t="shared" si="2"/>
        <v>41.12732763</v>
      </c>
      <c r="N63" s="48">
        <f>VLOOKUP(A63,Total_de_acoes!A:B,2,0)</f>
        <v>1980568384</v>
      </c>
      <c r="O63" s="49">
        <f t="shared" si="3"/>
        <v>-529460651.3</v>
      </c>
      <c r="P63" s="46" t="str">
        <f t="shared" si="4"/>
        <v>Desceu</v>
      </c>
      <c r="Q63" s="46" t="str">
        <f>vlookup(A63,Ticker!A:B,2,0)</f>
        <v>Eletrobras</v>
      </c>
      <c r="R63" s="50" t="str">
        <f>VLOOKUP(Q63,chatgpt!A:C,2,0)</f>
        <v>Energia</v>
      </c>
      <c r="S63" s="51">
        <f>VLOOKUP(R63,chatgpt!B:D,2,0)</f>
        <v>109</v>
      </c>
      <c r="T63" s="51" t="str">
        <f t="shared" si="5"/>
        <v>Mais de 100 anos</v>
      </c>
    </row>
    <row r="64">
      <c r="A64" s="34" t="s">
        <v>190</v>
      </c>
      <c r="B64" s="35">
        <v>45317.0</v>
      </c>
      <c r="C64" s="36">
        <v>3.4</v>
      </c>
      <c r="D64" s="36">
        <v>-0.87</v>
      </c>
      <c r="E64" s="36">
        <v>-4.23</v>
      </c>
      <c r="F64" s="36">
        <v>-13.92</v>
      </c>
      <c r="G64" s="36">
        <v>-13.92</v>
      </c>
      <c r="H64" s="36">
        <v>-46.63</v>
      </c>
      <c r="I64" s="36">
        <v>3.35</v>
      </c>
      <c r="J64" s="36">
        <v>3.47</v>
      </c>
      <c r="K64" s="34" t="s">
        <v>294</v>
      </c>
      <c r="L64" s="37">
        <f t="shared" si="1"/>
        <v>-0.0087</v>
      </c>
      <c r="M64" s="38">
        <f t="shared" si="2"/>
        <v>3.429839605</v>
      </c>
      <c r="N64" s="39">
        <f>VLOOKUP(A64,Total_de_acoes!A:B,2,0)</f>
        <v>309729428</v>
      </c>
      <c r="O64" s="40">
        <f t="shared" si="3"/>
        <v>-9242203.652</v>
      </c>
      <c r="P64" s="37" t="str">
        <f t="shared" si="4"/>
        <v>Desceu</v>
      </c>
      <c r="Q64" s="37" t="str">
        <f>vlookup(A64,Ticker!A:B,2,0)</f>
        <v>Petz</v>
      </c>
      <c r="R64" s="41" t="str">
        <f>VLOOKUP(Q64,chatgpt!A:C,2,0)</f>
        <v>Varejo/Pet</v>
      </c>
      <c r="S64" s="42">
        <f>VLOOKUP(R64,chatgpt!B:D,2,0)</f>
        <v>10</v>
      </c>
      <c r="T64" s="42" t="str">
        <f t="shared" si="5"/>
        <v>Menos de 50 anos</v>
      </c>
    </row>
    <row r="65">
      <c r="A65" s="43" t="s">
        <v>162</v>
      </c>
      <c r="B65" s="44">
        <v>45317.0</v>
      </c>
      <c r="C65" s="45">
        <v>15.91</v>
      </c>
      <c r="D65" s="45">
        <v>-0.93</v>
      </c>
      <c r="E65" s="45">
        <v>-2.39</v>
      </c>
      <c r="F65" s="45">
        <v>-14.92</v>
      </c>
      <c r="G65" s="45">
        <v>-14.92</v>
      </c>
      <c r="H65" s="45">
        <v>8.93</v>
      </c>
      <c r="I65" s="45">
        <v>15.85</v>
      </c>
      <c r="J65" s="45">
        <v>16.31</v>
      </c>
      <c r="K65" s="43" t="s">
        <v>295</v>
      </c>
      <c r="L65" s="46">
        <f t="shared" si="1"/>
        <v>-0.0093</v>
      </c>
      <c r="M65" s="47">
        <f t="shared" si="2"/>
        <v>16.05935197</v>
      </c>
      <c r="N65" s="48">
        <f>VLOOKUP(A65,Total_de_acoes!A:B,2,0)</f>
        <v>91514307</v>
      </c>
      <c r="O65" s="49">
        <f t="shared" si="3"/>
        <v>-13667842.34</v>
      </c>
      <c r="P65" s="46" t="str">
        <f t="shared" si="4"/>
        <v>Desceu</v>
      </c>
      <c r="Q65" s="46" t="str">
        <f>vlookup(A65,Ticker!A:B,2,0)</f>
        <v>EZTEC</v>
      </c>
      <c r="R65" s="50" t="str">
        <f>VLOOKUP(Q65,chatgpt!A:C,2,0)</f>
        <v>Construção Civil</v>
      </c>
      <c r="S65" s="51">
        <f>VLOOKUP(R65,chatgpt!B:D,2,0)</f>
        <v>41</v>
      </c>
      <c r="T65" s="51" t="str">
        <f t="shared" si="5"/>
        <v>Menos de 50 anos</v>
      </c>
    </row>
    <row r="66">
      <c r="A66" s="34" t="s">
        <v>163</v>
      </c>
      <c r="B66" s="35">
        <v>45317.0</v>
      </c>
      <c r="C66" s="36">
        <v>16.49</v>
      </c>
      <c r="D66" s="36">
        <v>-1.07</v>
      </c>
      <c r="E66" s="36">
        <v>1.04</v>
      </c>
      <c r="F66" s="36">
        <v>-8.59</v>
      </c>
      <c r="G66" s="36">
        <v>-8.59</v>
      </c>
      <c r="H66" s="36">
        <v>17.16</v>
      </c>
      <c r="I66" s="36">
        <v>16.4</v>
      </c>
      <c r="J66" s="36">
        <v>16.71</v>
      </c>
      <c r="K66" s="34" t="s">
        <v>267</v>
      </c>
      <c r="L66" s="37">
        <f t="shared" si="1"/>
        <v>-0.0107</v>
      </c>
      <c r="M66" s="38">
        <f t="shared" si="2"/>
        <v>16.66835136</v>
      </c>
      <c r="N66" s="39">
        <f>VLOOKUP(A66,Total_de_acoes!A:B,2,0)</f>
        <v>240822651</v>
      </c>
      <c r="O66" s="40">
        <f t="shared" si="3"/>
        <v>-42951047.22</v>
      </c>
      <c r="P66" s="37" t="str">
        <f t="shared" si="4"/>
        <v>Desceu</v>
      </c>
      <c r="Q66" s="37" t="str">
        <f>vlookup(A66,Ticker!A:B,2,0)</f>
        <v>Fleury</v>
      </c>
      <c r="R66" s="41" t="str">
        <f>VLOOKUP(Q66,chatgpt!A:C,2,0)</f>
        <v>Saúde</v>
      </c>
      <c r="S66" s="42">
        <f>VLOOKUP(R66,chatgpt!B:D,2,0)</f>
        <v>45</v>
      </c>
      <c r="T66" s="42" t="str">
        <f t="shared" si="5"/>
        <v>Menos de 50 anos</v>
      </c>
    </row>
    <row r="67">
      <c r="A67" s="43" t="s">
        <v>168</v>
      </c>
      <c r="B67" s="44">
        <v>45317.0</v>
      </c>
      <c r="C67" s="45">
        <v>6.95</v>
      </c>
      <c r="D67" s="45">
        <v>-1.27</v>
      </c>
      <c r="E67" s="45">
        <v>-0.43</v>
      </c>
      <c r="F67" s="45">
        <v>-6.71</v>
      </c>
      <c r="G67" s="45">
        <v>-6.71</v>
      </c>
      <c r="H67" s="45">
        <v>-30.01</v>
      </c>
      <c r="I67" s="45">
        <v>6.87</v>
      </c>
      <c r="J67" s="45">
        <v>7.14</v>
      </c>
      <c r="K67" s="43" t="s">
        <v>296</v>
      </c>
      <c r="L67" s="46">
        <f t="shared" si="1"/>
        <v>-0.0127</v>
      </c>
      <c r="M67" s="47">
        <f t="shared" si="2"/>
        <v>7.039400385</v>
      </c>
      <c r="N67" s="48">
        <f>VLOOKUP(A67,Total_de_acoes!A:B,2,0)</f>
        <v>496029967</v>
      </c>
      <c r="O67" s="49">
        <f t="shared" si="3"/>
        <v>-44345269.97</v>
      </c>
      <c r="P67" s="46" t="str">
        <f t="shared" si="4"/>
        <v>Desceu</v>
      </c>
      <c r="Q67" s="46" t="str">
        <f>vlookup(A67,Ticker!A:B,2,0)</f>
        <v>Grupo Soma</v>
      </c>
      <c r="R67" s="50" t="str">
        <f>VLOOKUP(Q67,chatgpt!A:C,2,0)</f>
        <v>Varejo</v>
      </c>
      <c r="S67" s="51">
        <f>VLOOKUP(R67,chatgpt!B:D,2,0)</f>
        <v>64</v>
      </c>
      <c r="T67" s="51" t="str">
        <f t="shared" si="5"/>
        <v>Entre 50 e 100</v>
      </c>
    </row>
    <row r="68">
      <c r="A68" s="34" t="s">
        <v>128</v>
      </c>
      <c r="B68" s="35">
        <v>45317.0</v>
      </c>
      <c r="C68" s="36">
        <v>8.67</v>
      </c>
      <c r="D68" s="36">
        <v>-1.36</v>
      </c>
      <c r="E68" s="36">
        <v>4.08</v>
      </c>
      <c r="F68" s="36">
        <v>-14.33</v>
      </c>
      <c r="G68" s="36">
        <v>-14.33</v>
      </c>
      <c r="H68" s="36">
        <v>-34.52</v>
      </c>
      <c r="I68" s="36">
        <v>8.62</v>
      </c>
      <c r="J68" s="36">
        <v>8.8</v>
      </c>
      <c r="K68" s="34" t="s">
        <v>297</v>
      </c>
      <c r="L68" s="37">
        <f t="shared" si="1"/>
        <v>-0.0136</v>
      </c>
      <c r="M68" s="38">
        <f t="shared" si="2"/>
        <v>8.789537713</v>
      </c>
      <c r="N68" s="39">
        <f>VLOOKUP(A68,Total_de_acoes!A:B,2,0)</f>
        <v>176733968</v>
      </c>
      <c r="O68" s="40">
        <f t="shared" si="3"/>
        <v>-21126374.33</v>
      </c>
      <c r="P68" s="37" t="str">
        <f t="shared" si="4"/>
        <v>Desceu</v>
      </c>
      <c r="Q68" s="37" t="str">
        <f>vlookup(A68,Ticker!A:B,2,0)</f>
        <v>Alpargatas</v>
      </c>
      <c r="R68" s="41" t="str">
        <f>VLOOKUP(Q68,chatgpt!A:C,2,0)</f>
        <v>Vestuário</v>
      </c>
      <c r="S68" s="42">
        <f>VLOOKUP(R68,chatgpt!B:D,2,0)</f>
        <v>48</v>
      </c>
      <c r="T68" s="42" t="str">
        <f t="shared" si="5"/>
        <v>Menos de 50 anos</v>
      </c>
    </row>
    <row r="69">
      <c r="A69" s="43" t="s">
        <v>153</v>
      </c>
      <c r="B69" s="44">
        <v>45317.0</v>
      </c>
      <c r="C69" s="45">
        <v>22.84</v>
      </c>
      <c r="D69" s="45">
        <v>-1.38</v>
      </c>
      <c r="E69" s="45">
        <v>2.38</v>
      </c>
      <c r="F69" s="45">
        <v>-5.15</v>
      </c>
      <c r="G69" s="45">
        <v>-5.15</v>
      </c>
      <c r="H69" s="45">
        <v>60.09</v>
      </c>
      <c r="I69" s="45">
        <v>22.62</v>
      </c>
      <c r="J69" s="45">
        <v>23.34</v>
      </c>
      <c r="K69" s="43" t="s">
        <v>298</v>
      </c>
      <c r="L69" s="46">
        <f t="shared" si="1"/>
        <v>-0.0138</v>
      </c>
      <c r="M69" s="47">
        <f t="shared" si="2"/>
        <v>23.15960251</v>
      </c>
      <c r="N69" s="48">
        <f>VLOOKUP(A69,Total_de_acoes!A:B,2,0)</f>
        <v>265784616</v>
      </c>
      <c r="O69" s="49">
        <f t="shared" si="3"/>
        <v>-84945431.64</v>
      </c>
      <c r="P69" s="46" t="str">
        <f t="shared" si="4"/>
        <v>Desceu</v>
      </c>
      <c r="Q69" s="46" t="str">
        <f>vlookup(A69,Ticker!A:B,2,0)</f>
        <v>Cyrela</v>
      </c>
      <c r="R69" s="50" t="str">
        <f>VLOOKUP(Q69,chatgpt!A:C,2,0)</f>
        <v>Construção Civil</v>
      </c>
      <c r="S69" s="51">
        <f>VLOOKUP(R69,chatgpt!B:D,2,0)</f>
        <v>41</v>
      </c>
      <c r="T69" s="51" t="str">
        <f t="shared" si="5"/>
        <v>Menos de 50 anos</v>
      </c>
    </row>
    <row r="70">
      <c r="A70" s="34" t="s">
        <v>157</v>
      </c>
      <c r="B70" s="35">
        <v>45317.0</v>
      </c>
      <c r="C70" s="36">
        <v>22.4</v>
      </c>
      <c r="D70" s="36">
        <v>-1.4</v>
      </c>
      <c r="E70" s="36">
        <v>5.02</v>
      </c>
      <c r="F70" s="36">
        <v>0.04</v>
      </c>
      <c r="G70" s="36">
        <v>0.04</v>
      </c>
      <c r="H70" s="36">
        <v>34.29</v>
      </c>
      <c r="I70" s="36">
        <v>22.26</v>
      </c>
      <c r="J70" s="36">
        <v>22.92</v>
      </c>
      <c r="K70" s="34" t="s">
        <v>299</v>
      </c>
      <c r="L70" s="37">
        <f t="shared" si="1"/>
        <v>-0.014</v>
      </c>
      <c r="M70" s="38">
        <f t="shared" si="2"/>
        <v>22.71805274</v>
      </c>
      <c r="N70" s="39">
        <f>VLOOKUP(A70,Total_de_acoes!A:B,2,0)</f>
        <v>734632705</v>
      </c>
      <c r="O70" s="40">
        <f t="shared" si="3"/>
        <v>-233651943.5</v>
      </c>
      <c r="P70" s="37" t="str">
        <f t="shared" si="4"/>
        <v>Desceu</v>
      </c>
      <c r="Q70" s="37" t="str">
        <f>vlookup(A70,Ticker!A:B,2,0)</f>
        <v>Embraer</v>
      </c>
      <c r="R70" s="41" t="str">
        <f>VLOOKUP(Q70,chatgpt!A:C,2,0)</f>
        <v>Aeroespacial</v>
      </c>
      <c r="S70" s="42">
        <f>VLOOKUP(R70,chatgpt!B:D,2,0)</f>
        <v>53</v>
      </c>
      <c r="T70" s="42" t="str">
        <f t="shared" si="5"/>
        <v>Entre 50 e 100</v>
      </c>
    </row>
    <row r="71">
      <c r="A71" s="43" t="s">
        <v>167</v>
      </c>
      <c r="B71" s="44">
        <v>45317.0</v>
      </c>
      <c r="C71" s="45">
        <v>15.97</v>
      </c>
      <c r="D71" s="45">
        <v>-1.41</v>
      </c>
      <c r="E71" s="45">
        <v>-7.37</v>
      </c>
      <c r="F71" s="45">
        <v>-5.45</v>
      </c>
      <c r="G71" s="45">
        <v>-5.45</v>
      </c>
      <c r="H71" s="45">
        <v>23.51</v>
      </c>
      <c r="I71" s="45">
        <v>15.84</v>
      </c>
      <c r="J71" s="45">
        <v>16.43</v>
      </c>
      <c r="K71" s="43" t="s">
        <v>300</v>
      </c>
      <c r="L71" s="46">
        <f t="shared" si="1"/>
        <v>-0.0141</v>
      </c>
      <c r="M71" s="47">
        <f t="shared" si="2"/>
        <v>16.1983974</v>
      </c>
      <c r="N71" s="48">
        <f>VLOOKUP(A71,Total_de_acoes!A:B,2,0)</f>
        <v>846244302</v>
      </c>
      <c r="O71" s="49">
        <f t="shared" si="3"/>
        <v>-193280001.2</v>
      </c>
      <c r="P71" s="46" t="str">
        <f t="shared" si="4"/>
        <v>Desceu</v>
      </c>
      <c r="Q71" s="46" t="str">
        <f>vlookup(A71,Ticker!A:B,2,0)</f>
        <v>Natura</v>
      </c>
      <c r="R71" s="50" t="str">
        <f>VLOOKUP(Q71,chatgpt!A:C,2,0)</f>
        <v>Beleza</v>
      </c>
      <c r="S71" s="51">
        <f>VLOOKUP(R71,chatgpt!B:D,2,0)</f>
        <v>56</v>
      </c>
      <c r="T71" s="51" t="str">
        <f t="shared" si="5"/>
        <v>Entre 50 e 100</v>
      </c>
    </row>
    <row r="72">
      <c r="A72" s="34" t="s">
        <v>131</v>
      </c>
      <c r="B72" s="35">
        <v>45317.0</v>
      </c>
      <c r="C72" s="36">
        <v>13.8</v>
      </c>
      <c r="D72" s="36">
        <v>-1.42</v>
      </c>
      <c r="E72" s="36">
        <v>-3.5</v>
      </c>
      <c r="F72" s="36">
        <v>2.0</v>
      </c>
      <c r="G72" s="36">
        <v>2.0</v>
      </c>
      <c r="H72" s="36">
        <v>-34.02</v>
      </c>
      <c r="I72" s="36">
        <v>13.63</v>
      </c>
      <c r="J72" s="36">
        <v>14.0</v>
      </c>
      <c r="K72" s="34" t="s">
        <v>301</v>
      </c>
      <c r="L72" s="37">
        <f t="shared" si="1"/>
        <v>-0.0142</v>
      </c>
      <c r="M72" s="38">
        <f t="shared" si="2"/>
        <v>13.99878271</v>
      </c>
      <c r="N72" s="39">
        <f>VLOOKUP(A72,Total_de_acoes!A:B,2,0)</f>
        <v>1349217892</v>
      </c>
      <c r="O72" s="40">
        <f t="shared" si="3"/>
        <v>-268201195.1</v>
      </c>
      <c r="P72" s="37" t="str">
        <f t="shared" si="4"/>
        <v>Desceu</v>
      </c>
      <c r="Q72" s="37" t="str">
        <f>vlookup(A72,Ticker!A:B,2,0)</f>
        <v>Assaí</v>
      </c>
      <c r="R72" s="41" t="str">
        <f>VLOOKUP(Q72,chatgpt!A:C,2,0)</f>
        <v>Varejo/Alimentos</v>
      </c>
      <c r="S72" s="42">
        <f>VLOOKUP(R72,chatgpt!B:D,2,0)</f>
        <v>49</v>
      </c>
      <c r="T72" s="42" t="str">
        <f t="shared" si="5"/>
        <v>Menos de 50 anos</v>
      </c>
    </row>
    <row r="73">
      <c r="A73" s="43" t="s">
        <v>133</v>
      </c>
      <c r="B73" s="44">
        <v>45317.0</v>
      </c>
      <c r="C73" s="45">
        <v>13.22</v>
      </c>
      <c r="D73" s="45">
        <v>-1.56</v>
      </c>
      <c r="E73" s="45">
        <v>-4.13</v>
      </c>
      <c r="F73" s="45">
        <v>-8.58</v>
      </c>
      <c r="G73" s="45">
        <v>-8.58</v>
      </c>
      <c r="H73" s="45">
        <v>3.88</v>
      </c>
      <c r="I73" s="45">
        <v>13.18</v>
      </c>
      <c r="J73" s="45">
        <v>13.42</v>
      </c>
      <c r="K73" s="43" t="s">
        <v>302</v>
      </c>
      <c r="L73" s="46">
        <f t="shared" si="1"/>
        <v>-0.0156</v>
      </c>
      <c r="M73" s="47">
        <f t="shared" si="2"/>
        <v>13.4295002</v>
      </c>
      <c r="N73" s="48">
        <f>VLOOKUP(A73,Total_de_acoes!A:B,2,0)</f>
        <v>5602790110</v>
      </c>
      <c r="O73" s="49">
        <f t="shared" si="3"/>
        <v>-1173785666</v>
      </c>
      <c r="P73" s="46" t="str">
        <f t="shared" si="4"/>
        <v>Desceu</v>
      </c>
      <c r="Q73" s="46" t="str">
        <f>vlookup(A73,Ticker!A:B,2,0)</f>
        <v>B3</v>
      </c>
      <c r="R73" s="50" t="str">
        <f>VLOOKUP(Q73,chatgpt!A:C,2,0)</f>
        <v>Financeiro</v>
      </c>
      <c r="S73" s="51">
        <f>VLOOKUP(R73,chatgpt!B:D,2,0)</f>
        <v>125</v>
      </c>
      <c r="T73" s="51" t="str">
        <f t="shared" si="5"/>
        <v>Mais de 100 anos</v>
      </c>
    </row>
    <row r="74">
      <c r="A74" s="34" t="s">
        <v>170</v>
      </c>
      <c r="B74" s="35">
        <v>45317.0</v>
      </c>
      <c r="C74" s="36">
        <v>31.08</v>
      </c>
      <c r="D74" s="36">
        <v>-1.61</v>
      </c>
      <c r="E74" s="36">
        <v>-5.27</v>
      </c>
      <c r="F74" s="36">
        <v>-13.06</v>
      </c>
      <c r="G74" s="36">
        <v>-13.06</v>
      </c>
      <c r="H74" s="36">
        <v>-27.52</v>
      </c>
      <c r="I74" s="36">
        <v>30.91</v>
      </c>
      <c r="J74" s="36">
        <v>31.72</v>
      </c>
      <c r="K74" s="34" t="s">
        <v>303</v>
      </c>
      <c r="L74" s="37">
        <f t="shared" si="1"/>
        <v>-0.0161</v>
      </c>
      <c r="M74" s="38">
        <f t="shared" si="2"/>
        <v>31.58857607</v>
      </c>
      <c r="N74" s="39">
        <f>VLOOKUP(A74,Total_de_acoes!A:B,2,0)</f>
        <v>409490388</v>
      </c>
      <c r="O74" s="40">
        <f t="shared" si="3"/>
        <v>-208257014.2</v>
      </c>
      <c r="P74" s="37" t="str">
        <f t="shared" si="4"/>
        <v>Desceu</v>
      </c>
      <c r="Q74" s="37" t="str">
        <f>vlookup(A74,Ticker!A:B,2,0)</f>
        <v>Hypera</v>
      </c>
      <c r="R74" s="41" t="str">
        <f>VLOOKUP(Q74,chatgpt!A:C,2,0)</f>
        <v>Farmacêutico</v>
      </c>
      <c r="S74" s="42">
        <f>VLOOKUP(R74,chatgpt!B:D,2,0)</f>
        <v>20</v>
      </c>
      <c r="T74" s="42" t="str">
        <f t="shared" si="5"/>
        <v>Menos de 50 anos</v>
      </c>
    </row>
    <row r="75">
      <c r="A75" s="43" t="s">
        <v>197</v>
      </c>
      <c r="B75" s="44">
        <v>45317.0</v>
      </c>
      <c r="C75" s="45">
        <v>28.2</v>
      </c>
      <c r="D75" s="45">
        <v>-1.94</v>
      </c>
      <c r="E75" s="45">
        <v>0.36</v>
      </c>
      <c r="F75" s="45">
        <v>-3.79</v>
      </c>
      <c r="G75" s="45">
        <v>-3.79</v>
      </c>
      <c r="H75" s="45">
        <v>17.1</v>
      </c>
      <c r="I75" s="45">
        <v>28.13</v>
      </c>
      <c r="J75" s="45">
        <v>28.97</v>
      </c>
      <c r="K75" s="43" t="s">
        <v>304</v>
      </c>
      <c r="L75" s="46">
        <f t="shared" si="1"/>
        <v>-0.0194</v>
      </c>
      <c r="M75" s="47">
        <f t="shared" si="2"/>
        <v>28.75790332</v>
      </c>
      <c r="N75" s="48">
        <f>VLOOKUP(A75,Total_de_acoes!A:B,2,0)</f>
        <v>142377330</v>
      </c>
      <c r="O75" s="49">
        <f t="shared" si="3"/>
        <v>-79432785.74</v>
      </c>
      <c r="P75" s="46" t="str">
        <f t="shared" si="4"/>
        <v>Desceu</v>
      </c>
      <c r="Q75" s="46" t="str">
        <f>vlookup(A75,Ticker!A:B,2,0)</f>
        <v>São Martinho</v>
      </c>
      <c r="R75" s="50" t="str">
        <f>VLOOKUP(Q75,chatgpt!A:C,2,0)</f>
        <v>Agronegócio</v>
      </c>
      <c r="S75" s="51">
        <f>VLOOKUP(R75,chatgpt!B:D,2,0)</f>
        <v>82</v>
      </c>
      <c r="T75" s="51" t="str">
        <f t="shared" si="5"/>
        <v>Entre 50 e 100</v>
      </c>
    </row>
    <row r="76">
      <c r="A76" s="34" t="s">
        <v>169</v>
      </c>
      <c r="B76" s="35">
        <v>45317.0</v>
      </c>
      <c r="C76" s="36">
        <v>3.93</v>
      </c>
      <c r="D76" s="36">
        <v>-1.99</v>
      </c>
      <c r="E76" s="36">
        <v>-2.24</v>
      </c>
      <c r="F76" s="36">
        <v>-11.69</v>
      </c>
      <c r="G76" s="36">
        <v>-11.69</v>
      </c>
      <c r="H76" s="36">
        <v>-11.49</v>
      </c>
      <c r="I76" s="36">
        <v>3.89</v>
      </c>
      <c r="J76" s="36">
        <v>4.06</v>
      </c>
      <c r="K76" s="34" t="s">
        <v>305</v>
      </c>
      <c r="L76" s="37">
        <f t="shared" si="1"/>
        <v>-0.0199</v>
      </c>
      <c r="M76" s="38">
        <f t="shared" si="2"/>
        <v>4.009794919</v>
      </c>
      <c r="N76" s="39">
        <f>VLOOKUP(A76,Total_de_acoes!A:B,2,0)</f>
        <v>4394332306</v>
      </c>
      <c r="O76" s="40">
        <f t="shared" si="3"/>
        <v>-350645389.9</v>
      </c>
      <c r="P76" s="37" t="str">
        <f t="shared" si="4"/>
        <v>Desceu</v>
      </c>
      <c r="Q76" s="37" t="str">
        <f>vlookup(A76,Ticker!A:B,2,0)</f>
        <v>Hapvida</v>
      </c>
      <c r="R76" s="41" t="str">
        <f>VLOOKUP(Q76,chatgpt!A:C,2,0)</f>
        <v>Saúde</v>
      </c>
      <c r="S76" s="42">
        <f>VLOOKUP(R76,chatgpt!B:D,2,0)</f>
        <v>45</v>
      </c>
      <c r="T76" s="42" t="str">
        <f t="shared" si="5"/>
        <v>Menos de 50 anos</v>
      </c>
    </row>
    <row r="77">
      <c r="A77" s="43" t="s">
        <v>178</v>
      </c>
      <c r="B77" s="44">
        <v>45317.0</v>
      </c>
      <c r="C77" s="45">
        <v>15.78</v>
      </c>
      <c r="D77" s="45">
        <v>-2.29</v>
      </c>
      <c r="E77" s="45">
        <v>-5.62</v>
      </c>
      <c r="F77" s="45">
        <v>-9.41</v>
      </c>
      <c r="G77" s="45">
        <v>-9.41</v>
      </c>
      <c r="H77" s="45">
        <v>-24.94</v>
      </c>
      <c r="I77" s="45">
        <v>15.7</v>
      </c>
      <c r="J77" s="45">
        <v>16.23</v>
      </c>
      <c r="K77" s="43" t="s">
        <v>306</v>
      </c>
      <c r="L77" s="46">
        <f t="shared" si="1"/>
        <v>-0.0229</v>
      </c>
      <c r="M77" s="47">
        <f t="shared" si="2"/>
        <v>16.14983113</v>
      </c>
      <c r="N77" s="48">
        <f>VLOOKUP(A77,Total_de_acoes!A:B,2,0)</f>
        <v>951329770</v>
      </c>
      <c r="O77" s="49">
        <f t="shared" si="3"/>
        <v>-351831366.6</v>
      </c>
      <c r="P77" s="46" t="str">
        <f t="shared" si="4"/>
        <v>Desceu</v>
      </c>
      <c r="Q77" s="46" t="str">
        <f>vlookup(A77,Ticker!A:B,2,0)</f>
        <v>Lojas Renner</v>
      </c>
      <c r="R77" s="50" t="str">
        <f>VLOOKUP(Q77,chatgpt!A:C,2,0)</f>
        <v>Varejo</v>
      </c>
      <c r="S77" s="51">
        <f>VLOOKUP(R77,chatgpt!B:D,2,0)</f>
        <v>64</v>
      </c>
      <c r="T77" s="51" t="str">
        <f t="shared" si="5"/>
        <v>Entre 50 e 100</v>
      </c>
    </row>
    <row r="78">
      <c r="A78" s="34" t="s">
        <v>142</v>
      </c>
      <c r="B78" s="35">
        <v>45317.0</v>
      </c>
      <c r="C78" s="36">
        <v>10.71</v>
      </c>
      <c r="D78" s="36">
        <v>-2.45</v>
      </c>
      <c r="E78" s="36">
        <v>-9.47</v>
      </c>
      <c r="F78" s="36">
        <v>-13.98</v>
      </c>
      <c r="G78" s="36">
        <v>-13.98</v>
      </c>
      <c r="H78" s="36">
        <v>-32.72</v>
      </c>
      <c r="I78" s="36">
        <v>10.7</v>
      </c>
      <c r="J78" s="36">
        <v>11.08</v>
      </c>
      <c r="K78" s="34" t="s">
        <v>307</v>
      </c>
      <c r="L78" s="37">
        <f t="shared" si="1"/>
        <v>-0.0245</v>
      </c>
      <c r="M78" s="38">
        <f t="shared" si="2"/>
        <v>10.97898514</v>
      </c>
      <c r="N78" s="39">
        <f>VLOOKUP(A78,Total_de_acoes!A:B,2,0)</f>
        <v>533990587</v>
      </c>
      <c r="O78" s="40">
        <f t="shared" si="3"/>
        <v>-143635530.6</v>
      </c>
      <c r="P78" s="37" t="str">
        <f t="shared" si="4"/>
        <v>Desceu</v>
      </c>
      <c r="Q78" s="37" t="str">
        <f>vlookup(A78,Ticker!A:B,2,0)</f>
        <v>Carrefour Brasil</v>
      </c>
      <c r="R78" s="41" t="str">
        <f>VLOOKUP(Q78,chatgpt!A:C,2,0)</f>
        <v>Varejo</v>
      </c>
      <c r="S78" s="42">
        <f>VLOOKUP(R78,chatgpt!B:D,2,0)</f>
        <v>64</v>
      </c>
      <c r="T78" s="42" t="str">
        <f t="shared" si="5"/>
        <v>Entre 50 e 100</v>
      </c>
    </row>
    <row r="79">
      <c r="A79" s="43" t="s">
        <v>143</v>
      </c>
      <c r="B79" s="44">
        <v>45317.0</v>
      </c>
      <c r="C79" s="45">
        <v>8.7</v>
      </c>
      <c r="D79" s="45">
        <v>-2.46</v>
      </c>
      <c r="E79" s="45">
        <v>-6.95</v>
      </c>
      <c r="F79" s="45">
        <v>-23.55</v>
      </c>
      <c r="G79" s="45">
        <v>-23.55</v>
      </c>
      <c r="H79" s="45">
        <v>-85.74</v>
      </c>
      <c r="I79" s="45">
        <v>8.67</v>
      </c>
      <c r="J79" s="45">
        <v>8.95</v>
      </c>
      <c r="K79" s="43" t="s">
        <v>308</v>
      </c>
      <c r="L79" s="46">
        <f t="shared" si="1"/>
        <v>-0.0246</v>
      </c>
      <c r="M79" s="47">
        <f t="shared" si="2"/>
        <v>8.919417675</v>
      </c>
      <c r="N79" s="48">
        <f>VLOOKUP(A79,Total_de_acoes!A:B,2,0)</f>
        <v>94843047</v>
      </c>
      <c r="O79" s="49">
        <f t="shared" si="3"/>
        <v>-20810240.84</v>
      </c>
      <c r="P79" s="46" t="str">
        <f t="shared" si="4"/>
        <v>Desceu</v>
      </c>
      <c r="Q79" s="46" t="str">
        <f>vlookup(A79,Ticker!A:B,2,0)</f>
        <v>Casas Bahia</v>
      </c>
      <c r="R79" s="50" t="str">
        <f>VLOOKUP(Q79,chatgpt!A:C,2,0)</f>
        <v>Varejo</v>
      </c>
      <c r="S79" s="51">
        <f>VLOOKUP(R79,chatgpt!B:D,2,0)</f>
        <v>64</v>
      </c>
      <c r="T79" s="51" t="str">
        <f t="shared" si="5"/>
        <v>Entre 50 e 100</v>
      </c>
    </row>
    <row r="80">
      <c r="A80" s="34" t="s">
        <v>177</v>
      </c>
      <c r="B80" s="35">
        <v>45317.0</v>
      </c>
      <c r="C80" s="36">
        <v>56.24</v>
      </c>
      <c r="D80" s="36">
        <v>-3.63</v>
      </c>
      <c r="E80" s="36">
        <v>-6.41</v>
      </c>
      <c r="F80" s="36">
        <v>-11.57</v>
      </c>
      <c r="G80" s="36">
        <v>-11.57</v>
      </c>
      <c r="H80" s="36">
        <v>-2.77</v>
      </c>
      <c r="I80" s="36">
        <v>56.04</v>
      </c>
      <c r="J80" s="36">
        <v>58.9</v>
      </c>
      <c r="K80" s="34" t="s">
        <v>309</v>
      </c>
      <c r="L80" s="37">
        <f t="shared" si="1"/>
        <v>-0.0363</v>
      </c>
      <c r="M80" s="38">
        <f t="shared" si="2"/>
        <v>58.35841029</v>
      </c>
      <c r="N80" s="39">
        <f>VLOOKUP(A80,Total_de_acoes!A:B,2,0)</f>
        <v>853202347</v>
      </c>
      <c r="O80" s="40">
        <f t="shared" si="3"/>
        <v>-1807432634</v>
      </c>
      <c r="P80" s="37" t="str">
        <f t="shared" si="4"/>
        <v>Desceu</v>
      </c>
      <c r="Q80" s="37" t="str">
        <f>vlookup(A80,Ticker!A:B,2,0)</f>
        <v>Localiza</v>
      </c>
      <c r="R80" s="41" t="str">
        <f>VLOOKUP(Q80,chatgpt!A:C,2,0)</f>
        <v>Aluguel de Carros</v>
      </c>
      <c r="S80" s="42">
        <f>VLOOKUP(R80,chatgpt!B:D,2,0)</f>
        <v>48</v>
      </c>
      <c r="T80" s="42" t="str">
        <f t="shared" si="5"/>
        <v>Menos de 50 anos</v>
      </c>
    </row>
    <row r="81">
      <c r="A81" s="43" t="s">
        <v>152</v>
      </c>
      <c r="B81" s="44">
        <v>45317.0</v>
      </c>
      <c r="C81" s="45">
        <v>3.07</v>
      </c>
      <c r="D81" s="45">
        <v>-4.36</v>
      </c>
      <c r="E81" s="45">
        <v>-5.54</v>
      </c>
      <c r="F81" s="45">
        <v>-12.29</v>
      </c>
      <c r="G81" s="45">
        <v>-12.29</v>
      </c>
      <c r="H81" s="45">
        <v>-36.83</v>
      </c>
      <c r="I81" s="45">
        <v>3.05</v>
      </c>
      <c r="J81" s="45">
        <v>3.23</v>
      </c>
      <c r="K81" s="43" t="s">
        <v>310</v>
      </c>
      <c r="L81" s="46">
        <f t="shared" si="1"/>
        <v>-0.0436</v>
      </c>
      <c r="M81" s="47">
        <f t="shared" si="2"/>
        <v>3.209953994</v>
      </c>
      <c r="N81" s="48">
        <f>VLOOKUP(A81,Total_de_acoes!A:B,2,0)</f>
        <v>525582771</v>
      </c>
      <c r="O81" s="49">
        <f t="shared" si="3"/>
        <v>-73557408.06</v>
      </c>
      <c r="P81" s="46" t="str">
        <f t="shared" si="4"/>
        <v>Desceu</v>
      </c>
      <c r="Q81" s="46" t="str">
        <f>vlookup(A81,Ticker!A:B,2,0)</f>
        <v>CVC</v>
      </c>
      <c r="R81" s="50" t="str">
        <f>VLOOKUP(Q81,chatgpt!A:C,2,0)</f>
        <v>Viagens</v>
      </c>
      <c r="S81" s="51">
        <f>VLOOKUP(R81,chatgpt!B:D,2,0)</f>
        <v>49</v>
      </c>
      <c r="T81" s="51" t="str">
        <f t="shared" si="5"/>
        <v>Menos de 50 anos</v>
      </c>
    </row>
    <row r="82">
      <c r="A82" s="34" t="s">
        <v>166</v>
      </c>
      <c r="B82" s="35">
        <v>45317.0</v>
      </c>
      <c r="C82" s="36">
        <v>5.92</v>
      </c>
      <c r="D82" s="36">
        <v>-8.07</v>
      </c>
      <c r="E82" s="36">
        <v>-15.91</v>
      </c>
      <c r="F82" s="36">
        <v>-34.0</v>
      </c>
      <c r="G82" s="36">
        <v>-34.0</v>
      </c>
      <c r="H82" s="36">
        <v>-25.44</v>
      </c>
      <c r="I82" s="36">
        <v>5.51</v>
      </c>
      <c r="J82" s="36">
        <v>6.02</v>
      </c>
      <c r="K82" s="34" t="s">
        <v>311</v>
      </c>
      <c r="L82" s="37">
        <f t="shared" si="1"/>
        <v>-0.0807</v>
      </c>
      <c r="M82" s="38">
        <f t="shared" si="2"/>
        <v>6.439682367</v>
      </c>
      <c r="N82" s="39">
        <f>VLOOKUP(A82,Total_de_acoes!A:B,2,0)</f>
        <v>198184909</v>
      </c>
      <c r="O82" s="40">
        <f t="shared" si="3"/>
        <v>-102993202.6</v>
      </c>
      <c r="P82" s="37" t="str">
        <f t="shared" si="4"/>
        <v>Desceu</v>
      </c>
      <c r="Q82" s="37" t="str">
        <f>vlookup(A82,Ticker!A:B,2,0)</f>
        <v>GOL</v>
      </c>
      <c r="R82" s="41" t="str">
        <f>VLOOKUP(Q82,chatgpt!A:C,2,0)</f>
        <v>Transporte</v>
      </c>
      <c r="S82" s="42">
        <f>VLOOKUP(R82,chatgpt!B:D,2,0)</f>
        <v>14</v>
      </c>
      <c r="T82" s="42" t="str">
        <f t="shared" si="5"/>
        <v>Menos de 50 anos</v>
      </c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3"/>
      <c r="M83" s="54"/>
      <c r="N83" s="53"/>
      <c r="O83" s="55"/>
      <c r="P83" s="53"/>
      <c r="Q83" s="53"/>
      <c r="R83" s="56"/>
      <c r="S83" s="57"/>
      <c r="T83" s="57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9"/>
      <c r="M84" s="60"/>
      <c r="N84" s="59"/>
      <c r="O84" s="61"/>
      <c r="P84" s="59"/>
      <c r="Q84" s="59"/>
      <c r="R84" s="62"/>
      <c r="S84" s="63"/>
      <c r="T84" s="63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3"/>
      <c r="M85" s="54"/>
      <c r="N85" s="53"/>
      <c r="O85" s="55"/>
      <c r="P85" s="53"/>
      <c r="Q85" s="53"/>
      <c r="R85" s="56"/>
      <c r="S85" s="57"/>
      <c r="T85" s="57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9"/>
      <c r="M86" s="60"/>
      <c r="N86" s="59"/>
      <c r="O86" s="61"/>
      <c r="P86" s="59"/>
      <c r="Q86" s="59"/>
      <c r="R86" s="62"/>
      <c r="S86" s="63"/>
      <c r="T86" s="63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3"/>
      <c r="M87" s="54"/>
      <c r="N87" s="53"/>
      <c r="O87" s="55"/>
      <c r="P87" s="53"/>
      <c r="Q87" s="53"/>
      <c r="R87" s="56"/>
      <c r="S87" s="57"/>
      <c r="T87" s="57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9"/>
      <c r="M88" s="60"/>
      <c r="N88" s="59"/>
      <c r="O88" s="61"/>
      <c r="P88" s="59"/>
      <c r="Q88" s="59"/>
      <c r="R88" s="62"/>
      <c r="S88" s="63"/>
      <c r="T88" s="63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3"/>
      <c r="M89" s="54"/>
      <c r="N89" s="53"/>
      <c r="O89" s="55"/>
      <c r="P89" s="53"/>
      <c r="Q89" s="53"/>
      <c r="R89" s="56"/>
      <c r="S89" s="57"/>
      <c r="T89" s="57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9"/>
      <c r="M90" s="60"/>
      <c r="N90" s="59"/>
      <c r="O90" s="61"/>
      <c r="P90" s="59"/>
      <c r="Q90" s="59"/>
      <c r="R90" s="62"/>
      <c r="S90" s="63"/>
      <c r="T90" s="63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3"/>
      <c r="M91" s="54"/>
      <c r="N91" s="53"/>
      <c r="O91" s="55"/>
      <c r="P91" s="53"/>
      <c r="Q91" s="53"/>
      <c r="R91" s="56"/>
      <c r="S91" s="57"/>
      <c r="T91" s="57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9"/>
      <c r="M92" s="60"/>
      <c r="N92" s="59"/>
      <c r="O92" s="61"/>
      <c r="P92" s="59"/>
      <c r="Q92" s="59"/>
      <c r="R92" s="62"/>
      <c r="S92" s="63"/>
      <c r="T92" s="63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3"/>
      <c r="M93" s="54"/>
      <c r="N93" s="53"/>
      <c r="O93" s="55"/>
      <c r="P93" s="53"/>
      <c r="Q93" s="53"/>
      <c r="R93" s="56"/>
      <c r="S93" s="57"/>
      <c r="T93" s="57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9"/>
      <c r="M94" s="60"/>
      <c r="N94" s="59"/>
      <c r="O94" s="61"/>
      <c r="P94" s="59"/>
      <c r="Q94" s="59"/>
      <c r="R94" s="62"/>
      <c r="S94" s="63"/>
      <c r="T94" s="63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3"/>
      <c r="M95" s="54"/>
      <c r="N95" s="53"/>
      <c r="O95" s="55"/>
      <c r="P95" s="53"/>
      <c r="Q95" s="53"/>
      <c r="R95" s="56"/>
      <c r="S95" s="57"/>
      <c r="T95" s="57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9"/>
      <c r="M96" s="60"/>
      <c r="N96" s="59"/>
      <c r="O96" s="61"/>
      <c r="P96" s="59"/>
      <c r="Q96" s="59"/>
      <c r="R96" s="62"/>
      <c r="S96" s="63"/>
      <c r="T96" s="63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3"/>
      <c r="M97" s="54"/>
      <c r="N97" s="53"/>
      <c r="O97" s="55"/>
      <c r="P97" s="53"/>
      <c r="Q97" s="53"/>
      <c r="R97" s="56"/>
      <c r="S97" s="57"/>
      <c r="T97" s="57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9"/>
      <c r="M98" s="60"/>
      <c r="N98" s="59"/>
      <c r="O98" s="61"/>
      <c r="P98" s="59"/>
      <c r="Q98" s="59"/>
      <c r="R98" s="62"/>
      <c r="S98" s="63"/>
      <c r="T98" s="63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3"/>
      <c r="M99" s="54"/>
      <c r="N99" s="53"/>
      <c r="O99" s="55"/>
      <c r="P99" s="53"/>
      <c r="Q99" s="53"/>
      <c r="R99" s="56"/>
      <c r="S99" s="57"/>
      <c r="T99" s="57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9"/>
      <c r="M100" s="60"/>
      <c r="N100" s="59"/>
      <c r="O100" s="61"/>
      <c r="P100" s="59"/>
      <c r="Q100" s="59"/>
      <c r="R100" s="62"/>
      <c r="S100" s="63"/>
      <c r="T100" s="63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3"/>
      <c r="M101" s="54"/>
      <c r="N101" s="53"/>
      <c r="O101" s="55"/>
      <c r="P101" s="53"/>
      <c r="Q101" s="53"/>
      <c r="R101" s="56"/>
      <c r="S101" s="57"/>
      <c r="T101" s="57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9"/>
      <c r="M102" s="60"/>
      <c r="N102" s="59"/>
      <c r="O102" s="61"/>
      <c r="P102" s="59"/>
      <c r="Q102" s="59"/>
      <c r="R102" s="62"/>
      <c r="S102" s="63"/>
      <c r="T102" s="63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3"/>
      <c r="M103" s="54"/>
      <c r="N103" s="53"/>
      <c r="O103" s="55"/>
      <c r="P103" s="53"/>
      <c r="Q103" s="53"/>
      <c r="R103" s="56"/>
      <c r="S103" s="57"/>
      <c r="T103" s="57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9"/>
      <c r="M104" s="60"/>
      <c r="N104" s="59"/>
      <c r="O104" s="61"/>
      <c r="P104" s="59"/>
      <c r="Q104" s="59"/>
      <c r="R104" s="62"/>
      <c r="S104" s="63"/>
      <c r="T104" s="63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3"/>
      <c r="M105" s="54"/>
      <c r="N105" s="53"/>
      <c r="O105" s="55"/>
      <c r="P105" s="53"/>
      <c r="Q105" s="53"/>
      <c r="R105" s="56"/>
      <c r="S105" s="57"/>
      <c r="T105" s="57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9"/>
      <c r="M106" s="60"/>
      <c r="N106" s="59"/>
      <c r="O106" s="61"/>
      <c r="P106" s="59"/>
      <c r="Q106" s="59"/>
      <c r="R106" s="62"/>
      <c r="S106" s="63"/>
      <c r="T106" s="63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3"/>
      <c r="M107" s="54"/>
      <c r="N107" s="53"/>
      <c r="O107" s="55"/>
      <c r="P107" s="53"/>
      <c r="Q107" s="53"/>
      <c r="R107" s="56"/>
      <c r="S107" s="57"/>
      <c r="T107" s="57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9"/>
      <c r="M108" s="60"/>
      <c r="N108" s="59"/>
      <c r="O108" s="61"/>
      <c r="P108" s="59"/>
      <c r="Q108" s="59"/>
      <c r="R108" s="62"/>
      <c r="S108" s="63"/>
      <c r="T108" s="63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3"/>
      <c r="M109" s="54"/>
      <c r="N109" s="53"/>
      <c r="O109" s="55"/>
      <c r="P109" s="53"/>
      <c r="Q109" s="53"/>
      <c r="R109" s="56"/>
      <c r="S109" s="57"/>
      <c r="T109" s="57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9"/>
      <c r="M110" s="60"/>
      <c r="N110" s="59"/>
      <c r="O110" s="61"/>
      <c r="P110" s="59"/>
      <c r="Q110" s="59"/>
      <c r="R110" s="62"/>
      <c r="S110" s="63"/>
      <c r="T110" s="63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3"/>
      <c r="M111" s="54"/>
      <c r="N111" s="53"/>
      <c r="O111" s="55"/>
      <c r="P111" s="53"/>
      <c r="Q111" s="53"/>
      <c r="R111" s="56"/>
      <c r="S111" s="57"/>
      <c r="T111" s="57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9"/>
      <c r="M112" s="60"/>
      <c r="N112" s="59"/>
      <c r="O112" s="61"/>
      <c r="P112" s="59"/>
      <c r="Q112" s="59"/>
      <c r="R112" s="62"/>
      <c r="S112" s="63"/>
      <c r="T112" s="63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3"/>
      <c r="M113" s="54"/>
      <c r="N113" s="53"/>
      <c r="O113" s="55"/>
      <c r="P113" s="53"/>
      <c r="Q113" s="53"/>
      <c r="R113" s="56"/>
      <c r="S113" s="57"/>
      <c r="T113" s="57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9"/>
      <c r="M114" s="60"/>
      <c r="N114" s="59"/>
      <c r="O114" s="61"/>
      <c r="P114" s="59"/>
      <c r="Q114" s="59"/>
      <c r="R114" s="62"/>
      <c r="S114" s="63"/>
      <c r="T114" s="63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3"/>
      <c r="M115" s="54"/>
      <c r="N115" s="53"/>
      <c r="O115" s="55"/>
      <c r="P115" s="53"/>
      <c r="Q115" s="53"/>
      <c r="R115" s="56"/>
      <c r="S115" s="57"/>
      <c r="T115" s="57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9"/>
      <c r="M116" s="60"/>
      <c r="N116" s="59"/>
      <c r="O116" s="61"/>
      <c r="P116" s="59"/>
      <c r="Q116" s="59"/>
      <c r="R116" s="62"/>
      <c r="S116" s="63"/>
      <c r="T116" s="63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3"/>
      <c r="M117" s="54"/>
      <c r="N117" s="53"/>
      <c r="O117" s="55"/>
      <c r="P117" s="53"/>
      <c r="Q117" s="53"/>
      <c r="R117" s="56"/>
      <c r="S117" s="57"/>
      <c r="T117" s="57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9"/>
      <c r="M118" s="60"/>
      <c r="N118" s="59"/>
      <c r="O118" s="61"/>
      <c r="P118" s="59"/>
      <c r="Q118" s="59"/>
      <c r="R118" s="62"/>
      <c r="S118" s="63"/>
      <c r="T118" s="63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3"/>
      <c r="M119" s="54"/>
      <c r="N119" s="53"/>
      <c r="O119" s="55"/>
      <c r="P119" s="53"/>
      <c r="Q119" s="53"/>
      <c r="R119" s="56"/>
      <c r="S119" s="57"/>
      <c r="T119" s="57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9"/>
      <c r="M120" s="60"/>
      <c r="N120" s="59"/>
      <c r="O120" s="61"/>
      <c r="P120" s="59"/>
      <c r="Q120" s="59"/>
      <c r="R120" s="62"/>
      <c r="S120" s="63"/>
      <c r="T120" s="63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3"/>
      <c r="M121" s="54"/>
      <c r="N121" s="53"/>
      <c r="O121" s="55"/>
      <c r="P121" s="53"/>
      <c r="Q121" s="53"/>
      <c r="R121" s="56"/>
      <c r="S121" s="57"/>
      <c r="T121" s="57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9"/>
      <c r="M122" s="60"/>
      <c r="N122" s="59"/>
      <c r="O122" s="61"/>
      <c r="P122" s="59"/>
      <c r="Q122" s="59"/>
      <c r="R122" s="62"/>
      <c r="S122" s="63"/>
      <c r="T122" s="63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3"/>
      <c r="M123" s="54"/>
      <c r="N123" s="53"/>
      <c r="O123" s="55"/>
      <c r="P123" s="53"/>
      <c r="Q123" s="53"/>
      <c r="R123" s="56"/>
      <c r="S123" s="57"/>
      <c r="T123" s="57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9"/>
      <c r="M124" s="60"/>
      <c r="N124" s="59"/>
      <c r="O124" s="61"/>
      <c r="P124" s="59"/>
      <c r="Q124" s="59"/>
      <c r="R124" s="62"/>
      <c r="S124" s="63"/>
      <c r="T124" s="63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3"/>
      <c r="M125" s="54"/>
      <c r="N125" s="53"/>
      <c r="O125" s="55"/>
      <c r="P125" s="53"/>
      <c r="Q125" s="53"/>
      <c r="R125" s="56"/>
      <c r="S125" s="57"/>
      <c r="T125" s="57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9"/>
      <c r="M126" s="60"/>
      <c r="N126" s="59"/>
      <c r="O126" s="61"/>
      <c r="P126" s="59"/>
      <c r="Q126" s="59"/>
      <c r="R126" s="62"/>
      <c r="S126" s="63"/>
      <c r="T126" s="63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3"/>
      <c r="M127" s="54"/>
      <c r="N127" s="53"/>
      <c r="O127" s="55"/>
      <c r="P127" s="53"/>
      <c r="Q127" s="53"/>
      <c r="R127" s="56"/>
      <c r="S127" s="57"/>
      <c r="T127" s="57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9"/>
      <c r="M128" s="60"/>
      <c r="N128" s="59"/>
      <c r="O128" s="61"/>
      <c r="P128" s="59"/>
      <c r="Q128" s="59"/>
      <c r="R128" s="62"/>
      <c r="S128" s="63"/>
      <c r="T128" s="63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3"/>
      <c r="M129" s="54"/>
      <c r="N129" s="53"/>
      <c r="O129" s="55"/>
      <c r="P129" s="53"/>
      <c r="Q129" s="53"/>
      <c r="R129" s="56"/>
      <c r="S129" s="57"/>
      <c r="T129" s="57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9"/>
      <c r="M130" s="60"/>
      <c r="N130" s="59"/>
      <c r="O130" s="61"/>
      <c r="P130" s="59"/>
      <c r="Q130" s="59"/>
      <c r="R130" s="62"/>
      <c r="S130" s="63"/>
      <c r="T130" s="63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3"/>
      <c r="M131" s="54"/>
      <c r="N131" s="53"/>
      <c r="O131" s="55"/>
      <c r="P131" s="53"/>
      <c r="Q131" s="53"/>
      <c r="R131" s="56"/>
      <c r="S131" s="57"/>
      <c r="T131" s="57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9"/>
      <c r="M132" s="60"/>
      <c r="N132" s="59"/>
      <c r="O132" s="61"/>
      <c r="P132" s="59"/>
      <c r="Q132" s="59"/>
      <c r="R132" s="62"/>
      <c r="S132" s="63"/>
      <c r="T132" s="63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3"/>
      <c r="M133" s="54"/>
      <c r="N133" s="53"/>
      <c r="O133" s="55"/>
      <c r="P133" s="53"/>
      <c r="Q133" s="53"/>
      <c r="R133" s="56"/>
      <c r="S133" s="57"/>
      <c r="T133" s="57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9"/>
      <c r="M134" s="60"/>
      <c r="N134" s="59"/>
      <c r="O134" s="61"/>
      <c r="P134" s="59"/>
      <c r="Q134" s="59"/>
      <c r="R134" s="62"/>
      <c r="S134" s="63"/>
      <c r="T134" s="63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3"/>
      <c r="M135" s="54"/>
      <c r="N135" s="53"/>
      <c r="O135" s="55"/>
      <c r="P135" s="53"/>
      <c r="Q135" s="53"/>
      <c r="R135" s="56"/>
      <c r="S135" s="57"/>
      <c r="T135" s="57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9"/>
      <c r="M136" s="60"/>
      <c r="N136" s="59"/>
      <c r="O136" s="61"/>
      <c r="P136" s="59"/>
      <c r="Q136" s="59"/>
      <c r="R136" s="62"/>
      <c r="S136" s="63"/>
      <c r="T136" s="63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3"/>
      <c r="M137" s="54"/>
      <c r="N137" s="53"/>
      <c r="O137" s="55"/>
      <c r="P137" s="53"/>
      <c r="Q137" s="53"/>
      <c r="R137" s="56"/>
      <c r="S137" s="57"/>
      <c r="T137" s="57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9"/>
      <c r="M138" s="60"/>
      <c r="N138" s="59"/>
      <c r="O138" s="61"/>
      <c r="P138" s="59"/>
      <c r="Q138" s="59"/>
      <c r="R138" s="62"/>
      <c r="S138" s="63"/>
      <c r="T138" s="63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3"/>
      <c r="M139" s="54"/>
      <c r="N139" s="53"/>
      <c r="O139" s="55"/>
      <c r="P139" s="53"/>
      <c r="Q139" s="53"/>
      <c r="R139" s="56"/>
      <c r="S139" s="57"/>
      <c r="T139" s="57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9"/>
      <c r="M140" s="60"/>
      <c r="N140" s="59"/>
      <c r="O140" s="61"/>
      <c r="P140" s="59"/>
      <c r="Q140" s="59"/>
      <c r="R140" s="62"/>
      <c r="S140" s="63"/>
      <c r="T140" s="63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3"/>
      <c r="M141" s="54"/>
      <c r="N141" s="53"/>
      <c r="O141" s="55"/>
      <c r="P141" s="53"/>
      <c r="Q141" s="53"/>
      <c r="R141" s="56"/>
      <c r="S141" s="57"/>
      <c r="T141" s="57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9"/>
      <c r="M142" s="60"/>
      <c r="N142" s="59"/>
      <c r="O142" s="61"/>
      <c r="P142" s="59"/>
      <c r="Q142" s="59"/>
      <c r="R142" s="62"/>
      <c r="S142" s="63"/>
      <c r="T142" s="63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3"/>
      <c r="M143" s="54"/>
      <c r="N143" s="53"/>
      <c r="O143" s="55"/>
      <c r="P143" s="53"/>
      <c r="Q143" s="53"/>
      <c r="R143" s="56"/>
      <c r="S143" s="57"/>
      <c r="T143" s="57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9"/>
      <c r="M144" s="60"/>
      <c r="N144" s="59"/>
      <c r="O144" s="61"/>
      <c r="P144" s="59"/>
      <c r="Q144" s="59"/>
      <c r="R144" s="62"/>
      <c r="S144" s="63"/>
      <c r="T144" s="63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3"/>
      <c r="M145" s="54"/>
      <c r="N145" s="53"/>
      <c r="O145" s="55"/>
      <c r="P145" s="53"/>
      <c r="Q145" s="53"/>
      <c r="R145" s="56"/>
      <c r="S145" s="57"/>
      <c r="T145" s="57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9"/>
      <c r="M146" s="60"/>
      <c r="N146" s="59"/>
      <c r="O146" s="61"/>
      <c r="P146" s="59"/>
      <c r="Q146" s="59"/>
      <c r="R146" s="62"/>
      <c r="S146" s="63"/>
      <c r="T146" s="63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3"/>
      <c r="M147" s="54"/>
      <c r="N147" s="53"/>
      <c r="O147" s="55"/>
      <c r="P147" s="53"/>
      <c r="Q147" s="53"/>
      <c r="R147" s="56"/>
      <c r="S147" s="57"/>
      <c r="T147" s="57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9"/>
      <c r="M148" s="60"/>
      <c r="N148" s="59"/>
      <c r="O148" s="61"/>
      <c r="P148" s="59"/>
      <c r="Q148" s="59"/>
      <c r="R148" s="62"/>
      <c r="S148" s="63"/>
      <c r="T148" s="63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3"/>
      <c r="M149" s="54"/>
      <c r="N149" s="53"/>
      <c r="O149" s="55"/>
      <c r="P149" s="53"/>
      <c r="Q149" s="53"/>
      <c r="R149" s="56"/>
      <c r="S149" s="57"/>
      <c r="T149" s="57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9"/>
      <c r="M150" s="60"/>
      <c r="N150" s="59"/>
      <c r="O150" s="61"/>
      <c r="P150" s="59"/>
      <c r="Q150" s="59"/>
      <c r="R150" s="62"/>
      <c r="S150" s="63"/>
      <c r="T150" s="63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3"/>
      <c r="M151" s="54"/>
      <c r="N151" s="53"/>
      <c r="O151" s="55"/>
      <c r="P151" s="53"/>
      <c r="Q151" s="53"/>
      <c r="R151" s="56"/>
      <c r="S151" s="57"/>
      <c r="T151" s="57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9"/>
      <c r="M152" s="60"/>
      <c r="N152" s="59"/>
      <c r="O152" s="61"/>
      <c r="P152" s="59"/>
      <c r="Q152" s="59"/>
      <c r="R152" s="62"/>
      <c r="S152" s="63"/>
      <c r="T152" s="63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3"/>
      <c r="M153" s="54"/>
      <c r="N153" s="53"/>
      <c r="O153" s="55"/>
      <c r="P153" s="53"/>
      <c r="Q153" s="53"/>
      <c r="R153" s="56"/>
      <c r="S153" s="57"/>
      <c r="T153" s="57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9"/>
      <c r="M154" s="60"/>
      <c r="N154" s="59"/>
      <c r="O154" s="61"/>
      <c r="P154" s="59"/>
      <c r="Q154" s="59"/>
      <c r="R154" s="62"/>
      <c r="S154" s="63"/>
      <c r="T154" s="63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3"/>
      <c r="M155" s="54"/>
      <c r="N155" s="53"/>
      <c r="O155" s="55"/>
      <c r="P155" s="53"/>
      <c r="Q155" s="53"/>
      <c r="R155" s="56"/>
      <c r="S155" s="57"/>
      <c r="T155" s="57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9"/>
      <c r="M156" s="60"/>
      <c r="N156" s="59"/>
      <c r="O156" s="61"/>
      <c r="P156" s="59"/>
      <c r="Q156" s="59"/>
      <c r="R156" s="62"/>
      <c r="S156" s="63"/>
      <c r="T156" s="63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3"/>
      <c r="M157" s="54"/>
      <c r="N157" s="53"/>
      <c r="O157" s="55"/>
      <c r="P157" s="53"/>
      <c r="Q157" s="53"/>
      <c r="R157" s="56"/>
      <c r="S157" s="57"/>
      <c r="T157" s="57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9"/>
      <c r="M158" s="60"/>
      <c r="N158" s="59"/>
      <c r="O158" s="61"/>
      <c r="P158" s="59"/>
      <c r="Q158" s="59"/>
      <c r="R158" s="62"/>
      <c r="S158" s="63"/>
      <c r="T158" s="63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3"/>
      <c r="M159" s="54"/>
      <c r="N159" s="53"/>
      <c r="O159" s="55"/>
      <c r="P159" s="53"/>
      <c r="Q159" s="53"/>
      <c r="R159" s="56"/>
      <c r="S159" s="57"/>
      <c r="T159" s="57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9"/>
      <c r="M160" s="60"/>
      <c r="N160" s="59"/>
      <c r="O160" s="61"/>
      <c r="P160" s="59"/>
      <c r="Q160" s="59"/>
      <c r="R160" s="62"/>
      <c r="S160" s="63"/>
      <c r="T160" s="63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3"/>
      <c r="M161" s="54"/>
      <c r="N161" s="53"/>
      <c r="O161" s="55"/>
      <c r="P161" s="53"/>
      <c r="Q161" s="53"/>
      <c r="R161" s="56"/>
      <c r="S161" s="57"/>
      <c r="T161" s="57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9"/>
      <c r="M162" s="60"/>
      <c r="N162" s="59"/>
      <c r="O162" s="61"/>
      <c r="P162" s="59"/>
      <c r="Q162" s="59"/>
      <c r="R162" s="62"/>
      <c r="S162" s="63"/>
      <c r="T162" s="63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3"/>
      <c r="M163" s="54"/>
      <c r="N163" s="53"/>
      <c r="O163" s="55"/>
      <c r="P163" s="53"/>
      <c r="Q163" s="53"/>
      <c r="R163" s="56"/>
      <c r="S163" s="57"/>
      <c r="T163" s="57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9"/>
      <c r="M164" s="60"/>
      <c r="N164" s="59"/>
      <c r="O164" s="61"/>
      <c r="P164" s="59"/>
      <c r="Q164" s="59"/>
      <c r="R164" s="62"/>
      <c r="S164" s="63"/>
      <c r="T164" s="63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3"/>
      <c r="M165" s="54"/>
      <c r="N165" s="53"/>
      <c r="O165" s="55"/>
      <c r="P165" s="53"/>
      <c r="Q165" s="53"/>
      <c r="R165" s="56"/>
      <c r="S165" s="57"/>
      <c r="T165" s="57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9"/>
      <c r="M166" s="60"/>
      <c r="N166" s="59"/>
      <c r="O166" s="61"/>
      <c r="P166" s="59"/>
      <c r="Q166" s="59"/>
      <c r="R166" s="62"/>
      <c r="S166" s="63"/>
      <c r="T166" s="63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3"/>
      <c r="M167" s="54"/>
      <c r="N167" s="53"/>
      <c r="O167" s="55"/>
      <c r="P167" s="53"/>
      <c r="Q167" s="53"/>
      <c r="R167" s="56"/>
      <c r="S167" s="57"/>
      <c r="T167" s="57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9"/>
      <c r="M168" s="60"/>
      <c r="N168" s="59"/>
      <c r="O168" s="61"/>
      <c r="P168" s="59"/>
      <c r="Q168" s="59"/>
      <c r="R168" s="62"/>
      <c r="S168" s="63"/>
      <c r="T168" s="63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3"/>
      <c r="M169" s="54"/>
      <c r="N169" s="53"/>
      <c r="O169" s="55"/>
      <c r="P169" s="53"/>
      <c r="Q169" s="53"/>
      <c r="R169" s="56"/>
      <c r="S169" s="57"/>
      <c r="T169" s="57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9"/>
      <c r="M170" s="60"/>
      <c r="N170" s="59"/>
      <c r="O170" s="61"/>
      <c r="P170" s="59"/>
      <c r="Q170" s="59"/>
      <c r="R170" s="62"/>
      <c r="S170" s="63"/>
      <c r="T170" s="63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3"/>
      <c r="M171" s="54"/>
      <c r="N171" s="53"/>
      <c r="O171" s="55"/>
      <c r="P171" s="53"/>
      <c r="Q171" s="53"/>
      <c r="R171" s="56"/>
      <c r="S171" s="57"/>
      <c r="T171" s="57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9"/>
      <c r="M172" s="60"/>
      <c r="N172" s="59"/>
      <c r="O172" s="61"/>
      <c r="P172" s="59"/>
      <c r="Q172" s="59"/>
      <c r="R172" s="62"/>
      <c r="S172" s="63"/>
      <c r="T172" s="63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3"/>
      <c r="M173" s="54"/>
      <c r="N173" s="53"/>
      <c r="O173" s="55"/>
      <c r="P173" s="53"/>
      <c r="Q173" s="53"/>
      <c r="R173" s="56"/>
      <c r="S173" s="57"/>
      <c r="T173" s="57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9"/>
      <c r="M174" s="60"/>
      <c r="N174" s="59"/>
      <c r="O174" s="61"/>
      <c r="P174" s="59"/>
      <c r="Q174" s="59"/>
      <c r="R174" s="62"/>
      <c r="S174" s="63"/>
      <c r="T174" s="63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3"/>
      <c r="M175" s="54"/>
      <c r="N175" s="53"/>
      <c r="O175" s="55"/>
      <c r="P175" s="53"/>
      <c r="Q175" s="53"/>
      <c r="R175" s="56"/>
      <c r="S175" s="57"/>
      <c r="T175" s="57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9"/>
      <c r="M176" s="60"/>
      <c r="N176" s="59"/>
      <c r="O176" s="61"/>
      <c r="P176" s="59"/>
      <c r="Q176" s="59"/>
      <c r="R176" s="62"/>
      <c r="S176" s="63"/>
      <c r="T176" s="63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3"/>
      <c r="M177" s="54"/>
      <c r="N177" s="53"/>
      <c r="O177" s="55"/>
      <c r="P177" s="53"/>
      <c r="Q177" s="53"/>
      <c r="R177" s="56"/>
      <c r="S177" s="57"/>
      <c r="T177" s="57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9"/>
      <c r="M178" s="60"/>
      <c r="N178" s="59"/>
      <c r="O178" s="61"/>
      <c r="P178" s="59"/>
      <c r="Q178" s="59"/>
      <c r="R178" s="62"/>
      <c r="S178" s="63"/>
      <c r="T178" s="63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3"/>
      <c r="M179" s="54"/>
      <c r="N179" s="53"/>
      <c r="O179" s="55"/>
      <c r="P179" s="53"/>
      <c r="Q179" s="53"/>
      <c r="R179" s="56"/>
      <c r="S179" s="57"/>
      <c r="T179" s="57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9"/>
      <c r="M180" s="60"/>
      <c r="N180" s="59"/>
      <c r="O180" s="61"/>
      <c r="P180" s="59"/>
      <c r="Q180" s="59"/>
      <c r="R180" s="62"/>
      <c r="S180" s="63"/>
      <c r="T180" s="63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3"/>
      <c r="M181" s="54"/>
      <c r="N181" s="53"/>
      <c r="O181" s="55"/>
      <c r="P181" s="53"/>
      <c r="Q181" s="53"/>
      <c r="R181" s="56"/>
      <c r="S181" s="57"/>
      <c r="T181" s="57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9"/>
      <c r="M182" s="60"/>
      <c r="N182" s="59"/>
      <c r="O182" s="61"/>
      <c r="P182" s="59"/>
      <c r="Q182" s="59"/>
      <c r="R182" s="62"/>
      <c r="S182" s="63"/>
      <c r="T182" s="63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3"/>
      <c r="M183" s="54"/>
      <c r="N183" s="53"/>
      <c r="O183" s="55"/>
      <c r="P183" s="53"/>
      <c r="Q183" s="53"/>
      <c r="R183" s="56"/>
      <c r="S183" s="57"/>
      <c r="T183" s="57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9"/>
      <c r="M184" s="60"/>
      <c r="N184" s="59"/>
      <c r="O184" s="61"/>
      <c r="P184" s="59"/>
      <c r="Q184" s="59"/>
      <c r="R184" s="62"/>
      <c r="S184" s="63"/>
      <c r="T184" s="63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3"/>
      <c r="M185" s="54"/>
      <c r="N185" s="53"/>
      <c r="O185" s="55"/>
      <c r="P185" s="53"/>
      <c r="Q185" s="53"/>
      <c r="R185" s="56"/>
      <c r="S185" s="57"/>
      <c r="T185" s="57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9"/>
      <c r="M186" s="60"/>
      <c r="N186" s="59"/>
      <c r="O186" s="61"/>
      <c r="P186" s="59"/>
      <c r="Q186" s="59"/>
      <c r="R186" s="62"/>
      <c r="S186" s="63"/>
      <c r="T186" s="63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3"/>
      <c r="M187" s="54"/>
      <c r="N187" s="53"/>
      <c r="O187" s="55"/>
      <c r="P187" s="53"/>
      <c r="Q187" s="53"/>
      <c r="R187" s="56"/>
      <c r="S187" s="57"/>
      <c r="T187" s="57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9"/>
      <c r="M188" s="60"/>
      <c r="N188" s="59"/>
      <c r="O188" s="61"/>
      <c r="P188" s="59"/>
      <c r="Q188" s="59"/>
      <c r="R188" s="62"/>
      <c r="S188" s="63"/>
      <c r="T188" s="63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3"/>
      <c r="M189" s="54"/>
      <c r="N189" s="53"/>
      <c r="O189" s="55"/>
      <c r="P189" s="53"/>
      <c r="Q189" s="53"/>
      <c r="R189" s="56"/>
      <c r="S189" s="57"/>
      <c r="T189" s="57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9"/>
      <c r="M190" s="60"/>
      <c r="N190" s="59"/>
      <c r="O190" s="61"/>
      <c r="P190" s="59"/>
      <c r="Q190" s="59"/>
      <c r="R190" s="62"/>
      <c r="S190" s="63"/>
      <c r="T190" s="63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3"/>
      <c r="M191" s="54"/>
      <c r="N191" s="53"/>
      <c r="O191" s="55"/>
      <c r="P191" s="53"/>
      <c r="Q191" s="53"/>
      <c r="R191" s="56"/>
      <c r="S191" s="57"/>
      <c r="T191" s="57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9"/>
      <c r="M192" s="60"/>
      <c r="N192" s="59"/>
      <c r="O192" s="61"/>
      <c r="P192" s="59"/>
      <c r="Q192" s="59"/>
      <c r="R192" s="62"/>
      <c r="S192" s="63"/>
      <c r="T192" s="63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3"/>
      <c r="M193" s="54"/>
      <c r="N193" s="53"/>
      <c r="O193" s="55"/>
      <c r="P193" s="53"/>
      <c r="Q193" s="53"/>
      <c r="R193" s="56"/>
      <c r="S193" s="57"/>
      <c r="T193" s="57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9"/>
      <c r="M194" s="60"/>
      <c r="N194" s="59"/>
      <c r="O194" s="61"/>
      <c r="P194" s="59"/>
      <c r="Q194" s="59"/>
      <c r="R194" s="62"/>
      <c r="S194" s="63"/>
      <c r="T194" s="63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3"/>
      <c r="M195" s="54"/>
      <c r="N195" s="53"/>
      <c r="O195" s="55"/>
      <c r="P195" s="53"/>
      <c r="Q195" s="53"/>
      <c r="R195" s="56"/>
      <c r="S195" s="57"/>
      <c r="T195" s="57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9"/>
      <c r="M196" s="60"/>
      <c r="N196" s="59"/>
      <c r="O196" s="61"/>
      <c r="P196" s="59"/>
      <c r="Q196" s="59"/>
      <c r="R196" s="62"/>
      <c r="S196" s="63"/>
      <c r="T196" s="63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3"/>
      <c r="M197" s="54"/>
      <c r="N197" s="53"/>
      <c r="O197" s="55"/>
      <c r="P197" s="53"/>
      <c r="Q197" s="53"/>
      <c r="R197" s="56"/>
      <c r="S197" s="57"/>
      <c r="T197" s="57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9"/>
      <c r="M198" s="60"/>
      <c r="N198" s="59"/>
      <c r="O198" s="61"/>
      <c r="P198" s="59"/>
      <c r="Q198" s="59"/>
      <c r="R198" s="62"/>
      <c r="S198" s="63"/>
      <c r="T198" s="63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3"/>
      <c r="M199" s="54"/>
      <c r="N199" s="53"/>
      <c r="O199" s="55"/>
      <c r="P199" s="53"/>
      <c r="Q199" s="53"/>
      <c r="R199" s="56"/>
      <c r="S199" s="57"/>
      <c r="T199" s="57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9"/>
      <c r="M200" s="60"/>
      <c r="N200" s="59"/>
      <c r="O200" s="61"/>
      <c r="P200" s="59"/>
      <c r="Q200" s="59"/>
      <c r="R200" s="62"/>
      <c r="S200" s="63"/>
      <c r="T200" s="63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3"/>
      <c r="M201" s="54"/>
      <c r="N201" s="53"/>
      <c r="O201" s="55"/>
      <c r="P201" s="53"/>
      <c r="Q201" s="53"/>
      <c r="R201" s="56"/>
      <c r="S201" s="57"/>
      <c r="T201" s="57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9"/>
      <c r="M202" s="60"/>
      <c r="N202" s="59"/>
      <c r="O202" s="61"/>
      <c r="P202" s="59"/>
      <c r="Q202" s="59"/>
      <c r="R202" s="62"/>
      <c r="S202" s="63"/>
      <c r="T202" s="63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3"/>
      <c r="M203" s="54"/>
      <c r="N203" s="53"/>
      <c r="O203" s="55"/>
      <c r="P203" s="53"/>
      <c r="Q203" s="53"/>
      <c r="R203" s="56"/>
      <c r="S203" s="57"/>
      <c r="T203" s="57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9"/>
      <c r="M204" s="60"/>
      <c r="N204" s="59"/>
      <c r="O204" s="61"/>
      <c r="P204" s="59"/>
      <c r="Q204" s="59"/>
      <c r="R204" s="62"/>
      <c r="S204" s="63"/>
      <c r="T204" s="63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3"/>
      <c r="M205" s="54"/>
      <c r="N205" s="53"/>
      <c r="O205" s="55"/>
      <c r="P205" s="53"/>
      <c r="Q205" s="53"/>
      <c r="R205" s="56"/>
      <c r="S205" s="57"/>
      <c r="T205" s="57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9"/>
      <c r="M206" s="60"/>
      <c r="N206" s="59"/>
      <c r="O206" s="61"/>
      <c r="P206" s="59"/>
      <c r="Q206" s="59"/>
      <c r="R206" s="62"/>
      <c r="S206" s="63"/>
      <c r="T206" s="63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3"/>
      <c r="M207" s="54"/>
      <c r="N207" s="53"/>
      <c r="O207" s="55"/>
      <c r="P207" s="53"/>
      <c r="Q207" s="53"/>
      <c r="R207" s="56"/>
      <c r="S207" s="57"/>
      <c r="T207" s="57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9"/>
      <c r="M208" s="60"/>
      <c r="N208" s="59"/>
      <c r="O208" s="61"/>
      <c r="P208" s="59"/>
      <c r="Q208" s="59"/>
      <c r="R208" s="62"/>
      <c r="S208" s="63"/>
      <c r="T208" s="63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3"/>
      <c r="M209" s="54"/>
      <c r="N209" s="53"/>
      <c r="O209" s="55"/>
      <c r="P209" s="53"/>
      <c r="Q209" s="53"/>
      <c r="R209" s="56"/>
      <c r="S209" s="57"/>
      <c r="T209" s="57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9"/>
      <c r="M210" s="60"/>
      <c r="N210" s="59"/>
      <c r="O210" s="61"/>
      <c r="P210" s="59"/>
      <c r="Q210" s="59"/>
      <c r="R210" s="62"/>
      <c r="S210" s="63"/>
      <c r="T210" s="63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3"/>
      <c r="M211" s="54"/>
      <c r="N211" s="53"/>
      <c r="O211" s="55"/>
      <c r="P211" s="53"/>
      <c r="Q211" s="53"/>
      <c r="R211" s="56"/>
      <c r="S211" s="57"/>
      <c r="T211" s="57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9"/>
      <c r="M212" s="60"/>
      <c r="N212" s="59"/>
      <c r="O212" s="61"/>
      <c r="P212" s="59"/>
      <c r="Q212" s="59"/>
      <c r="R212" s="62"/>
      <c r="S212" s="63"/>
      <c r="T212" s="63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3"/>
      <c r="M213" s="54"/>
      <c r="N213" s="53"/>
      <c r="O213" s="55"/>
      <c r="P213" s="53"/>
      <c r="Q213" s="53"/>
      <c r="R213" s="56"/>
      <c r="S213" s="57"/>
      <c r="T213" s="57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9"/>
      <c r="M214" s="60"/>
      <c r="N214" s="59"/>
      <c r="O214" s="61"/>
      <c r="P214" s="59"/>
      <c r="Q214" s="59"/>
      <c r="R214" s="62"/>
      <c r="S214" s="63"/>
      <c r="T214" s="63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3"/>
      <c r="M215" s="54"/>
      <c r="N215" s="53"/>
      <c r="O215" s="55"/>
      <c r="P215" s="53"/>
      <c r="Q215" s="53"/>
      <c r="R215" s="56"/>
      <c r="S215" s="57"/>
      <c r="T215" s="57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9"/>
      <c r="M216" s="60"/>
      <c r="N216" s="59"/>
      <c r="O216" s="61"/>
      <c r="P216" s="59"/>
      <c r="Q216" s="59"/>
      <c r="R216" s="62"/>
      <c r="S216" s="63"/>
      <c r="T216" s="63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3"/>
      <c r="M217" s="54"/>
      <c r="N217" s="53"/>
      <c r="O217" s="55"/>
      <c r="P217" s="53"/>
      <c r="Q217" s="53"/>
      <c r="R217" s="56"/>
      <c r="S217" s="57"/>
      <c r="T217" s="57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9"/>
      <c r="M218" s="60"/>
      <c r="N218" s="59"/>
      <c r="O218" s="61"/>
      <c r="P218" s="59"/>
      <c r="Q218" s="59"/>
      <c r="R218" s="62"/>
      <c r="S218" s="63"/>
      <c r="T218" s="63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3"/>
      <c r="M219" s="54"/>
      <c r="N219" s="53"/>
      <c r="O219" s="55"/>
      <c r="P219" s="53"/>
      <c r="Q219" s="53"/>
      <c r="R219" s="56"/>
      <c r="S219" s="57"/>
      <c r="T219" s="57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9"/>
      <c r="M220" s="60"/>
      <c r="N220" s="59"/>
      <c r="O220" s="61"/>
      <c r="P220" s="59"/>
      <c r="Q220" s="59"/>
      <c r="R220" s="62"/>
      <c r="S220" s="63"/>
      <c r="T220" s="63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3"/>
      <c r="M221" s="54"/>
      <c r="N221" s="53"/>
      <c r="O221" s="55"/>
      <c r="P221" s="53"/>
      <c r="Q221" s="53"/>
      <c r="R221" s="56"/>
      <c r="S221" s="57"/>
      <c r="T221" s="57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9"/>
      <c r="M222" s="60"/>
      <c r="N222" s="59"/>
      <c r="O222" s="61"/>
      <c r="P222" s="59"/>
      <c r="Q222" s="59"/>
      <c r="R222" s="62"/>
      <c r="S222" s="63"/>
      <c r="T222" s="63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3"/>
      <c r="M223" s="54"/>
      <c r="N223" s="53"/>
      <c r="O223" s="55"/>
      <c r="P223" s="53"/>
      <c r="Q223" s="53"/>
      <c r="R223" s="56"/>
      <c r="S223" s="57"/>
      <c r="T223" s="57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9"/>
      <c r="M224" s="60"/>
      <c r="N224" s="59"/>
      <c r="O224" s="61"/>
      <c r="P224" s="59"/>
      <c r="Q224" s="59"/>
      <c r="R224" s="62"/>
      <c r="S224" s="63"/>
      <c r="T224" s="63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3"/>
      <c r="M225" s="54"/>
      <c r="N225" s="53"/>
      <c r="O225" s="55"/>
      <c r="P225" s="53"/>
      <c r="Q225" s="53"/>
      <c r="R225" s="56"/>
      <c r="S225" s="57"/>
      <c r="T225" s="57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9"/>
      <c r="M226" s="60"/>
      <c r="N226" s="59"/>
      <c r="O226" s="61"/>
      <c r="P226" s="59"/>
      <c r="Q226" s="59"/>
      <c r="R226" s="62"/>
      <c r="S226" s="63"/>
      <c r="T226" s="63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3"/>
      <c r="M227" s="54"/>
      <c r="N227" s="53"/>
      <c r="O227" s="55"/>
      <c r="P227" s="53"/>
      <c r="Q227" s="53"/>
      <c r="R227" s="56"/>
      <c r="S227" s="57"/>
      <c r="T227" s="57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9"/>
      <c r="M228" s="60"/>
      <c r="N228" s="59"/>
      <c r="O228" s="61"/>
      <c r="P228" s="59"/>
      <c r="Q228" s="59"/>
      <c r="R228" s="62"/>
      <c r="S228" s="63"/>
      <c r="T228" s="63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3"/>
      <c r="M229" s="54"/>
      <c r="N229" s="53"/>
      <c r="O229" s="55"/>
      <c r="P229" s="53"/>
      <c r="Q229" s="53"/>
      <c r="R229" s="56"/>
      <c r="S229" s="57"/>
      <c r="T229" s="57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9"/>
      <c r="M230" s="60"/>
      <c r="N230" s="59"/>
      <c r="O230" s="61"/>
      <c r="P230" s="59"/>
      <c r="Q230" s="59"/>
      <c r="R230" s="62"/>
      <c r="S230" s="63"/>
      <c r="T230" s="63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3"/>
      <c r="M231" s="54"/>
      <c r="N231" s="53"/>
      <c r="O231" s="55"/>
      <c r="P231" s="53"/>
      <c r="Q231" s="53"/>
      <c r="R231" s="56"/>
      <c r="S231" s="57"/>
      <c r="T231" s="57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9"/>
      <c r="M232" s="60"/>
      <c r="N232" s="59"/>
      <c r="O232" s="61"/>
      <c r="P232" s="59"/>
      <c r="Q232" s="59"/>
      <c r="R232" s="62"/>
      <c r="S232" s="63"/>
      <c r="T232" s="63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3"/>
      <c r="M233" s="54"/>
      <c r="N233" s="53"/>
      <c r="O233" s="55"/>
      <c r="P233" s="53"/>
      <c r="Q233" s="53"/>
      <c r="R233" s="56"/>
      <c r="S233" s="57"/>
      <c r="T233" s="57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9"/>
      <c r="M234" s="60"/>
      <c r="N234" s="59"/>
      <c r="O234" s="61"/>
      <c r="P234" s="59"/>
      <c r="Q234" s="59"/>
      <c r="R234" s="62"/>
      <c r="S234" s="63"/>
      <c r="T234" s="63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3"/>
      <c r="M235" s="54"/>
      <c r="N235" s="53"/>
      <c r="O235" s="55"/>
      <c r="P235" s="53"/>
      <c r="Q235" s="53"/>
      <c r="R235" s="56"/>
      <c r="S235" s="57"/>
      <c r="T235" s="57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9"/>
      <c r="M236" s="60"/>
      <c r="N236" s="59"/>
      <c r="O236" s="61"/>
      <c r="P236" s="59"/>
      <c r="Q236" s="59"/>
      <c r="R236" s="62"/>
      <c r="S236" s="63"/>
      <c r="T236" s="63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3"/>
      <c r="M237" s="54"/>
      <c r="N237" s="53"/>
      <c r="O237" s="55"/>
      <c r="P237" s="53"/>
      <c r="Q237" s="53"/>
      <c r="R237" s="56"/>
      <c r="S237" s="57"/>
      <c r="T237" s="57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9"/>
      <c r="M238" s="60"/>
      <c r="N238" s="59"/>
      <c r="O238" s="61"/>
      <c r="P238" s="59"/>
      <c r="Q238" s="59"/>
      <c r="R238" s="62"/>
      <c r="S238" s="63"/>
      <c r="T238" s="63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3"/>
      <c r="M239" s="54"/>
      <c r="N239" s="53"/>
      <c r="O239" s="55"/>
      <c r="P239" s="53"/>
      <c r="Q239" s="53"/>
      <c r="R239" s="56"/>
      <c r="S239" s="57"/>
      <c r="T239" s="57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9"/>
      <c r="M240" s="60"/>
      <c r="N240" s="59"/>
      <c r="O240" s="61"/>
      <c r="P240" s="59"/>
      <c r="Q240" s="59"/>
      <c r="R240" s="62"/>
      <c r="S240" s="63"/>
      <c r="T240" s="63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3"/>
      <c r="M241" s="54"/>
      <c r="N241" s="53"/>
      <c r="O241" s="55"/>
      <c r="P241" s="53"/>
      <c r="Q241" s="53"/>
      <c r="R241" s="56"/>
      <c r="S241" s="57"/>
      <c r="T241" s="57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9"/>
      <c r="M242" s="60"/>
      <c r="N242" s="59"/>
      <c r="O242" s="61"/>
      <c r="P242" s="59"/>
      <c r="Q242" s="59"/>
      <c r="R242" s="62"/>
      <c r="S242" s="63"/>
      <c r="T242" s="63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3"/>
      <c r="M243" s="54"/>
      <c r="N243" s="53"/>
      <c r="O243" s="55"/>
      <c r="P243" s="53"/>
      <c r="Q243" s="53"/>
      <c r="R243" s="56"/>
      <c r="S243" s="57"/>
      <c r="T243" s="57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9"/>
      <c r="M244" s="60"/>
      <c r="N244" s="59"/>
      <c r="O244" s="61"/>
      <c r="P244" s="59"/>
      <c r="Q244" s="59"/>
      <c r="R244" s="62"/>
      <c r="S244" s="63"/>
      <c r="T244" s="63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3"/>
      <c r="M245" s="54"/>
      <c r="N245" s="53"/>
      <c r="O245" s="55"/>
      <c r="P245" s="53"/>
      <c r="Q245" s="53"/>
      <c r="R245" s="56"/>
      <c r="S245" s="57"/>
      <c r="T245" s="57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9"/>
      <c r="M246" s="60"/>
      <c r="N246" s="59"/>
      <c r="O246" s="61"/>
      <c r="P246" s="59"/>
      <c r="Q246" s="59"/>
      <c r="R246" s="62"/>
      <c r="S246" s="63"/>
      <c r="T246" s="63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3"/>
      <c r="M247" s="54"/>
      <c r="N247" s="53"/>
      <c r="O247" s="55"/>
      <c r="P247" s="53"/>
      <c r="Q247" s="53"/>
      <c r="R247" s="56"/>
      <c r="S247" s="57"/>
      <c r="T247" s="57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9"/>
      <c r="M248" s="60"/>
      <c r="N248" s="59"/>
      <c r="O248" s="61"/>
      <c r="P248" s="59"/>
      <c r="Q248" s="59"/>
      <c r="R248" s="62"/>
      <c r="S248" s="63"/>
      <c r="T248" s="63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3"/>
      <c r="M249" s="54"/>
      <c r="N249" s="53"/>
      <c r="O249" s="55"/>
      <c r="P249" s="53"/>
      <c r="Q249" s="53"/>
      <c r="R249" s="56"/>
      <c r="S249" s="57"/>
      <c r="T249" s="57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9"/>
      <c r="M250" s="60"/>
      <c r="N250" s="59"/>
      <c r="O250" s="61"/>
      <c r="P250" s="59"/>
      <c r="Q250" s="59"/>
      <c r="R250" s="62"/>
      <c r="S250" s="63"/>
      <c r="T250" s="63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3"/>
      <c r="M251" s="54"/>
      <c r="N251" s="53"/>
      <c r="O251" s="55"/>
      <c r="P251" s="53"/>
      <c r="Q251" s="53"/>
      <c r="R251" s="56"/>
      <c r="S251" s="57"/>
      <c r="T251" s="57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9"/>
      <c r="M252" s="60"/>
      <c r="N252" s="59"/>
      <c r="O252" s="61"/>
      <c r="P252" s="59"/>
      <c r="Q252" s="59"/>
      <c r="R252" s="62"/>
      <c r="S252" s="63"/>
      <c r="T252" s="63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3"/>
      <c r="M253" s="54"/>
      <c r="N253" s="53"/>
      <c r="O253" s="55"/>
      <c r="P253" s="53"/>
      <c r="Q253" s="53"/>
      <c r="R253" s="56"/>
      <c r="S253" s="57"/>
      <c r="T253" s="57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9"/>
      <c r="M254" s="60"/>
      <c r="N254" s="59"/>
      <c r="O254" s="61"/>
      <c r="P254" s="59"/>
      <c r="Q254" s="59"/>
      <c r="R254" s="62"/>
      <c r="S254" s="63"/>
      <c r="T254" s="63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3"/>
      <c r="M255" s="54"/>
      <c r="N255" s="53"/>
      <c r="O255" s="55"/>
      <c r="P255" s="53"/>
      <c r="Q255" s="53"/>
      <c r="R255" s="56"/>
      <c r="S255" s="57"/>
      <c r="T255" s="57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9"/>
      <c r="M256" s="60"/>
      <c r="N256" s="59"/>
      <c r="O256" s="61"/>
      <c r="P256" s="59"/>
      <c r="Q256" s="59"/>
      <c r="R256" s="62"/>
      <c r="S256" s="63"/>
      <c r="T256" s="63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3"/>
      <c r="M257" s="54"/>
      <c r="N257" s="53"/>
      <c r="O257" s="55"/>
      <c r="P257" s="53"/>
      <c r="Q257" s="53"/>
      <c r="R257" s="56"/>
      <c r="S257" s="57"/>
      <c r="T257" s="57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9"/>
      <c r="M258" s="60"/>
      <c r="N258" s="59"/>
      <c r="O258" s="61"/>
      <c r="P258" s="59"/>
      <c r="Q258" s="59"/>
      <c r="R258" s="62"/>
      <c r="S258" s="63"/>
      <c r="T258" s="63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3"/>
      <c r="M259" s="54"/>
      <c r="N259" s="53"/>
      <c r="O259" s="55"/>
      <c r="P259" s="53"/>
      <c r="Q259" s="53"/>
      <c r="R259" s="56"/>
      <c r="S259" s="57"/>
      <c r="T259" s="57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9"/>
      <c r="M260" s="60"/>
      <c r="N260" s="59"/>
      <c r="O260" s="61"/>
      <c r="P260" s="59"/>
      <c r="Q260" s="59"/>
      <c r="R260" s="62"/>
      <c r="S260" s="63"/>
      <c r="T260" s="63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3"/>
      <c r="M261" s="54"/>
      <c r="N261" s="53"/>
      <c r="O261" s="55"/>
      <c r="P261" s="53"/>
      <c r="Q261" s="53"/>
      <c r="R261" s="56"/>
      <c r="S261" s="57"/>
      <c r="T261" s="57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9"/>
      <c r="M262" s="60"/>
      <c r="N262" s="59"/>
      <c r="O262" s="61"/>
      <c r="P262" s="59"/>
      <c r="Q262" s="59"/>
      <c r="R262" s="62"/>
      <c r="S262" s="63"/>
      <c r="T262" s="63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3"/>
      <c r="M263" s="54"/>
      <c r="N263" s="53"/>
      <c r="O263" s="55"/>
      <c r="P263" s="53"/>
      <c r="Q263" s="53"/>
      <c r="R263" s="56"/>
      <c r="S263" s="57"/>
      <c r="T263" s="57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9"/>
      <c r="M264" s="60"/>
      <c r="N264" s="59"/>
      <c r="O264" s="61"/>
      <c r="P264" s="59"/>
      <c r="Q264" s="59"/>
      <c r="R264" s="62"/>
      <c r="S264" s="63"/>
      <c r="T264" s="63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3"/>
      <c r="M265" s="54"/>
      <c r="N265" s="53"/>
      <c r="O265" s="55"/>
      <c r="P265" s="53"/>
      <c r="Q265" s="53"/>
      <c r="R265" s="56"/>
      <c r="S265" s="57"/>
      <c r="T265" s="57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9"/>
      <c r="M266" s="60"/>
      <c r="N266" s="59"/>
      <c r="O266" s="61"/>
      <c r="P266" s="59"/>
      <c r="Q266" s="59"/>
      <c r="R266" s="62"/>
      <c r="S266" s="63"/>
      <c r="T266" s="63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3"/>
      <c r="M267" s="54"/>
      <c r="N267" s="53"/>
      <c r="O267" s="55"/>
      <c r="P267" s="53"/>
      <c r="Q267" s="53"/>
      <c r="R267" s="56"/>
      <c r="S267" s="57"/>
      <c r="T267" s="57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9"/>
      <c r="M268" s="60"/>
      <c r="N268" s="59"/>
      <c r="O268" s="61"/>
      <c r="P268" s="59"/>
      <c r="Q268" s="59"/>
      <c r="R268" s="62"/>
      <c r="S268" s="63"/>
      <c r="T268" s="63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3"/>
      <c r="M269" s="54"/>
      <c r="N269" s="53"/>
      <c r="O269" s="55"/>
      <c r="P269" s="53"/>
      <c r="Q269" s="53"/>
      <c r="R269" s="56"/>
      <c r="S269" s="57"/>
      <c r="T269" s="57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9"/>
      <c r="M270" s="60"/>
      <c r="N270" s="59"/>
      <c r="O270" s="61"/>
      <c r="P270" s="59"/>
      <c r="Q270" s="59"/>
      <c r="R270" s="62"/>
      <c r="S270" s="63"/>
      <c r="T270" s="63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3"/>
      <c r="M271" s="54"/>
      <c r="N271" s="53"/>
      <c r="O271" s="55"/>
      <c r="P271" s="53"/>
      <c r="Q271" s="53"/>
      <c r="R271" s="56"/>
      <c r="S271" s="57"/>
      <c r="T271" s="57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9"/>
      <c r="M272" s="60"/>
      <c r="N272" s="59"/>
      <c r="O272" s="61"/>
      <c r="P272" s="59"/>
      <c r="Q272" s="59"/>
      <c r="R272" s="62"/>
      <c r="S272" s="63"/>
      <c r="T272" s="63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3"/>
      <c r="M273" s="54"/>
      <c r="N273" s="53"/>
      <c r="O273" s="55"/>
      <c r="P273" s="53"/>
      <c r="Q273" s="53"/>
      <c r="R273" s="56"/>
      <c r="S273" s="57"/>
      <c r="T273" s="57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9"/>
      <c r="M274" s="60"/>
      <c r="N274" s="59"/>
      <c r="O274" s="61"/>
      <c r="P274" s="59"/>
      <c r="Q274" s="59"/>
      <c r="R274" s="62"/>
      <c r="S274" s="63"/>
      <c r="T274" s="63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3"/>
      <c r="M275" s="54"/>
      <c r="N275" s="53"/>
      <c r="O275" s="55"/>
      <c r="P275" s="53"/>
      <c r="Q275" s="53"/>
      <c r="R275" s="56"/>
      <c r="S275" s="57"/>
      <c r="T275" s="57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9"/>
      <c r="M276" s="60"/>
      <c r="N276" s="59"/>
      <c r="O276" s="61"/>
      <c r="P276" s="59"/>
      <c r="Q276" s="59"/>
      <c r="R276" s="62"/>
      <c r="S276" s="63"/>
      <c r="T276" s="63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3"/>
      <c r="M277" s="54"/>
      <c r="N277" s="53"/>
      <c r="O277" s="55"/>
      <c r="P277" s="53"/>
      <c r="Q277" s="53"/>
      <c r="R277" s="56"/>
      <c r="S277" s="57"/>
      <c r="T277" s="57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9"/>
      <c r="M278" s="60"/>
      <c r="N278" s="59"/>
      <c r="O278" s="61"/>
      <c r="P278" s="59"/>
      <c r="Q278" s="59"/>
      <c r="R278" s="62"/>
      <c r="S278" s="63"/>
      <c r="T278" s="63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3"/>
      <c r="M279" s="54"/>
      <c r="N279" s="53"/>
      <c r="O279" s="55"/>
      <c r="P279" s="53"/>
      <c r="Q279" s="53"/>
      <c r="R279" s="56"/>
      <c r="S279" s="57"/>
      <c r="T279" s="57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9"/>
      <c r="M280" s="60"/>
      <c r="N280" s="59"/>
      <c r="O280" s="61"/>
      <c r="P280" s="59"/>
      <c r="Q280" s="59"/>
      <c r="R280" s="62"/>
      <c r="S280" s="63"/>
      <c r="T280" s="63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3"/>
      <c r="M281" s="54"/>
      <c r="N281" s="53"/>
      <c r="O281" s="55"/>
      <c r="P281" s="53"/>
      <c r="Q281" s="53"/>
      <c r="R281" s="56"/>
      <c r="S281" s="57"/>
      <c r="T281" s="57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9"/>
      <c r="M282" s="60"/>
      <c r="N282" s="59"/>
      <c r="O282" s="61"/>
      <c r="P282" s="59"/>
      <c r="Q282" s="59"/>
      <c r="R282" s="62"/>
      <c r="S282" s="63"/>
      <c r="T282" s="63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3"/>
      <c r="M283" s="54"/>
      <c r="N283" s="53"/>
      <c r="O283" s="55"/>
      <c r="P283" s="53"/>
      <c r="Q283" s="53"/>
      <c r="R283" s="56"/>
      <c r="S283" s="57"/>
      <c r="T283" s="57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9"/>
      <c r="M284" s="60"/>
      <c r="N284" s="59"/>
      <c r="O284" s="61"/>
      <c r="P284" s="59"/>
      <c r="Q284" s="59"/>
      <c r="R284" s="62"/>
      <c r="S284" s="63"/>
      <c r="T284" s="63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3"/>
      <c r="M285" s="54"/>
      <c r="N285" s="53"/>
      <c r="O285" s="55"/>
      <c r="P285" s="53"/>
      <c r="Q285" s="53"/>
      <c r="R285" s="56"/>
      <c r="S285" s="57"/>
      <c r="T285" s="57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9"/>
      <c r="M286" s="60"/>
      <c r="N286" s="59"/>
      <c r="O286" s="61"/>
      <c r="P286" s="59"/>
      <c r="Q286" s="59"/>
      <c r="R286" s="62"/>
      <c r="S286" s="63"/>
      <c r="T286" s="63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3"/>
      <c r="M287" s="54"/>
      <c r="N287" s="53"/>
      <c r="O287" s="55"/>
      <c r="P287" s="53"/>
      <c r="Q287" s="53"/>
      <c r="R287" s="56"/>
      <c r="S287" s="57"/>
      <c r="T287" s="57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9"/>
      <c r="M288" s="60"/>
      <c r="N288" s="59"/>
      <c r="O288" s="61"/>
      <c r="P288" s="59"/>
      <c r="Q288" s="59"/>
      <c r="R288" s="62"/>
      <c r="S288" s="63"/>
      <c r="T288" s="63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3"/>
      <c r="M289" s="54"/>
      <c r="N289" s="53"/>
      <c r="O289" s="55"/>
      <c r="P289" s="53"/>
      <c r="Q289" s="53"/>
      <c r="R289" s="56"/>
      <c r="S289" s="57"/>
      <c r="T289" s="57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9"/>
      <c r="M290" s="60"/>
      <c r="N290" s="59"/>
      <c r="O290" s="61"/>
      <c r="P290" s="59"/>
      <c r="Q290" s="59"/>
      <c r="R290" s="62"/>
      <c r="S290" s="63"/>
      <c r="T290" s="63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3"/>
      <c r="M291" s="54"/>
      <c r="N291" s="53"/>
      <c r="O291" s="55"/>
      <c r="P291" s="53"/>
      <c r="Q291" s="53"/>
      <c r="R291" s="56"/>
      <c r="S291" s="57"/>
      <c r="T291" s="57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9"/>
      <c r="M292" s="60"/>
      <c r="N292" s="59"/>
      <c r="O292" s="61"/>
      <c r="P292" s="59"/>
      <c r="Q292" s="59"/>
      <c r="R292" s="62"/>
      <c r="S292" s="63"/>
      <c r="T292" s="63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3"/>
      <c r="M293" s="54"/>
      <c r="N293" s="53"/>
      <c r="O293" s="55"/>
      <c r="P293" s="53"/>
      <c r="Q293" s="53"/>
      <c r="R293" s="56"/>
      <c r="S293" s="57"/>
      <c r="T293" s="57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9"/>
      <c r="M294" s="60"/>
      <c r="N294" s="59"/>
      <c r="O294" s="61"/>
      <c r="P294" s="59"/>
      <c r="Q294" s="59"/>
      <c r="R294" s="62"/>
      <c r="S294" s="63"/>
      <c r="T294" s="63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3"/>
      <c r="M295" s="54"/>
      <c r="N295" s="53"/>
      <c r="O295" s="55"/>
      <c r="P295" s="53"/>
      <c r="Q295" s="53"/>
      <c r="R295" s="56"/>
      <c r="S295" s="57"/>
      <c r="T295" s="57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9"/>
      <c r="M296" s="60"/>
      <c r="N296" s="59"/>
      <c r="O296" s="61"/>
      <c r="P296" s="59"/>
      <c r="Q296" s="59"/>
      <c r="R296" s="62"/>
      <c r="S296" s="63"/>
      <c r="T296" s="63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3"/>
      <c r="M297" s="54"/>
      <c r="N297" s="53"/>
      <c r="O297" s="55"/>
      <c r="P297" s="53"/>
      <c r="Q297" s="53"/>
      <c r="R297" s="56"/>
      <c r="S297" s="57"/>
      <c r="T297" s="57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9"/>
      <c r="M298" s="60"/>
      <c r="N298" s="59"/>
      <c r="O298" s="61"/>
      <c r="P298" s="59"/>
      <c r="Q298" s="59"/>
      <c r="R298" s="62"/>
      <c r="S298" s="63"/>
      <c r="T298" s="63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3"/>
      <c r="M299" s="54"/>
      <c r="N299" s="53"/>
      <c r="O299" s="55"/>
      <c r="P299" s="53"/>
      <c r="Q299" s="53"/>
      <c r="R299" s="56"/>
      <c r="S299" s="57"/>
      <c r="T299" s="57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9"/>
      <c r="M300" s="60"/>
      <c r="N300" s="59"/>
      <c r="O300" s="61"/>
      <c r="P300" s="59"/>
      <c r="Q300" s="59"/>
      <c r="R300" s="62"/>
      <c r="S300" s="63"/>
      <c r="T300" s="63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3"/>
      <c r="M301" s="54"/>
      <c r="N301" s="53"/>
      <c r="O301" s="55"/>
      <c r="P301" s="53"/>
      <c r="Q301" s="53"/>
      <c r="R301" s="56"/>
      <c r="S301" s="57"/>
      <c r="T301" s="57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9"/>
      <c r="M302" s="60"/>
      <c r="N302" s="59"/>
      <c r="O302" s="61"/>
      <c r="P302" s="59"/>
      <c r="Q302" s="59"/>
      <c r="R302" s="62"/>
      <c r="S302" s="63"/>
      <c r="T302" s="63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3"/>
      <c r="M303" s="54"/>
      <c r="N303" s="53"/>
      <c r="O303" s="55"/>
      <c r="P303" s="53"/>
      <c r="Q303" s="53"/>
      <c r="R303" s="56"/>
      <c r="S303" s="57"/>
      <c r="T303" s="57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9"/>
      <c r="M304" s="60"/>
      <c r="N304" s="59"/>
      <c r="O304" s="61"/>
      <c r="P304" s="59"/>
      <c r="Q304" s="59"/>
      <c r="R304" s="62"/>
      <c r="S304" s="63"/>
      <c r="T304" s="63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3"/>
      <c r="M305" s="54"/>
      <c r="N305" s="53"/>
      <c r="O305" s="55"/>
      <c r="P305" s="53"/>
      <c r="Q305" s="53"/>
      <c r="R305" s="56"/>
      <c r="S305" s="57"/>
      <c r="T305" s="57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9"/>
      <c r="M306" s="60"/>
      <c r="N306" s="59"/>
      <c r="O306" s="61"/>
      <c r="P306" s="59"/>
      <c r="Q306" s="59"/>
      <c r="R306" s="62"/>
      <c r="S306" s="63"/>
      <c r="T306" s="63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3"/>
      <c r="M307" s="54"/>
      <c r="N307" s="53"/>
      <c r="O307" s="55"/>
      <c r="P307" s="53"/>
      <c r="Q307" s="53"/>
      <c r="R307" s="56"/>
      <c r="S307" s="57"/>
      <c r="T307" s="57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9"/>
      <c r="M308" s="60"/>
      <c r="N308" s="59"/>
      <c r="O308" s="61"/>
      <c r="P308" s="59"/>
      <c r="Q308" s="59"/>
      <c r="R308" s="62"/>
      <c r="S308" s="63"/>
      <c r="T308" s="63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3"/>
      <c r="M309" s="54"/>
      <c r="N309" s="53"/>
      <c r="O309" s="55"/>
      <c r="P309" s="53"/>
      <c r="Q309" s="53"/>
      <c r="R309" s="56"/>
      <c r="S309" s="57"/>
      <c r="T309" s="57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9"/>
      <c r="M310" s="60"/>
      <c r="N310" s="59"/>
      <c r="O310" s="61"/>
      <c r="P310" s="59"/>
      <c r="Q310" s="59"/>
      <c r="R310" s="62"/>
      <c r="S310" s="63"/>
      <c r="T310" s="63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3"/>
      <c r="M311" s="54"/>
      <c r="N311" s="53"/>
      <c r="O311" s="55"/>
      <c r="P311" s="53"/>
      <c r="Q311" s="53"/>
      <c r="R311" s="56"/>
      <c r="S311" s="57"/>
      <c r="T311" s="57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9"/>
      <c r="M312" s="60"/>
      <c r="N312" s="59"/>
      <c r="O312" s="61"/>
      <c r="P312" s="59"/>
      <c r="Q312" s="59"/>
      <c r="R312" s="62"/>
      <c r="S312" s="63"/>
      <c r="T312" s="63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3"/>
      <c r="M313" s="54"/>
      <c r="N313" s="53"/>
      <c r="O313" s="55"/>
      <c r="P313" s="53"/>
      <c r="Q313" s="53"/>
      <c r="R313" s="56"/>
      <c r="S313" s="57"/>
      <c r="T313" s="57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9"/>
      <c r="M314" s="60"/>
      <c r="N314" s="59"/>
      <c r="O314" s="61"/>
      <c r="P314" s="59"/>
      <c r="Q314" s="59"/>
      <c r="R314" s="62"/>
      <c r="S314" s="63"/>
      <c r="T314" s="63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3"/>
      <c r="M315" s="54"/>
      <c r="N315" s="53"/>
      <c r="O315" s="55"/>
      <c r="P315" s="53"/>
      <c r="Q315" s="53"/>
      <c r="R315" s="56"/>
      <c r="S315" s="57"/>
      <c r="T315" s="57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9"/>
      <c r="M316" s="60"/>
      <c r="N316" s="59"/>
      <c r="O316" s="61"/>
      <c r="P316" s="59"/>
      <c r="Q316" s="59"/>
      <c r="R316" s="62"/>
      <c r="S316" s="63"/>
      <c r="T316" s="63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3"/>
      <c r="M317" s="54"/>
      <c r="N317" s="53"/>
      <c r="O317" s="55"/>
      <c r="P317" s="53"/>
      <c r="Q317" s="53"/>
      <c r="R317" s="56"/>
      <c r="S317" s="57"/>
      <c r="T317" s="57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9"/>
      <c r="M318" s="60"/>
      <c r="N318" s="59"/>
      <c r="O318" s="61"/>
      <c r="P318" s="59"/>
      <c r="Q318" s="59"/>
      <c r="R318" s="62"/>
      <c r="S318" s="63"/>
      <c r="T318" s="63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3"/>
      <c r="M319" s="54"/>
      <c r="N319" s="53"/>
      <c r="O319" s="55"/>
      <c r="P319" s="53"/>
      <c r="Q319" s="53"/>
      <c r="R319" s="56"/>
      <c r="S319" s="57"/>
      <c r="T319" s="57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9"/>
      <c r="M320" s="60"/>
      <c r="N320" s="59"/>
      <c r="O320" s="61"/>
      <c r="P320" s="59"/>
      <c r="Q320" s="59"/>
      <c r="R320" s="62"/>
      <c r="S320" s="63"/>
      <c r="T320" s="63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3"/>
      <c r="M321" s="54"/>
      <c r="N321" s="53"/>
      <c r="O321" s="55"/>
      <c r="P321" s="53"/>
      <c r="Q321" s="53"/>
      <c r="R321" s="56"/>
      <c r="S321" s="57"/>
      <c r="T321" s="57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9"/>
      <c r="M322" s="60"/>
      <c r="N322" s="59"/>
      <c r="O322" s="61"/>
      <c r="P322" s="59"/>
      <c r="Q322" s="59"/>
      <c r="R322" s="62"/>
      <c r="S322" s="63"/>
      <c r="T322" s="63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3"/>
      <c r="M323" s="54"/>
      <c r="N323" s="53"/>
      <c r="O323" s="55"/>
      <c r="P323" s="53"/>
      <c r="Q323" s="53"/>
      <c r="R323" s="56"/>
      <c r="S323" s="57"/>
      <c r="T323" s="57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9"/>
      <c r="M324" s="60"/>
      <c r="N324" s="59"/>
      <c r="O324" s="61"/>
      <c r="P324" s="59"/>
      <c r="Q324" s="59"/>
      <c r="R324" s="62"/>
      <c r="S324" s="63"/>
      <c r="T324" s="63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3"/>
      <c r="M325" s="54"/>
      <c r="N325" s="53"/>
      <c r="O325" s="55"/>
      <c r="P325" s="53"/>
      <c r="Q325" s="53"/>
      <c r="R325" s="56"/>
      <c r="S325" s="57"/>
      <c r="T325" s="57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9"/>
      <c r="M326" s="60"/>
      <c r="N326" s="59"/>
      <c r="O326" s="61"/>
      <c r="P326" s="59"/>
      <c r="Q326" s="59"/>
      <c r="R326" s="62"/>
      <c r="S326" s="63"/>
      <c r="T326" s="63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3"/>
      <c r="M327" s="54"/>
      <c r="N327" s="53"/>
      <c r="O327" s="55"/>
      <c r="P327" s="53"/>
      <c r="Q327" s="53"/>
      <c r="R327" s="56"/>
      <c r="S327" s="57"/>
      <c r="T327" s="57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9"/>
      <c r="M328" s="60"/>
      <c r="N328" s="59"/>
      <c r="O328" s="61"/>
      <c r="P328" s="59"/>
      <c r="Q328" s="59"/>
      <c r="R328" s="62"/>
      <c r="S328" s="63"/>
      <c r="T328" s="63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3"/>
      <c r="M329" s="54"/>
      <c r="N329" s="53"/>
      <c r="O329" s="55"/>
      <c r="P329" s="53"/>
      <c r="Q329" s="53"/>
      <c r="R329" s="56"/>
      <c r="S329" s="57"/>
      <c r="T329" s="57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9"/>
      <c r="M330" s="60"/>
      <c r="N330" s="59"/>
      <c r="O330" s="61"/>
      <c r="P330" s="59"/>
      <c r="Q330" s="59"/>
      <c r="R330" s="62"/>
      <c r="S330" s="63"/>
      <c r="T330" s="63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3"/>
      <c r="M331" s="54"/>
      <c r="N331" s="53"/>
      <c r="O331" s="55"/>
      <c r="P331" s="53"/>
      <c r="Q331" s="53"/>
      <c r="R331" s="56"/>
      <c r="S331" s="57"/>
      <c r="T331" s="57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9"/>
      <c r="M332" s="60"/>
      <c r="N332" s="59"/>
      <c r="O332" s="61"/>
      <c r="P332" s="59"/>
      <c r="Q332" s="59"/>
      <c r="R332" s="62"/>
      <c r="S332" s="63"/>
      <c r="T332" s="63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3"/>
      <c r="M333" s="54"/>
      <c r="N333" s="53"/>
      <c r="O333" s="55"/>
      <c r="P333" s="53"/>
      <c r="Q333" s="53"/>
      <c r="R333" s="56"/>
      <c r="S333" s="57"/>
      <c r="T333" s="57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9"/>
      <c r="M334" s="60"/>
      <c r="N334" s="59"/>
      <c r="O334" s="61"/>
      <c r="P334" s="59"/>
      <c r="Q334" s="59"/>
      <c r="R334" s="62"/>
      <c r="S334" s="63"/>
      <c r="T334" s="63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3"/>
      <c r="M335" s="54"/>
      <c r="N335" s="53"/>
      <c r="O335" s="55"/>
      <c r="P335" s="53"/>
      <c r="Q335" s="53"/>
      <c r="R335" s="56"/>
      <c r="S335" s="57"/>
      <c r="T335" s="57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9"/>
      <c r="M336" s="60"/>
      <c r="N336" s="59"/>
      <c r="O336" s="61"/>
      <c r="P336" s="59"/>
      <c r="Q336" s="59"/>
      <c r="R336" s="62"/>
      <c r="S336" s="63"/>
      <c r="T336" s="63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3"/>
      <c r="M337" s="54"/>
      <c r="N337" s="53"/>
      <c r="O337" s="55"/>
      <c r="P337" s="53"/>
      <c r="Q337" s="53"/>
      <c r="R337" s="56"/>
      <c r="S337" s="57"/>
      <c r="T337" s="57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9"/>
      <c r="M338" s="60"/>
      <c r="N338" s="59"/>
      <c r="O338" s="61"/>
      <c r="P338" s="59"/>
      <c r="Q338" s="59"/>
      <c r="R338" s="62"/>
      <c r="S338" s="63"/>
      <c r="T338" s="63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3"/>
      <c r="M339" s="54"/>
      <c r="N339" s="53"/>
      <c r="O339" s="55"/>
      <c r="P339" s="53"/>
      <c r="Q339" s="53"/>
      <c r="R339" s="56"/>
      <c r="S339" s="57"/>
      <c r="T339" s="57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9"/>
      <c r="M340" s="60"/>
      <c r="N340" s="59"/>
      <c r="O340" s="61"/>
      <c r="P340" s="59"/>
      <c r="Q340" s="59"/>
      <c r="R340" s="62"/>
      <c r="S340" s="63"/>
      <c r="T340" s="63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3"/>
      <c r="M341" s="54"/>
      <c r="N341" s="53"/>
      <c r="O341" s="55"/>
      <c r="P341" s="53"/>
      <c r="Q341" s="53"/>
      <c r="R341" s="56"/>
      <c r="S341" s="57"/>
      <c r="T341" s="57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9"/>
      <c r="M342" s="60"/>
      <c r="N342" s="59"/>
      <c r="O342" s="61"/>
      <c r="P342" s="59"/>
      <c r="Q342" s="59"/>
      <c r="R342" s="62"/>
      <c r="S342" s="63"/>
      <c r="T342" s="63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3"/>
      <c r="M343" s="54"/>
      <c r="N343" s="53"/>
      <c r="O343" s="55"/>
      <c r="P343" s="53"/>
      <c r="Q343" s="53"/>
      <c r="R343" s="56"/>
      <c r="S343" s="57"/>
      <c r="T343" s="57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9"/>
      <c r="M344" s="60"/>
      <c r="N344" s="59"/>
      <c r="O344" s="61"/>
      <c r="P344" s="59"/>
      <c r="Q344" s="59"/>
      <c r="R344" s="62"/>
      <c r="S344" s="63"/>
      <c r="T344" s="63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3"/>
      <c r="M345" s="54"/>
      <c r="N345" s="53"/>
      <c r="O345" s="55"/>
      <c r="P345" s="53"/>
      <c r="Q345" s="53"/>
      <c r="R345" s="56"/>
      <c r="S345" s="57"/>
      <c r="T345" s="57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9"/>
      <c r="M346" s="60"/>
      <c r="N346" s="59"/>
      <c r="O346" s="61"/>
      <c r="P346" s="59"/>
      <c r="Q346" s="59"/>
      <c r="R346" s="62"/>
      <c r="S346" s="63"/>
      <c r="T346" s="63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3"/>
      <c r="M347" s="54"/>
      <c r="N347" s="53"/>
      <c r="O347" s="55"/>
      <c r="P347" s="53"/>
      <c r="Q347" s="53"/>
      <c r="R347" s="56"/>
      <c r="S347" s="57"/>
      <c r="T347" s="57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9"/>
      <c r="M348" s="60"/>
      <c r="N348" s="59"/>
      <c r="O348" s="61"/>
      <c r="P348" s="59"/>
      <c r="Q348" s="59"/>
      <c r="R348" s="62"/>
      <c r="S348" s="63"/>
      <c r="T348" s="63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3"/>
      <c r="M349" s="54"/>
      <c r="N349" s="53"/>
      <c r="O349" s="55"/>
      <c r="P349" s="53"/>
      <c r="Q349" s="53"/>
      <c r="R349" s="56"/>
      <c r="S349" s="57"/>
      <c r="T349" s="57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9"/>
      <c r="M350" s="60"/>
      <c r="N350" s="59"/>
      <c r="O350" s="61"/>
      <c r="P350" s="59"/>
      <c r="Q350" s="59"/>
      <c r="R350" s="62"/>
      <c r="S350" s="63"/>
      <c r="T350" s="63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3"/>
      <c r="M351" s="54"/>
      <c r="N351" s="53"/>
      <c r="O351" s="55"/>
      <c r="P351" s="53"/>
      <c r="Q351" s="53"/>
      <c r="R351" s="56"/>
      <c r="S351" s="57"/>
      <c r="T351" s="57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9"/>
      <c r="M352" s="60"/>
      <c r="N352" s="59"/>
      <c r="O352" s="61"/>
      <c r="P352" s="59"/>
      <c r="Q352" s="59"/>
      <c r="R352" s="62"/>
      <c r="S352" s="63"/>
      <c r="T352" s="63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3"/>
      <c r="M353" s="54"/>
      <c r="N353" s="53"/>
      <c r="O353" s="55"/>
      <c r="P353" s="53"/>
      <c r="Q353" s="53"/>
      <c r="R353" s="56"/>
      <c r="S353" s="57"/>
      <c r="T353" s="57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9"/>
      <c r="M354" s="60"/>
      <c r="N354" s="59"/>
      <c r="O354" s="61"/>
      <c r="P354" s="59"/>
      <c r="Q354" s="59"/>
      <c r="R354" s="62"/>
      <c r="S354" s="63"/>
      <c r="T354" s="63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3"/>
      <c r="M355" s="54"/>
      <c r="N355" s="53"/>
      <c r="O355" s="55"/>
      <c r="P355" s="53"/>
      <c r="Q355" s="53"/>
      <c r="R355" s="56"/>
      <c r="S355" s="57"/>
      <c r="T355" s="57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9"/>
      <c r="M356" s="60"/>
      <c r="N356" s="59"/>
      <c r="O356" s="61"/>
      <c r="P356" s="59"/>
      <c r="Q356" s="59"/>
      <c r="R356" s="62"/>
      <c r="S356" s="63"/>
      <c r="T356" s="63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3"/>
      <c r="M357" s="54"/>
      <c r="N357" s="53"/>
      <c r="O357" s="55"/>
      <c r="P357" s="53"/>
      <c r="Q357" s="53"/>
      <c r="R357" s="56"/>
      <c r="S357" s="57"/>
      <c r="T357" s="57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9"/>
      <c r="M358" s="60"/>
      <c r="N358" s="59"/>
      <c r="O358" s="61"/>
      <c r="P358" s="59"/>
      <c r="Q358" s="59"/>
      <c r="R358" s="62"/>
      <c r="S358" s="63"/>
      <c r="T358" s="63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3"/>
      <c r="M359" s="54"/>
      <c r="N359" s="53"/>
      <c r="O359" s="55"/>
      <c r="P359" s="53"/>
      <c r="Q359" s="53"/>
      <c r="R359" s="56"/>
      <c r="S359" s="57"/>
      <c r="T359" s="57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9"/>
      <c r="M360" s="60"/>
      <c r="N360" s="59"/>
      <c r="O360" s="61"/>
      <c r="P360" s="59"/>
      <c r="Q360" s="59"/>
      <c r="R360" s="62"/>
      <c r="S360" s="63"/>
      <c r="T360" s="63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3"/>
      <c r="M361" s="54"/>
      <c r="N361" s="53"/>
      <c r="O361" s="55"/>
      <c r="P361" s="53"/>
      <c r="Q361" s="53"/>
      <c r="R361" s="56"/>
      <c r="S361" s="57"/>
      <c r="T361" s="57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9"/>
      <c r="M362" s="60"/>
      <c r="N362" s="59"/>
      <c r="O362" s="61"/>
      <c r="P362" s="59"/>
      <c r="Q362" s="59"/>
      <c r="R362" s="62"/>
      <c r="S362" s="63"/>
      <c r="T362" s="63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3"/>
      <c r="M363" s="54"/>
      <c r="N363" s="53"/>
      <c r="O363" s="55"/>
      <c r="P363" s="53"/>
      <c r="Q363" s="53"/>
      <c r="R363" s="56"/>
      <c r="S363" s="57"/>
      <c r="T363" s="57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9"/>
      <c r="M364" s="60"/>
      <c r="N364" s="59"/>
      <c r="O364" s="61"/>
      <c r="P364" s="59"/>
      <c r="Q364" s="59"/>
      <c r="R364" s="62"/>
      <c r="S364" s="63"/>
      <c r="T364" s="63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3"/>
      <c r="M365" s="54"/>
      <c r="N365" s="53"/>
      <c r="O365" s="55"/>
      <c r="P365" s="53"/>
      <c r="Q365" s="53"/>
      <c r="R365" s="56"/>
      <c r="S365" s="57"/>
      <c r="T365" s="57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9"/>
      <c r="M366" s="60"/>
      <c r="N366" s="59"/>
      <c r="O366" s="61"/>
      <c r="P366" s="59"/>
      <c r="Q366" s="59"/>
      <c r="R366" s="62"/>
      <c r="S366" s="63"/>
      <c r="T366" s="63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3"/>
      <c r="M367" s="54"/>
      <c r="N367" s="53"/>
      <c r="O367" s="55"/>
      <c r="P367" s="53"/>
      <c r="Q367" s="53"/>
      <c r="R367" s="56"/>
      <c r="S367" s="57"/>
      <c r="T367" s="57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9"/>
      <c r="M368" s="60"/>
      <c r="N368" s="59"/>
      <c r="O368" s="61"/>
      <c r="P368" s="59"/>
      <c r="Q368" s="59"/>
      <c r="R368" s="62"/>
      <c r="S368" s="63"/>
      <c r="T368" s="63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3"/>
      <c r="M369" s="54"/>
      <c r="N369" s="53"/>
      <c r="O369" s="55"/>
      <c r="P369" s="53"/>
      <c r="Q369" s="53"/>
      <c r="R369" s="56"/>
      <c r="S369" s="57"/>
      <c r="T369" s="57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9"/>
      <c r="M370" s="60"/>
      <c r="N370" s="59"/>
      <c r="O370" s="61"/>
      <c r="P370" s="59"/>
      <c r="Q370" s="59"/>
      <c r="R370" s="62"/>
      <c r="S370" s="63"/>
      <c r="T370" s="63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3"/>
      <c r="M371" s="54"/>
      <c r="N371" s="53"/>
      <c r="O371" s="55"/>
      <c r="P371" s="53"/>
      <c r="Q371" s="53"/>
      <c r="R371" s="56"/>
      <c r="S371" s="57"/>
      <c r="T371" s="57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9"/>
      <c r="M372" s="60"/>
      <c r="N372" s="59"/>
      <c r="O372" s="61"/>
      <c r="P372" s="59"/>
      <c r="Q372" s="59"/>
      <c r="R372" s="62"/>
      <c r="S372" s="63"/>
      <c r="T372" s="63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3"/>
      <c r="M373" s="54"/>
      <c r="N373" s="53"/>
      <c r="O373" s="55"/>
      <c r="P373" s="53"/>
      <c r="Q373" s="53"/>
      <c r="R373" s="56"/>
      <c r="S373" s="57"/>
      <c r="T373" s="57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9"/>
      <c r="M374" s="60"/>
      <c r="N374" s="59"/>
      <c r="O374" s="61"/>
      <c r="P374" s="59"/>
      <c r="Q374" s="59"/>
      <c r="R374" s="62"/>
      <c r="S374" s="63"/>
      <c r="T374" s="63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3"/>
      <c r="M375" s="54"/>
      <c r="N375" s="53"/>
      <c r="O375" s="55"/>
      <c r="P375" s="53"/>
      <c r="Q375" s="53"/>
      <c r="R375" s="56"/>
      <c r="S375" s="57"/>
      <c r="T375" s="57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9"/>
      <c r="M376" s="60"/>
      <c r="N376" s="59"/>
      <c r="O376" s="61"/>
      <c r="P376" s="59"/>
      <c r="Q376" s="59"/>
      <c r="R376" s="62"/>
      <c r="S376" s="63"/>
      <c r="T376" s="63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3"/>
      <c r="M377" s="54"/>
      <c r="N377" s="53"/>
      <c r="O377" s="55"/>
      <c r="P377" s="53"/>
      <c r="Q377" s="53"/>
      <c r="R377" s="56"/>
      <c r="S377" s="57"/>
      <c r="T377" s="57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9"/>
      <c r="M378" s="60"/>
      <c r="N378" s="59"/>
      <c r="O378" s="61"/>
      <c r="P378" s="59"/>
      <c r="Q378" s="59"/>
      <c r="R378" s="62"/>
      <c r="S378" s="63"/>
      <c r="T378" s="63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3"/>
      <c r="M379" s="54"/>
      <c r="N379" s="53"/>
      <c r="O379" s="55"/>
      <c r="P379" s="53"/>
      <c r="Q379" s="53"/>
      <c r="R379" s="56"/>
      <c r="S379" s="57"/>
      <c r="T379" s="57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9"/>
      <c r="M380" s="60"/>
      <c r="N380" s="59"/>
      <c r="O380" s="61"/>
      <c r="P380" s="59"/>
      <c r="Q380" s="59"/>
      <c r="R380" s="62"/>
      <c r="S380" s="63"/>
      <c r="T380" s="63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3"/>
      <c r="M381" s="54"/>
      <c r="N381" s="53"/>
      <c r="O381" s="55"/>
      <c r="P381" s="53"/>
      <c r="Q381" s="53"/>
      <c r="R381" s="56"/>
      <c r="S381" s="57"/>
      <c r="T381" s="57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9"/>
      <c r="M382" s="60"/>
      <c r="N382" s="59"/>
      <c r="O382" s="61"/>
      <c r="P382" s="59"/>
      <c r="Q382" s="59"/>
      <c r="R382" s="62"/>
      <c r="S382" s="63"/>
      <c r="T382" s="63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3"/>
      <c r="M383" s="54"/>
      <c r="N383" s="53"/>
      <c r="O383" s="55"/>
      <c r="P383" s="53"/>
      <c r="Q383" s="53"/>
      <c r="R383" s="56"/>
      <c r="S383" s="57"/>
      <c r="T383" s="57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9"/>
      <c r="M384" s="60"/>
      <c r="N384" s="59"/>
      <c r="O384" s="61"/>
      <c r="P384" s="59"/>
      <c r="Q384" s="59"/>
      <c r="R384" s="62"/>
      <c r="S384" s="63"/>
      <c r="T384" s="63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3"/>
      <c r="M385" s="54"/>
      <c r="N385" s="53"/>
      <c r="O385" s="55"/>
      <c r="P385" s="53"/>
      <c r="Q385" s="53"/>
      <c r="R385" s="56"/>
      <c r="S385" s="57"/>
      <c r="T385" s="57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9"/>
      <c r="M386" s="60"/>
      <c r="N386" s="59"/>
      <c r="O386" s="61"/>
      <c r="P386" s="59"/>
      <c r="Q386" s="59"/>
      <c r="R386" s="62"/>
      <c r="S386" s="63"/>
      <c r="T386" s="63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3"/>
      <c r="M387" s="54"/>
      <c r="N387" s="53"/>
      <c r="O387" s="55"/>
      <c r="P387" s="53"/>
      <c r="Q387" s="53"/>
      <c r="R387" s="56"/>
      <c r="S387" s="57"/>
      <c r="T387" s="57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9"/>
      <c r="M388" s="60"/>
      <c r="N388" s="59"/>
      <c r="O388" s="61"/>
      <c r="P388" s="59"/>
      <c r="Q388" s="59"/>
      <c r="R388" s="62"/>
      <c r="S388" s="63"/>
      <c r="T388" s="63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3"/>
      <c r="M389" s="54"/>
      <c r="N389" s="53"/>
      <c r="O389" s="55"/>
      <c r="P389" s="53"/>
      <c r="Q389" s="53"/>
      <c r="R389" s="56"/>
      <c r="S389" s="57"/>
      <c r="T389" s="57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9"/>
      <c r="M390" s="60"/>
      <c r="N390" s="59"/>
      <c r="O390" s="61"/>
      <c r="P390" s="59"/>
      <c r="Q390" s="59"/>
      <c r="R390" s="62"/>
      <c r="S390" s="63"/>
      <c r="T390" s="63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3"/>
      <c r="M391" s="54"/>
      <c r="N391" s="53"/>
      <c r="O391" s="55"/>
      <c r="P391" s="53"/>
      <c r="Q391" s="53"/>
      <c r="R391" s="56"/>
      <c r="S391" s="57"/>
      <c r="T391" s="57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9"/>
      <c r="M392" s="60"/>
      <c r="N392" s="59"/>
      <c r="O392" s="61"/>
      <c r="P392" s="59"/>
      <c r="Q392" s="59"/>
      <c r="R392" s="62"/>
      <c r="S392" s="63"/>
      <c r="T392" s="63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3"/>
      <c r="M393" s="54"/>
      <c r="N393" s="53"/>
      <c r="O393" s="55"/>
      <c r="P393" s="53"/>
      <c r="Q393" s="53"/>
      <c r="R393" s="56"/>
      <c r="S393" s="57"/>
      <c r="T393" s="57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9"/>
      <c r="M394" s="60"/>
      <c r="N394" s="59"/>
      <c r="O394" s="61"/>
      <c r="P394" s="59"/>
      <c r="Q394" s="59"/>
      <c r="R394" s="62"/>
      <c r="S394" s="63"/>
      <c r="T394" s="63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3"/>
      <c r="M395" s="54"/>
      <c r="N395" s="53"/>
      <c r="O395" s="55"/>
      <c r="P395" s="53"/>
      <c r="Q395" s="53"/>
      <c r="R395" s="56"/>
      <c r="S395" s="57"/>
      <c r="T395" s="57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9"/>
      <c r="M396" s="60"/>
      <c r="N396" s="59"/>
      <c r="O396" s="61"/>
      <c r="P396" s="59"/>
      <c r="Q396" s="59"/>
      <c r="R396" s="62"/>
      <c r="S396" s="63"/>
      <c r="T396" s="63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3"/>
      <c r="M397" s="54"/>
      <c r="N397" s="53"/>
      <c r="O397" s="55"/>
      <c r="P397" s="53"/>
      <c r="Q397" s="53"/>
      <c r="R397" s="56"/>
      <c r="S397" s="57"/>
      <c r="T397" s="57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9"/>
      <c r="M398" s="60"/>
      <c r="N398" s="59"/>
      <c r="O398" s="61"/>
      <c r="P398" s="59"/>
      <c r="Q398" s="59"/>
      <c r="R398" s="62"/>
      <c r="S398" s="63"/>
      <c r="T398" s="63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3"/>
      <c r="M399" s="54"/>
      <c r="N399" s="53"/>
      <c r="O399" s="55"/>
      <c r="P399" s="53"/>
      <c r="Q399" s="53"/>
      <c r="R399" s="56"/>
      <c r="S399" s="57"/>
      <c r="T399" s="57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9"/>
      <c r="M400" s="60"/>
      <c r="N400" s="59"/>
      <c r="O400" s="61"/>
      <c r="P400" s="59"/>
      <c r="Q400" s="59"/>
      <c r="R400" s="62"/>
      <c r="S400" s="63"/>
      <c r="T400" s="63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3"/>
      <c r="M401" s="54"/>
      <c r="N401" s="53"/>
      <c r="O401" s="55"/>
      <c r="P401" s="53"/>
      <c r="Q401" s="53"/>
      <c r="R401" s="56"/>
      <c r="S401" s="57"/>
      <c r="T401" s="57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9"/>
      <c r="M402" s="60"/>
      <c r="N402" s="59"/>
      <c r="O402" s="61"/>
      <c r="P402" s="59"/>
      <c r="Q402" s="59"/>
      <c r="R402" s="62"/>
      <c r="S402" s="63"/>
      <c r="T402" s="63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3"/>
      <c r="M403" s="54"/>
      <c r="N403" s="53"/>
      <c r="O403" s="55"/>
      <c r="P403" s="53"/>
      <c r="Q403" s="53"/>
      <c r="R403" s="56"/>
      <c r="S403" s="57"/>
      <c r="T403" s="57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9"/>
      <c r="M404" s="60"/>
      <c r="N404" s="59"/>
      <c r="O404" s="61"/>
      <c r="P404" s="59"/>
      <c r="Q404" s="59"/>
      <c r="R404" s="62"/>
      <c r="S404" s="63"/>
      <c r="T404" s="63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3"/>
      <c r="M405" s="54"/>
      <c r="N405" s="53"/>
      <c r="O405" s="55"/>
      <c r="P405" s="53"/>
      <c r="Q405" s="53"/>
      <c r="R405" s="56"/>
      <c r="S405" s="57"/>
      <c r="T405" s="57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9"/>
      <c r="M406" s="60"/>
      <c r="N406" s="59"/>
      <c r="O406" s="61"/>
      <c r="P406" s="59"/>
      <c r="Q406" s="59"/>
      <c r="R406" s="62"/>
      <c r="S406" s="63"/>
      <c r="T406" s="63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3"/>
      <c r="M407" s="54"/>
      <c r="N407" s="53"/>
      <c r="O407" s="55"/>
      <c r="P407" s="53"/>
      <c r="Q407" s="53"/>
      <c r="R407" s="56"/>
      <c r="S407" s="57"/>
      <c r="T407" s="57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9"/>
      <c r="M408" s="60"/>
      <c r="N408" s="59"/>
      <c r="O408" s="61"/>
      <c r="P408" s="59"/>
      <c r="Q408" s="59"/>
      <c r="R408" s="62"/>
      <c r="S408" s="63"/>
      <c r="T408" s="63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3"/>
      <c r="M409" s="54"/>
      <c r="N409" s="53"/>
      <c r="O409" s="55"/>
      <c r="P409" s="53"/>
      <c r="Q409" s="53"/>
      <c r="R409" s="56"/>
      <c r="S409" s="57"/>
      <c r="T409" s="57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9"/>
      <c r="M410" s="60"/>
      <c r="N410" s="59"/>
      <c r="O410" s="61"/>
      <c r="P410" s="59"/>
      <c r="Q410" s="59"/>
      <c r="R410" s="62"/>
      <c r="S410" s="63"/>
      <c r="T410" s="63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3"/>
      <c r="M411" s="54"/>
      <c r="N411" s="53"/>
      <c r="O411" s="55"/>
      <c r="P411" s="53"/>
      <c r="Q411" s="53"/>
      <c r="R411" s="56"/>
      <c r="S411" s="57"/>
      <c r="T411" s="57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9"/>
      <c r="M412" s="60"/>
      <c r="N412" s="59"/>
      <c r="O412" s="61"/>
      <c r="P412" s="59"/>
      <c r="Q412" s="59"/>
      <c r="R412" s="62"/>
      <c r="S412" s="63"/>
      <c r="T412" s="63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3"/>
      <c r="M413" s="54"/>
      <c r="N413" s="53"/>
      <c r="O413" s="55"/>
      <c r="P413" s="53"/>
      <c r="Q413" s="53"/>
      <c r="R413" s="56"/>
      <c r="S413" s="57"/>
      <c r="T413" s="57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9"/>
      <c r="M414" s="60"/>
      <c r="N414" s="59"/>
      <c r="O414" s="61"/>
      <c r="P414" s="59"/>
      <c r="Q414" s="59"/>
      <c r="R414" s="62"/>
      <c r="S414" s="63"/>
      <c r="T414" s="63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3"/>
      <c r="M415" s="54"/>
      <c r="N415" s="53"/>
      <c r="O415" s="55"/>
      <c r="P415" s="53"/>
      <c r="Q415" s="53"/>
      <c r="R415" s="56"/>
      <c r="S415" s="57"/>
      <c r="T415" s="57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9"/>
      <c r="M416" s="60"/>
      <c r="N416" s="59"/>
      <c r="O416" s="61"/>
      <c r="P416" s="59"/>
      <c r="Q416" s="59"/>
      <c r="R416" s="62"/>
      <c r="S416" s="63"/>
      <c r="T416" s="63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3"/>
      <c r="M417" s="54"/>
      <c r="N417" s="53"/>
      <c r="O417" s="55"/>
      <c r="P417" s="53"/>
      <c r="Q417" s="53"/>
      <c r="R417" s="56"/>
      <c r="S417" s="57"/>
      <c r="T417" s="57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9"/>
      <c r="M418" s="60"/>
      <c r="N418" s="59"/>
      <c r="O418" s="61"/>
      <c r="P418" s="59"/>
      <c r="Q418" s="59"/>
      <c r="R418" s="62"/>
      <c r="S418" s="63"/>
      <c r="T418" s="63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3"/>
      <c r="M419" s="54"/>
      <c r="N419" s="53"/>
      <c r="O419" s="55"/>
      <c r="P419" s="53"/>
      <c r="Q419" s="53"/>
      <c r="R419" s="56"/>
      <c r="S419" s="57"/>
      <c r="T419" s="57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9"/>
      <c r="M420" s="60"/>
      <c r="N420" s="59"/>
      <c r="O420" s="61"/>
      <c r="P420" s="59"/>
      <c r="Q420" s="59"/>
      <c r="R420" s="62"/>
      <c r="S420" s="63"/>
      <c r="T420" s="63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3"/>
      <c r="M421" s="54"/>
      <c r="N421" s="53"/>
      <c r="O421" s="55"/>
      <c r="P421" s="53"/>
      <c r="Q421" s="53"/>
      <c r="R421" s="56"/>
      <c r="S421" s="57"/>
      <c r="T421" s="57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9"/>
      <c r="M422" s="60"/>
      <c r="N422" s="59"/>
      <c r="O422" s="61"/>
      <c r="P422" s="59"/>
      <c r="Q422" s="59"/>
      <c r="R422" s="62"/>
      <c r="S422" s="63"/>
      <c r="T422" s="63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3"/>
      <c r="M423" s="54"/>
      <c r="N423" s="53"/>
      <c r="O423" s="55"/>
      <c r="P423" s="53"/>
      <c r="Q423" s="53"/>
      <c r="R423" s="56"/>
      <c r="S423" s="57"/>
      <c r="T423" s="57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9"/>
      <c r="M424" s="60"/>
      <c r="N424" s="59"/>
      <c r="O424" s="61"/>
      <c r="P424" s="59"/>
      <c r="Q424" s="59"/>
      <c r="R424" s="62"/>
      <c r="S424" s="63"/>
      <c r="T424" s="63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3"/>
      <c r="M425" s="54"/>
      <c r="N425" s="53"/>
      <c r="O425" s="55"/>
      <c r="P425" s="53"/>
      <c r="Q425" s="53"/>
      <c r="R425" s="56"/>
      <c r="S425" s="57"/>
      <c r="T425" s="57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9"/>
      <c r="M426" s="60"/>
      <c r="N426" s="59"/>
      <c r="O426" s="61"/>
      <c r="P426" s="59"/>
      <c r="Q426" s="59"/>
      <c r="R426" s="62"/>
      <c r="S426" s="63"/>
      <c r="T426" s="63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3"/>
      <c r="M427" s="54"/>
      <c r="N427" s="53"/>
      <c r="O427" s="55"/>
      <c r="P427" s="53"/>
      <c r="Q427" s="53"/>
      <c r="R427" s="56"/>
      <c r="S427" s="57"/>
      <c r="T427" s="57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9"/>
      <c r="M428" s="60"/>
      <c r="N428" s="59"/>
      <c r="O428" s="61"/>
      <c r="P428" s="59"/>
      <c r="Q428" s="59"/>
      <c r="R428" s="62"/>
      <c r="S428" s="63"/>
      <c r="T428" s="63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3"/>
      <c r="M429" s="54"/>
      <c r="N429" s="53"/>
      <c r="O429" s="55"/>
      <c r="P429" s="53"/>
      <c r="Q429" s="53"/>
      <c r="R429" s="56"/>
      <c r="S429" s="57"/>
      <c r="T429" s="57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9"/>
      <c r="M430" s="60"/>
      <c r="N430" s="59"/>
      <c r="O430" s="61"/>
      <c r="P430" s="59"/>
      <c r="Q430" s="59"/>
      <c r="R430" s="62"/>
      <c r="S430" s="63"/>
      <c r="T430" s="63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3"/>
      <c r="M431" s="54"/>
      <c r="N431" s="53"/>
      <c r="O431" s="55"/>
      <c r="P431" s="53"/>
      <c r="Q431" s="53"/>
      <c r="R431" s="56"/>
      <c r="S431" s="57"/>
      <c r="T431" s="57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9"/>
      <c r="M432" s="60"/>
      <c r="N432" s="59"/>
      <c r="O432" s="61"/>
      <c r="P432" s="59"/>
      <c r="Q432" s="59"/>
      <c r="R432" s="62"/>
      <c r="S432" s="63"/>
      <c r="T432" s="63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3"/>
      <c r="M433" s="54"/>
      <c r="N433" s="53"/>
      <c r="O433" s="55"/>
      <c r="P433" s="53"/>
      <c r="Q433" s="53"/>
      <c r="R433" s="56"/>
      <c r="S433" s="57"/>
      <c r="T433" s="57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9"/>
      <c r="M434" s="60"/>
      <c r="N434" s="59"/>
      <c r="O434" s="61"/>
      <c r="P434" s="59"/>
      <c r="Q434" s="59"/>
      <c r="R434" s="62"/>
      <c r="S434" s="63"/>
      <c r="T434" s="63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3"/>
      <c r="M435" s="54"/>
      <c r="N435" s="53"/>
      <c r="O435" s="55"/>
      <c r="P435" s="53"/>
      <c r="Q435" s="53"/>
      <c r="R435" s="56"/>
      <c r="S435" s="57"/>
      <c r="T435" s="57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9"/>
      <c r="M436" s="60"/>
      <c r="N436" s="59"/>
      <c r="O436" s="61"/>
      <c r="P436" s="59"/>
      <c r="Q436" s="59"/>
      <c r="R436" s="62"/>
      <c r="S436" s="63"/>
      <c r="T436" s="63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3"/>
      <c r="M437" s="54"/>
      <c r="N437" s="53"/>
      <c r="O437" s="55"/>
      <c r="P437" s="53"/>
      <c r="Q437" s="53"/>
      <c r="R437" s="56"/>
      <c r="S437" s="57"/>
      <c r="T437" s="57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9"/>
      <c r="M438" s="60"/>
      <c r="N438" s="59"/>
      <c r="O438" s="61"/>
      <c r="P438" s="59"/>
      <c r="Q438" s="59"/>
      <c r="R438" s="62"/>
      <c r="S438" s="63"/>
      <c r="T438" s="63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3"/>
      <c r="M439" s="54"/>
      <c r="N439" s="53"/>
      <c r="O439" s="55"/>
      <c r="P439" s="53"/>
      <c r="Q439" s="53"/>
      <c r="R439" s="56"/>
      <c r="S439" s="57"/>
      <c r="T439" s="57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9"/>
      <c r="M440" s="60"/>
      <c r="N440" s="59"/>
      <c r="O440" s="61"/>
      <c r="P440" s="59"/>
      <c r="Q440" s="59"/>
      <c r="R440" s="62"/>
      <c r="S440" s="63"/>
      <c r="T440" s="63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3"/>
      <c r="M441" s="54"/>
      <c r="N441" s="53"/>
      <c r="O441" s="55"/>
      <c r="P441" s="53"/>
      <c r="Q441" s="53"/>
      <c r="R441" s="56"/>
      <c r="S441" s="57"/>
      <c r="T441" s="57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9"/>
      <c r="M442" s="60"/>
      <c r="N442" s="59"/>
      <c r="O442" s="61"/>
      <c r="P442" s="59"/>
      <c r="Q442" s="59"/>
      <c r="R442" s="62"/>
      <c r="S442" s="63"/>
      <c r="T442" s="63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3"/>
      <c r="M443" s="54"/>
      <c r="N443" s="53"/>
      <c r="O443" s="55"/>
      <c r="P443" s="53"/>
      <c r="Q443" s="53"/>
      <c r="R443" s="56"/>
      <c r="S443" s="57"/>
      <c r="T443" s="57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9"/>
      <c r="M444" s="60"/>
      <c r="N444" s="59"/>
      <c r="O444" s="61"/>
      <c r="P444" s="59"/>
      <c r="Q444" s="59"/>
      <c r="R444" s="62"/>
      <c r="S444" s="63"/>
      <c r="T444" s="63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3"/>
      <c r="M445" s="54"/>
      <c r="N445" s="53"/>
      <c r="O445" s="55"/>
      <c r="P445" s="53"/>
      <c r="Q445" s="53"/>
      <c r="R445" s="56"/>
      <c r="S445" s="57"/>
      <c r="T445" s="57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9"/>
      <c r="M446" s="60"/>
      <c r="N446" s="59"/>
      <c r="O446" s="61"/>
      <c r="P446" s="59"/>
      <c r="Q446" s="59"/>
      <c r="R446" s="62"/>
      <c r="S446" s="63"/>
      <c r="T446" s="63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3"/>
      <c r="M447" s="54"/>
      <c r="N447" s="53"/>
      <c r="O447" s="55"/>
      <c r="P447" s="53"/>
      <c r="Q447" s="53"/>
      <c r="R447" s="56"/>
      <c r="S447" s="57"/>
      <c r="T447" s="57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9"/>
      <c r="M448" s="60"/>
      <c r="N448" s="59"/>
      <c r="O448" s="61"/>
      <c r="P448" s="59"/>
      <c r="Q448" s="59"/>
      <c r="R448" s="62"/>
      <c r="S448" s="63"/>
      <c r="T448" s="63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3"/>
      <c r="M449" s="54"/>
      <c r="N449" s="53"/>
      <c r="O449" s="55"/>
      <c r="P449" s="53"/>
      <c r="Q449" s="53"/>
      <c r="R449" s="56"/>
      <c r="S449" s="57"/>
      <c r="T449" s="57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9"/>
      <c r="M450" s="60"/>
      <c r="N450" s="59"/>
      <c r="O450" s="61"/>
      <c r="P450" s="59"/>
      <c r="Q450" s="59"/>
      <c r="R450" s="62"/>
      <c r="S450" s="63"/>
      <c r="T450" s="63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3"/>
      <c r="M451" s="54"/>
      <c r="N451" s="53"/>
      <c r="O451" s="55"/>
      <c r="P451" s="53"/>
      <c r="Q451" s="53"/>
      <c r="R451" s="56"/>
      <c r="S451" s="57"/>
      <c r="T451" s="57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9"/>
      <c r="M452" s="60"/>
      <c r="N452" s="59"/>
      <c r="O452" s="61"/>
      <c r="P452" s="59"/>
      <c r="Q452" s="59"/>
      <c r="R452" s="62"/>
      <c r="S452" s="63"/>
      <c r="T452" s="63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3"/>
      <c r="M453" s="54"/>
      <c r="N453" s="53"/>
      <c r="O453" s="55"/>
      <c r="P453" s="53"/>
      <c r="Q453" s="53"/>
      <c r="R453" s="56"/>
      <c r="S453" s="57"/>
      <c r="T453" s="57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9"/>
      <c r="M454" s="60"/>
      <c r="N454" s="59"/>
      <c r="O454" s="61"/>
      <c r="P454" s="59"/>
      <c r="Q454" s="59"/>
      <c r="R454" s="62"/>
      <c r="S454" s="63"/>
      <c r="T454" s="63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3"/>
      <c r="M455" s="54"/>
      <c r="N455" s="53"/>
      <c r="O455" s="55"/>
      <c r="P455" s="53"/>
      <c r="Q455" s="53"/>
      <c r="R455" s="56"/>
      <c r="S455" s="57"/>
      <c r="T455" s="57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9"/>
      <c r="M456" s="60"/>
      <c r="N456" s="59"/>
      <c r="O456" s="61"/>
      <c r="P456" s="59"/>
      <c r="Q456" s="59"/>
      <c r="R456" s="62"/>
      <c r="S456" s="63"/>
      <c r="T456" s="63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3"/>
      <c r="M457" s="54"/>
      <c r="N457" s="53"/>
      <c r="O457" s="55"/>
      <c r="P457" s="53"/>
      <c r="Q457" s="53"/>
      <c r="R457" s="56"/>
      <c r="S457" s="57"/>
      <c r="T457" s="57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9"/>
      <c r="M458" s="60"/>
      <c r="N458" s="59"/>
      <c r="O458" s="61"/>
      <c r="P458" s="59"/>
      <c r="Q458" s="59"/>
      <c r="R458" s="62"/>
      <c r="S458" s="63"/>
      <c r="T458" s="63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3"/>
      <c r="M459" s="54"/>
      <c r="N459" s="53"/>
      <c r="O459" s="55"/>
      <c r="P459" s="53"/>
      <c r="Q459" s="53"/>
      <c r="R459" s="56"/>
      <c r="S459" s="57"/>
      <c r="T459" s="57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9"/>
      <c r="M460" s="60"/>
      <c r="N460" s="59"/>
      <c r="O460" s="61"/>
      <c r="P460" s="59"/>
      <c r="Q460" s="59"/>
      <c r="R460" s="62"/>
      <c r="S460" s="63"/>
      <c r="T460" s="63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3"/>
      <c r="M461" s="54"/>
      <c r="N461" s="53"/>
      <c r="O461" s="55"/>
      <c r="P461" s="53"/>
      <c r="Q461" s="53"/>
      <c r="R461" s="56"/>
      <c r="S461" s="57"/>
      <c r="T461" s="57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9"/>
      <c r="M462" s="60"/>
      <c r="N462" s="59"/>
      <c r="O462" s="61"/>
      <c r="P462" s="59"/>
      <c r="Q462" s="59"/>
      <c r="R462" s="62"/>
      <c r="S462" s="63"/>
      <c r="T462" s="63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3"/>
      <c r="M463" s="54"/>
      <c r="N463" s="53"/>
      <c r="O463" s="55"/>
      <c r="P463" s="53"/>
      <c r="Q463" s="53"/>
      <c r="R463" s="56"/>
      <c r="S463" s="57"/>
      <c r="T463" s="57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9"/>
      <c r="M464" s="60"/>
      <c r="N464" s="59"/>
      <c r="O464" s="61"/>
      <c r="P464" s="59"/>
      <c r="Q464" s="59"/>
      <c r="R464" s="62"/>
      <c r="S464" s="63"/>
      <c r="T464" s="63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3"/>
      <c r="M465" s="54"/>
      <c r="N465" s="53"/>
      <c r="O465" s="55"/>
      <c r="P465" s="53"/>
      <c r="Q465" s="53"/>
      <c r="R465" s="56"/>
      <c r="S465" s="57"/>
      <c r="T465" s="57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9"/>
      <c r="M466" s="60"/>
      <c r="N466" s="59"/>
      <c r="O466" s="61"/>
      <c r="P466" s="59"/>
      <c r="Q466" s="59"/>
      <c r="R466" s="62"/>
      <c r="S466" s="63"/>
      <c r="T466" s="63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3"/>
      <c r="M467" s="54"/>
      <c r="N467" s="53"/>
      <c r="O467" s="55"/>
      <c r="P467" s="53"/>
      <c r="Q467" s="53"/>
      <c r="R467" s="56"/>
      <c r="S467" s="57"/>
      <c r="T467" s="57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9"/>
      <c r="M468" s="60"/>
      <c r="N468" s="59"/>
      <c r="O468" s="61"/>
      <c r="P468" s="59"/>
      <c r="Q468" s="59"/>
      <c r="R468" s="62"/>
      <c r="S468" s="63"/>
      <c r="T468" s="63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3"/>
      <c r="M469" s="54"/>
      <c r="N469" s="53"/>
      <c r="O469" s="55"/>
      <c r="P469" s="53"/>
      <c r="Q469" s="53"/>
      <c r="R469" s="56"/>
      <c r="S469" s="57"/>
      <c r="T469" s="57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9"/>
      <c r="M470" s="60"/>
      <c r="N470" s="59"/>
      <c r="O470" s="61"/>
      <c r="P470" s="59"/>
      <c r="Q470" s="59"/>
      <c r="R470" s="62"/>
      <c r="S470" s="63"/>
      <c r="T470" s="63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3"/>
      <c r="M471" s="54"/>
      <c r="N471" s="53"/>
      <c r="O471" s="55"/>
      <c r="P471" s="53"/>
      <c r="Q471" s="53"/>
      <c r="R471" s="56"/>
      <c r="S471" s="57"/>
      <c r="T471" s="57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9"/>
      <c r="M472" s="60"/>
      <c r="N472" s="59"/>
      <c r="O472" s="61"/>
      <c r="P472" s="59"/>
      <c r="Q472" s="59"/>
      <c r="R472" s="62"/>
      <c r="S472" s="63"/>
      <c r="T472" s="63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3"/>
      <c r="M473" s="54"/>
      <c r="N473" s="53"/>
      <c r="O473" s="55"/>
      <c r="P473" s="53"/>
      <c r="Q473" s="53"/>
      <c r="R473" s="56"/>
      <c r="S473" s="57"/>
      <c r="T473" s="57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9"/>
      <c r="M474" s="60"/>
      <c r="N474" s="59"/>
      <c r="O474" s="61"/>
      <c r="P474" s="59"/>
      <c r="Q474" s="59"/>
      <c r="R474" s="62"/>
      <c r="S474" s="63"/>
      <c r="T474" s="63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3"/>
      <c r="M475" s="54"/>
      <c r="N475" s="53"/>
      <c r="O475" s="55"/>
      <c r="P475" s="53"/>
      <c r="Q475" s="53"/>
      <c r="R475" s="56"/>
      <c r="S475" s="57"/>
      <c r="T475" s="57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9"/>
      <c r="M476" s="60"/>
      <c r="N476" s="59"/>
      <c r="O476" s="61"/>
      <c r="P476" s="59"/>
      <c r="Q476" s="59"/>
      <c r="R476" s="62"/>
      <c r="S476" s="63"/>
      <c r="T476" s="63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3"/>
      <c r="M477" s="54"/>
      <c r="N477" s="53"/>
      <c r="O477" s="55"/>
      <c r="P477" s="53"/>
      <c r="Q477" s="53"/>
      <c r="R477" s="56"/>
      <c r="S477" s="57"/>
      <c r="T477" s="57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9"/>
      <c r="M478" s="60"/>
      <c r="N478" s="59"/>
      <c r="O478" s="61"/>
      <c r="P478" s="59"/>
      <c r="Q478" s="59"/>
      <c r="R478" s="62"/>
      <c r="S478" s="63"/>
      <c r="T478" s="63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3"/>
      <c r="M479" s="54"/>
      <c r="N479" s="53"/>
      <c r="O479" s="55"/>
      <c r="P479" s="53"/>
      <c r="Q479" s="53"/>
      <c r="R479" s="56"/>
      <c r="S479" s="57"/>
      <c r="T479" s="57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9"/>
      <c r="M480" s="60"/>
      <c r="N480" s="59"/>
      <c r="O480" s="61"/>
      <c r="P480" s="59"/>
      <c r="Q480" s="59"/>
      <c r="R480" s="62"/>
      <c r="S480" s="63"/>
      <c r="T480" s="63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3"/>
      <c r="M481" s="54"/>
      <c r="N481" s="53"/>
      <c r="O481" s="55"/>
      <c r="P481" s="53"/>
      <c r="Q481" s="53"/>
      <c r="R481" s="56"/>
      <c r="S481" s="57"/>
      <c r="T481" s="57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9"/>
      <c r="M482" s="60"/>
      <c r="N482" s="59"/>
      <c r="O482" s="61"/>
      <c r="P482" s="59"/>
      <c r="Q482" s="59"/>
      <c r="R482" s="62"/>
      <c r="S482" s="63"/>
      <c r="T482" s="63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3"/>
      <c r="M483" s="54"/>
      <c r="N483" s="53"/>
      <c r="O483" s="55"/>
      <c r="P483" s="53"/>
      <c r="Q483" s="53"/>
      <c r="R483" s="56"/>
      <c r="S483" s="57"/>
      <c r="T483" s="57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9"/>
      <c r="M484" s="60"/>
      <c r="N484" s="59"/>
      <c r="O484" s="61"/>
      <c r="P484" s="59"/>
      <c r="Q484" s="59"/>
      <c r="R484" s="62"/>
      <c r="S484" s="63"/>
      <c r="T484" s="63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3"/>
      <c r="M485" s="54"/>
      <c r="N485" s="53"/>
      <c r="O485" s="55"/>
      <c r="P485" s="53"/>
      <c r="Q485" s="53"/>
      <c r="R485" s="56"/>
      <c r="S485" s="57"/>
      <c r="T485" s="57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9"/>
      <c r="M486" s="60"/>
      <c r="N486" s="59"/>
      <c r="O486" s="61"/>
      <c r="P486" s="59"/>
      <c r="Q486" s="59"/>
      <c r="R486" s="62"/>
      <c r="S486" s="63"/>
      <c r="T486" s="63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3"/>
      <c r="M487" s="54"/>
      <c r="N487" s="53"/>
      <c r="O487" s="55"/>
      <c r="P487" s="53"/>
      <c r="Q487" s="53"/>
      <c r="R487" s="56"/>
      <c r="S487" s="57"/>
      <c r="T487" s="57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9"/>
      <c r="M488" s="60"/>
      <c r="N488" s="59"/>
      <c r="O488" s="61"/>
      <c r="P488" s="59"/>
      <c r="Q488" s="59"/>
      <c r="R488" s="62"/>
      <c r="S488" s="63"/>
      <c r="T488" s="63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3"/>
      <c r="M489" s="54"/>
      <c r="N489" s="53"/>
      <c r="O489" s="55"/>
      <c r="P489" s="53"/>
      <c r="Q489" s="53"/>
      <c r="R489" s="56"/>
      <c r="S489" s="57"/>
      <c r="T489" s="57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9"/>
      <c r="M490" s="60"/>
      <c r="N490" s="59"/>
      <c r="O490" s="61"/>
      <c r="P490" s="59"/>
      <c r="Q490" s="59"/>
      <c r="R490" s="62"/>
      <c r="S490" s="63"/>
      <c r="T490" s="63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3"/>
      <c r="M491" s="54"/>
      <c r="N491" s="53"/>
      <c r="O491" s="55"/>
      <c r="P491" s="53"/>
      <c r="Q491" s="53"/>
      <c r="R491" s="56"/>
      <c r="S491" s="57"/>
      <c r="T491" s="57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9"/>
      <c r="M492" s="60"/>
      <c r="N492" s="59"/>
      <c r="O492" s="61"/>
      <c r="P492" s="59"/>
      <c r="Q492" s="59"/>
      <c r="R492" s="62"/>
      <c r="S492" s="63"/>
      <c r="T492" s="63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3"/>
      <c r="M493" s="54"/>
      <c r="N493" s="53"/>
      <c r="O493" s="55"/>
      <c r="P493" s="53"/>
      <c r="Q493" s="53"/>
      <c r="R493" s="56"/>
      <c r="S493" s="57"/>
      <c r="T493" s="57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9"/>
      <c r="M494" s="60"/>
      <c r="N494" s="59"/>
      <c r="O494" s="61"/>
      <c r="P494" s="59"/>
      <c r="Q494" s="59"/>
      <c r="R494" s="62"/>
      <c r="S494" s="63"/>
      <c r="T494" s="63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3"/>
      <c r="M495" s="54"/>
      <c r="N495" s="53"/>
      <c r="O495" s="55"/>
      <c r="P495" s="53"/>
      <c r="Q495" s="53"/>
      <c r="R495" s="56"/>
      <c r="S495" s="57"/>
      <c r="T495" s="57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9"/>
      <c r="M496" s="60"/>
      <c r="N496" s="59"/>
      <c r="O496" s="61"/>
      <c r="P496" s="59"/>
      <c r="Q496" s="59"/>
      <c r="R496" s="62"/>
      <c r="S496" s="63"/>
      <c r="T496" s="63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3"/>
      <c r="M497" s="54"/>
      <c r="N497" s="53"/>
      <c r="O497" s="55"/>
      <c r="P497" s="53"/>
      <c r="Q497" s="53"/>
      <c r="R497" s="56"/>
      <c r="S497" s="57"/>
      <c r="T497" s="57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9"/>
      <c r="M498" s="60"/>
      <c r="N498" s="59"/>
      <c r="O498" s="61"/>
      <c r="P498" s="59"/>
      <c r="Q498" s="59"/>
      <c r="R498" s="62"/>
      <c r="S498" s="63"/>
      <c r="T498" s="63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3"/>
      <c r="M499" s="54"/>
      <c r="N499" s="53"/>
      <c r="O499" s="55"/>
      <c r="P499" s="53"/>
      <c r="Q499" s="53"/>
      <c r="R499" s="56"/>
      <c r="S499" s="57"/>
      <c r="T499" s="57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9"/>
      <c r="M500" s="60"/>
      <c r="N500" s="59"/>
      <c r="O500" s="61"/>
      <c r="P500" s="59"/>
      <c r="Q500" s="59"/>
      <c r="R500" s="62"/>
      <c r="S500" s="63"/>
      <c r="T500" s="63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3"/>
      <c r="M501" s="54"/>
      <c r="N501" s="53"/>
      <c r="O501" s="55"/>
      <c r="P501" s="53"/>
      <c r="Q501" s="53"/>
      <c r="R501" s="56"/>
      <c r="S501" s="57"/>
      <c r="T501" s="57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9"/>
      <c r="M502" s="60"/>
      <c r="N502" s="59"/>
      <c r="O502" s="61"/>
      <c r="P502" s="59"/>
      <c r="Q502" s="59"/>
      <c r="R502" s="62"/>
      <c r="S502" s="63"/>
      <c r="T502" s="63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3"/>
      <c r="M503" s="54"/>
      <c r="N503" s="53"/>
      <c r="O503" s="55"/>
      <c r="P503" s="53"/>
      <c r="Q503" s="53"/>
      <c r="R503" s="56"/>
      <c r="S503" s="57"/>
      <c r="T503" s="57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9"/>
      <c r="M504" s="60"/>
      <c r="N504" s="59"/>
      <c r="O504" s="61"/>
      <c r="P504" s="59"/>
      <c r="Q504" s="59"/>
      <c r="R504" s="62"/>
      <c r="S504" s="63"/>
      <c r="T504" s="63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3"/>
      <c r="M505" s="54"/>
      <c r="N505" s="53"/>
      <c r="O505" s="55"/>
      <c r="P505" s="53"/>
      <c r="Q505" s="53"/>
      <c r="R505" s="56"/>
      <c r="S505" s="57"/>
      <c r="T505" s="57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9"/>
      <c r="M506" s="60"/>
      <c r="N506" s="59"/>
      <c r="O506" s="61"/>
      <c r="P506" s="59"/>
      <c r="Q506" s="59"/>
      <c r="R506" s="62"/>
      <c r="S506" s="63"/>
      <c r="T506" s="63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3"/>
      <c r="M507" s="54"/>
      <c r="N507" s="53"/>
      <c r="O507" s="55"/>
      <c r="P507" s="53"/>
      <c r="Q507" s="53"/>
      <c r="R507" s="56"/>
      <c r="S507" s="57"/>
      <c r="T507" s="57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9"/>
      <c r="M508" s="60"/>
      <c r="N508" s="59"/>
      <c r="O508" s="61"/>
      <c r="P508" s="59"/>
      <c r="Q508" s="59"/>
      <c r="R508" s="62"/>
      <c r="S508" s="63"/>
      <c r="T508" s="63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3"/>
      <c r="M509" s="54"/>
      <c r="N509" s="53"/>
      <c r="O509" s="55"/>
      <c r="P509" s="53"/>
      <c r="Q509" s="53"/>
      <c r="R509" s="56"/>
      <c r="S509" s="57"/>
      <c r="T509" s="57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9"/>
      <c r="M510" s="60"/>
      <c r="N510" s="59"/>
      <c r="O510" s="61"/>
      <c r="P510" s="59"/>
      <c r="Q510" s="59"/>
      <c r="R510" s="62"/>
      <c r="S510" s="63"/>
      <c r="T510" s="63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3"/>
      <c r="M511" s="54"/>
      <c r="N511" s="53"/>
      <c r="O511" s="55"/>
      <c r="P511" s="53"/>
      <c r="Q511" s="53"/>
      <c r="R511" s="56"/>
      <c r="S511" s="57"/>
      <c r="T511" s="57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9"/>
      <c r="M512" s="60"/>
      <c r="N512" s="59"/>
      <c r="O512" s="61"/>
      <c r="P512" s="59"/>
      <c r="Q512" s="59"/>
      <c r="R512" s="62"/>
      <c r="S512" s="63"/>
      <c r="T512" s="63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3"/>
      <c r="M513" s="54"/>
      <c r="N513" s="53"/>
      <c r="O513" s="55"/>
      <c r="P513" s="53"/>
      <c r="Q513" s="53"/>
      <c r="R513" s="56"/>
      <c r="S513" s="57"/>
      <c r="T513" s="57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9"/>
      <c r="M514" s="60"/>
      <c r="N514" s="59"/>
      <c r="O514" s="61"/>
      <c r="P514" s="59"/>
      <c r="Q514" s="59"/>
      <c r="R514" s="62"/>
      <c r="S514" s="63"/>
      <c r="T514" s="63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3"/>
      <c r="M515" s="54"/>
      <c r="N515" s="53"/>
      <c r="O515" s="55"/>
      <c r="P515" s="53"/>
      <c r="Q515" s="53"/>
      <c r="R515" s="56"/>
      <c r="S515" s="57"/>
      <c r="T515" s="57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9"/>
      <c r="M516" s="60"/>
      <c r="N516" s="59"/>
      <c r="O516" s="61"/>
      <c r="P516" s="59"/>
      <c r="Q516" s="59"/>
      <c r="R516" s="62"/>
      <c r="S516" s="63"/>
      <c r="T516" s="63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3"/>
      <c r="M517" s="54"/>
      <c r="N517" s="53"/>
      <c r="O517" s="55"/>
      <c r="P517" s="53"/>
      <c r="Q517" s="53"/>
      <c r="R517" s="56"/>
      <c r="S517" s="57"/>
      <c r="T517" s="57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9"/>
      <c r="M518" s="60"/>
      <c r="N518" s="59"/>
      <c r="O518" s="61"/>
      <c r="P518" s="59"/>
      <c r="Q518" s="59"/>
      <c r="R518" s="62"/>
      <c r="S518" s="63"/>
      <c r="T518" s="63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3"/>
      <c r="M519" s="54"/>
      <c r="N519" s="53"/>
      <c r="O519" s="55"/>
      <c r="P519" s="53"/>
      <c r="Q519" s="53"/>
      <c r="R519" s="56"/>
      <c r="S519" s="57"/>
      <c r="T519" s="57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9"/>
      <c r="M520" s="60"/>
      <c r="N520" s="59"/>
      <c r="O520" s="61"/>
      <c r="P520" s="59"/>
      <c r="Q520" s="59"/>
      <c r="R520" s="62"/>
      <c r="S520" s="63"/>
      <c r="T520" s="63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3"/>
      <c r="M521" s="54"/>
      <c r="N521" s="53"/>
      <c r="O521" s="55"/>
      <c r="P521" s="53"/>
      <c r="Q521" s="53"/>
      <c r="R521" s="56"/>
      <c r="S521" s="57"/>
      <c r="T521" s="57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9"/>
      <c r="M522" s="60"/>
      <c r="N522" s="59"/>
      <c r="O522" s="61"/>
      <c r="P522" s="59"/>
      <c r="Q522" s="59"/>
      <c r="R522" s="62"/>
      <c r="S522" s="63"/>
      <c r="T522" s="63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3"/>
      <c r="M523" s="54"/>
      <c r="N523" s="53"/>
      <c r="O523" s="55"/>
      <c r="P523" s="53"/>
      <c r="Q523" s="53"/>
      <c r="R523" s="56"/>
      <c r="S523" s="57"/>
      <c r="T523" s="57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9"/>
      <c r="M524" s="60"/>
      <c r="N524" s="59"/>
      <c r="O524" s="61"/>
      <c r="P524" s="59"/>
      <c r="Q524" s="59"/>
      <c r="R524" s="62"/>
      <c r="S524" s="63"/>
      <c r="T524" s="63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3"/>
      <c r="M525" s="54"/>
      <c r="N525" s="53"/>
      <c r="O525" s="55"/>
      <c r="P525" s="53"/>
      <c r="Q525" s="53"/>
      <c r="R525" s="56"/>
      <c r="S525" s="57"/>
      <c r="T525" s="57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9"/>
      <c r="M526" s="60"/>
      <c r="N526" s="59"/>
      <c r="O526" s="61"/>
      <c r="P526" s="59"/>
      <c r="Q526" s="59"/>
      <c r="R526" s="62"/>
      <c r="S526" s="63"/>
      <c r="T526" s="63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3"/>
      <c r="M527" s="54"/>
      <c r="N527" s="53"/>
      <c r="O527" s="55"/>
      <c r="P527" s="53"/>
      <c r="Q527" s="53"/>
      <c r="R527" s="56"/>
      <c r="S527" s="57"/>
      <c r="T527" s="57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9"/>
      <c r="M528" s="60"/>
      <c r="N528" s="59"/>
      <c r="O528" s="61"/>
      <c r="P528" s="59"/>
      <c r="Q528" s="59"/>
      <c r="R528" s="62"/>
      <c r="S528" s="63"/>
      <c r="T528" s="63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3"/>
      <c r="M529" s="54"/>
      <c r="N529" s="53"/>
      <c r="O529" s="55"/>
      <c r="P529" s="53"/>
      <c r="Q529" s="53"/>
      <c r="R529" s="56"/>
      <c r="S529" s="57"/>
      <c r="T529" s="57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9"/>
      <c r="M530" s="60"/>
      <c r="N530" s="59"/>
      <c r="O530" s="61"/>
      <c r="P530" s="59"/>
      <c r="Q530" s="59"/>
      <c r="R530" s="62"/>
      <c r="S530" s="63"/>
      <c r="T530" s="63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3"/>
      <c r="M531" s="54"/>
      <c r="N531" s="53"/>
      <c r="O531" s="55"/>
      <c r="P531" s="53"/>
      <c r="Q531" s="53"/>
      <c r="R531" s="56"/>
      <c r="S531" s="57"/>
      <c r="T531" s="57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9"/>
      <c r="M532" s="60"/>
      <c r="N532" s="59"/>
      <c r="O532" s="61"/>
      <c r="P532" s="59"/>
      <c r="Q532" s="59"/>
      <c r="R532" s="62"/>
      <c r="S532" s="63"/>
      <c r="T532" s="63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3"/>
      <c r="M533" s="54"/>
      <c r="N533" s="53"/>
      <c r="O533" s="55"/>
      <c r="P533" s="53"/>
      <c r="Q533" s="53"/>
      <c r="R533" s="56"/>
      <c r="S533" s="57"/>
      <c r="T533" s="57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9"/>
      <c r="M534" s="60"/>
      <c r="N534" s="59"/>
      <c r="O534" s="61"/>
      <c r="P534" s="59"/>
      <c r="Q534" s="59"/>
      <c r="R534" s="62"/>
      <c r="S534" s="63"/>
      <c r="T534" s="63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3"/>
      <c r="M535" s="54"/>
      <c r="N535" s="53"/>
      <c r="O535" s="55"/>
      <c r="P535" s="53"/>
      <c r="Q535" s="53"/>
      <c r="R535" s="56"/>
      <c r="S535" s="57"/>
      <c r="T535" s="57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9"/>
      <c r="M536" s="60"/>
      <c r="N536" s="59"/>
      <c r="O536" s="61"/>
      <c r="P536" s="59"/>
      <c r="Q536" s="59"/>
      <c r="R536" s="62"/>
      <c r="S536" s="63"/>
      <c r="T536" s="63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3"/>
      <c r="M537" s="54"/>
      <c r="N537" s="53"/>
      <c r="O537" s="55"/>
      <c r="P537" s="53"/>
      <c r="Q537" s="53"/>
      <c r="R537" s="56"/>
      <c r="S537" s="57"/>
      <c r="T537" s="57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9"/>
      <c r="M538" s="60"/>
      <c r="N538" s="59"/>
      <c r="O538" s="61"/>
      <c r="P538" s="59"/>
      <c r="Q538" s="59"/>
      <c r="R538" s="62"/>
      <c r="S538" s="63"/>
      <c r="T538" s="63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3"/>
      <c r="M539" s="54"/>
      <c r="N539" s="53"/>
      <c r="O539" s="55"/>
      <c r="P539" s="53"/>
      <c r="Q539" s="53"/>
      <c r="R539" s="56"/>
      <c r="S539" s="57"/>
      <c r="T539" s="57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9"/>
      <c r="M540" s="60"/>
      <c r="N540" s="59"/>
      <c r="O540" s="61"/>
      <c r="P540" s="59"/>
      <c r="Q540" s="59"/>
      <c r="R540" s="62"/>
      <c r="S540" s="63"/>
      <c r="T540" s="63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3"/>
      <c r="M541" s="54"/>
      <c r="N541" s="53"/>
      <c r="O541" s="55"/>
      <c r="P541" s="53"/>
      <c r="Q541" s="53"/>
      <c r="R541" s="56"/>
      <c r="S541" s="57"/>
      <c r="T541" s="57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9"/>
      <c r="M542" s="60"/>
      <c r="N542" s="59"/>
      <c r="O542" s="61"/>
      <c r="P542" s="59"/>
      <c r="Q542" s="59"/>
      <c r="R542" s="62"/>
      <c r="S542" s="63"/>
      <c r="T542" s="63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3"/>
      <c r="M543" s="54"/>
      <c r="N543" s="53"/>
      <c r="O543" s="55"/>
      <c r="P543" s="53"/>
      <c r="Q543" s="53"/>
      <c r="R543" s="56"/>
      <c r="S543" s="57"/>
      <c r="T543" s="57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9"/>
      <c r="M544" s="60"/>
      <c r="N544" s="59"/>
      <c r="O544" s="61"/>
      <c r="P544" s="59"/>
      <c r="Q544" s="59"/>
      <c r="R544" s="62"/>
      <c r="S544" s="63"/>
      <c r="T544" s="63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3"/>
      <c r="M545" s="54"/>
      <c r="N545" s="53"/>
      <c r="O545" s="55"/>
      <c r="P545" s="53"/>
      <c r="Q545" s="53"/>
      <c r="R545" s="56"/>
      <c r="S545" s="57"/>
      <c r="T545" s="57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9"/>
      <c r="M546" s="60"/>
      <c r="N546" s="59"/>
      <c r="O546" s="61"/>
      <c r="P546" s="59"/>
      <c r="Q546" s="59"/>
      <c r="R546" s="62"/>
      <c r="S546" s="63"/>
      <c r="T546" s="63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3"/>
      <c r="M547" s="54"/>
      <c r="N547" s="53"/>
      <c r="O547" s="55"/>
      <c r="P547" s="53"/>
      <c r="Q547" s="53"/>
      <c r="R547" s="56"/>
      <c r="S547" s="57"/>
      <c r="T547" s="57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9"/>
      <c r="M548" s="60"/>
      <c r="N548" s="59"/>
      <c r="O548" s="61"/>
      <c r="P548" s="59"/>
      <c r="Q548" s="59"/>
      <c r="R548" s="62"/>
      <c r="S548" s="63"/>
      <c r="T548" s="63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3"/>
      <c r="M549" s="54"/>
      <c r="N549" s="53"/>
      <c r="O549" s="55"/>
      <c r="P549" s="53"/>
      <c r="Q549" s="53"/>
      <c r="R549" s="56"/>
      <c r="S549" s="57"/>
      <c r="T549" s="57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9"/>
      <c r="M550" s="60"/>
      <c r="N550" s="59"/>
      <c r="O550" s="61"/>
      <c r="P550" s="59"/>
      <c r="Q550" s="59"/>
      <c r="R550" s="62"/>
      <c r="S550" s="63"/>
      <c r="T550" s="63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3"/>
      <c r="M551" s="54"/>
      <c r="N551" s="53"/>
      <c r="O551" s="55"/>
      <c r="P551" s="53"/>
      <c r="Q551" s="53"/>
      <c r="R551" s="56"/>
      <c r="S551" s="57"/>
      <c r="T551" s="57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9"/>
      <c r="M552" s="60"/>
      <c r="N552" s="59"/>
      <c r="O552" s="61"/>
      <c r="P552" s="59"/>
      <c r="Q552" s="59"/>
      <c r="R552" s="62"/>
      <c r="S552" s="63"/>
      <c r="T552" s="63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3"/>
      <c r="M553" s="54"/>
      <c r="N553" s="53"/>
      <c r="O553" s="55"/>
      <c r="P553" s="53"/>
      <c r="Q553" s="53"/>
      <c r="R553" s="56"/>
      <c r="S553" s="57"/>
      <c r="T553" s="57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9"/>
      <c r="M554" s="60"/>
      <c r="N554" s="59"/>
      <c r="O554" s="61"/>
      <c r="P554" s="59"/>
      <c r="Q554" s="59"/>
      <c r="R554" s="62"/>
      <c r="S554" s="63"/>
      <c r="T554" s="63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3"/>
      <c r="M555" s="54"/>
      <c r="N555" s="53"/>
      <c r="O555" s="55"/>
      <c r="P555" s="53"/>
      <c r="Q555" s="53"/>
      <c r="R555" s="56"/>
      <c r="S555" s="57"/>
      <c r="T555" s="57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9"/>
      <c r="M556" s="60"/>
      <c r="N556" s="59"/>
      <c r="O556" s="61"/>
      <c r="P556" s="59"/>
      <c r="Q556" s="59"/>
      <c r="R556" s="62"/>
      <c r="S556" s="63"/>
      <c r="T556" s="63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3"/>
      <c r="M557" s="54"/>
      <c r="N557" s="53"/>
      <c r="O557" s="55"/>
      <c r="P557" s="53"/>
      <c r="Q557" s="53"/>
      <c r="R557" s="56"/>
      <c r="S557" s="57"/>
      <c r="T557" s="57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9"/>
      <c r="M558" s="60"/>
      <c r="N558" s="59"/>
      <c r="O558" s="61"/>
      <c r="P558" s="59"/>
      <c r="Q558" s="59"/>
      <c r="R558" s="62"/>
      <c r="S558" s="63"/>
      <c r="T558" s="63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3"/>
      <c r="M559" s="54"/>
      <c r="N559" s="53"/>
      <c r="O559" s="55"/>
      <c r="P559" s="53"/>
      <c r="Q559" s="53"/>
      <c r="R559" s="56"/>
      <c r="S559" s="57"/>
      <c r="T559" s="57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9"/>
      <c r="M560" s="60"/>
      <c r="N560" s="59"/>
      <c r="O560" s="61"/>
      <c r="P560" s="59"/>
      <c r="Q560" s="59"/>
      <c r="R560" s="62"/>
      <c r="S560" s="63"/>
      <c r="T560" s="63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3"/>
      <c r="M561" s="54"/>
      <c r="N561" s="53"/>
      <c r="O561" s="55"/>
      <c r="P561" s="53"/>
      <c r="Q561" s="53"/>
      <c r="R561" s="56"/>
      <c r="S561" s="57"/>
      <c r="T561" s="57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9"/>
      <c r="M562" s="60"/>
      <c r="N562" s="59"/>
      <c r="O562" s="61"/>
      <c r="P562" s="59"/>
      <c r="Q562" s="59"/>
      <c r="R562" s="62"/>
      <c r="S562" s="63"/>
      <c r="T562" s="63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3"/>
      <c r="M563" s="54"/>
      <c r="N563" s="53"/>
      <c r="O563" s="55"/>
      <c r="P563" s="53"/>
      <c r="Q563" s="53"/>
      <c r="R563" s="56"/>
      <c r="S563" s="57"/>
      <c r="T563" s="57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9"/>
      <c r="M564" s="60"/>
      <c r="N564" s="59"/>
      <c r="O564" s="61"/>
      <c r="P564" s="59"/>
      <c r="Q564" s="59"/>
      <c r="R564" s="62"/>
      <c r="S564" s="63"/>
      <c r="T564" s="63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3"/>
      <c r="M565" s="54"/>
      <c r="N565" s="53"/>
      <c r="O565" s="55"/>
      <c r="P565" s="53"/>
      <c r="Q565" s="53"/>
      <c r="R565" s="56"/>
      <c r="S565" s="57"/>
      <c r="T565" s="57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9"/>
      <c r="M566" s="60"/>
      <c r="N566" s="59"/>
      <c r="O566" s="61"/>
      <c r="P566" s="59"/>
      <c r="Q566" s="59"/>
      <c r="R566" s="62"/>
      <c r="S566" s="63"/>
      <c r="T566" s="63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3"/>
      <c r="M567" s="54"/>
      <c r="N567" s="53"/>
      <c r="O567" s="55"/>
      <c r="P567" s="53"/>
      <c r="Q567" s="53"/>
      <c r="R567" s="56"/>
      <c r="S567" s="57"/>
      <c r="T567" s="57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9"/>
      <c r="M568" s="60"/>
      <c r="N568" s="59"/>
      <c r="O568" s="61"/>
      <c r="P568" s="59"/>
      <c r="Q568" s="59"/>
      <c r="R568" s="62"/>
      <c r="S568" s="63"/>
      <c r="T568" s="63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3"/>
      <c r="M569" s="54"/>
      <c r="N569" s="53"/>
      <c r="O569" s="55"/>
      <c r="P569" s="53"/>
      <c r="Q569" s="53"/>
      <c r="R569" s="56"/>
      <c r="S569" s="57"/>
      <c r="T569" s="57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9"/>
      <c r="M570" s="60"/>
      <c r="N570" s="59"/>
      <c r="O570" s="61"/>
      <c r="P570" s="59"/>
      <c r="Q570" s="59"/>
      <c r="R570" s="62"/>
      <c r="S570" s="63"/>
      <c r="T570" s="63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3"/>
      <c r="M571" s="54"/>
      <c r="N571" s="53"/>
      <c r="O571" s="55"/>
      <c r="P571" s="53"/>
      <c r="Q571" s="53"/>
      <c r="R571" s="56"/>
      <c r="S571" s="57"/>
      <c r="T571" s="57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9"/>
      <c r="M572" s="60"/>
      <c r="N572" s="59"/>
      <c r="O572" s="61"/>
      <c r="P572" s="59"/>
      <c r="Q572" s="59"/>
      <c r="R572" s="62"/>
      <c r="S572" s="63"/>
      <c r="T572" s="63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3"/>
      <c r="M573" s="54"/>
      <c r="N573" s="53"/>
      <c r="O573" s="55"/>
      <c r="P573" s="53"/>
      <c r="Q573" s="53"/>
      <c r="R573" s="56"/>
      <c r="S573" s="57"/>
      <c r="T573" s="57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9"/>
      <c r="M574" s="60"/>
      <c r="N574" s="59"/>
      <c r="O574" s="61"/>
      <c r="P574" s="59"/>
      <c r="Q574" s="59"/>
      <c r="R574" s="62"/>
      <c r="S574" s="63"/>
      <c r="T574" s="63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3"/>
      <c r="M575" s="54"/>
      <c r="N575" s="53"/>
      <c r="O575" s="55"/>
      <c r="P575" s="53"/>
      <c r="Q575" s="53"/>
      <c r="R575" s="56"/>
      <c r="S575" s="57"/>
      <c r="T575" s="57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9"/>
      <c r="M576" s="60"/>
      <c r="N576" s="59"/>
      <c r="O576" s="61"/>
      <c r="P576" s="59"/>
      <c r="Q576" s="59"/>
      <c r="R576" s="62"/>
      <c r="S576" s="63"/>
      <c r="T576" s="63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3"/>
      <c r="M577" s="54"/>
      <c r="N577" s="53"/>
      <c r="O577" s="55"/>
      <c r="P577" s="53"/>
      <c r="Q577" s="53"/>
      <c r="R577" s="56"/>
      <c r="S577" s="57"/>
      <c r="T577" s="57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9"/>
      <c r="M578" s="60"/>
      <c r="N578" s="59"/>
      <c r="O578" s="61"/>
      <c r="P578" s="59"/>
      <c r="Q578" s="59"/>
      <c r="R578" s="62"/>
      <c r="S578" s="63"/>
      <c r="T578" s="63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3"/>
      <c r="M579" s="54"/>
      <c r="N579" s="53"/>
      <c r="O579" s="55"/>
      <c r="P579" s="53"/>
      <c r="Q579" s="53"/>
      <c r="R579" s="56"/>
      <c r="S579" s="57"/>
      <c r="T579" s="57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9"/>
      <c r="M580" s="60"/>
      <c r="N580" s="59"/>
      <c r="O580" s="61"/>
      <c r="P580" s="59"/>
      <c r="Q580" s="59"/>
      <c r="R580" s="62"/>
      <c r="S580" s="63"/>
      <c r="T580" s="63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3"/>
      <c r="M581" s="54"/>
      <c r="N581" s="53"/>
      <c r="O581" s="55"/>
      <c r="P581" s="53"/>
      <c r="Q581" s="53"/>
      <c r="R581" s="56"/>
      <c r="S581" s="57"/>
      <c r="T581" s="57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9"/>
      <c r="M582" s="60"/>
      <c r="N582" s="59"/>
      <c r="O582" s="61"/>
      <c r="P582" s="59"/>
      <c r="Q582" s="59"/>
      <c r="R582" s="62"/>
      <c r="S582" s="63"/>
      <c r="T582" s="63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3"/>
      <c r="M583" s="54"/>
      <c r="N583" s="53"/>
      <c r="O583" s="55"/>
      <c r="P583" s="53"/>
      <c r="Q583" s="53"/>
      <c r="R583" s="56"/>
      <c r="S583" s="57"/>
      <c r="T583" s="57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9"/>
      <c r="M584" s="60"/>
      <c r="N584" s="59"/>
      <c r="O584" s="61"/>
      <c r="P584" s="59"/>
      <c r="Q584" s="59"/>
      <c r="R584" s="62"/>
      <c r="S584" s="63"/>
      <c r="T584" s="63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3"/>
      <c r="M585" s="54"/>
      <c r="N585" s="53"/>
      <c r="O585" s="55"/>
      <c r="P585" s="53"/>
      <c r="Q585" s="53"/>
      <c r="R585" s="56"/>
      <c r="S585" s="57"/>
      <c r="T585" s="57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9"/>
      <c r="M586" s="60"/>
      <c r="N586" s="59"/>
      <c r="O586" s="61"/>
      <c r="P586" s="59"/>
      <c r="Q586" s="59"/>
      <c r="R586" s="62"/>
      <c r="S586" s="63"/>
      <c r="T586" s="63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3"/>
      <c r="M587" s="54"/>
      <c r="N587" s="53"/>
      <c r="O587" s="55"/>
      <c r="P587" s="53"/>
      <c r="Q587" s="53"/>
      <c r="R587" s="56"/>
      <c r="S587" s="57"/>
      <c r="T587" s="57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9"/>
      <c r="M588" s="60"/>
      <c r="N588" s="59"/>
      <c r="O588" s="61"/>
      <c r="P588" s="59"/>
      <c r="Q588" s="59"/>
      <c r="R588" s="62"/>
      <c r="S588" s="63"/>
      <c r="T588" s="63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3"/>
      <c r="M589" s="54"/>
      <c r="N589" s="53"/>
      <c r="O589" s="55"/>
      <c r="P589" s="53"/>
      <c r="Q589" s="53"/>
      <c r="R589" s="56"/>
      <c r="S589" s="57"/>
      <c r="T589" s="57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9"/>
      <c r="M590" s="60"/>
      <c r="N590" s="59"/>
      <c r="O590" s="61"/>
      <c r="P590" s="59"/>
      <c r="Q590" s="59"/>
      <c r="R590" s="62"/>
      <c r="S590" s="63"/>
      <c r="T590" s="63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3"/>
      <c r="M591" s="54"/>
      <c r="N591" s="53"/>
      <c r="O591" s="55"/>
      <c r="P591" s="53"/>
      <c r="Q591" s="53"/>
      <c r="R591" s="56"/>
      <c r="S591" s="57"/>
      <c r="T591" s="57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9"/>
      <c r="M592" s="60"/>
      <c r="N592" s="59"/>
      <c r="O592" s="61"/>
      <c r="P592" s="59"/>
      <c r="Q592" s="59"/>
      <c r="R592" s="62"/>
      <c r="S592" s="63"/>
      <c r="T592" s="63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3"/>
      <c r="M593" s="54"/>
      <c r="N593" s="53"/>
      <c r="O593" s="55"/>
      <c r="P593" s="53"/>
      <c r="Q593" s="53"/>
      <c r="R593" s="56"/>
      <c r="S593" s="57"/>
      <c r="T593" s="57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9"/>
      <c r="M594" s="60"/>
      <c r="N594" s="59"/>
      <c r="O594" s="61"/>
      <c r="P594" s="59"/>
      <c r="Q594" s="59"/>
      <c r="R594" s="62"/>
      <c r="S594" s="63"/>
      <c r="T594" s="63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3"/>
      <c r="M595" s="54"/>
      <c r="N595" s="53"/>
      <c r="O595" s="55"/>
      <c r="P595" s="53"/>
      <c r="Q595" s="53"/>
      <c r="R595" s="56"/>
      <c r="S595" s="57"/>
      <c r="T595" s="57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9"/>
      <c r="M596" s="60"/>
      <c r="N596" s="59"/>
      <c r="O596" s="61"/>
      <c r="P596" s="59"/>
      <c r="Q596" s="59"/>
      <c r="R596" s="62"/>
      <c r="S596" s="63"/>
      <c r="T596" s="63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3"/>
      <c r="M597" s="54"/>
      <c r="N597" s="53"/>
      <c r="O597" s="55"/>
      <c r="P597" s="53"/>
      <c r="Q597" s="53"/>
      <c r="R597" s="56"/>
      <c r="S597" s="57"/>
      <c r="T597" s="57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9"/>
      <c r="M598" s="60"/>
      <c r="N598" s="59"/>
      <c r="O598" s="61"/>
      <c r="P598" s="59"/>
      <c r="Q598" s="59"/>
      <c r="R598" s="62"/>
      <c r="S598" s="63"/>
      <c r="T598" s="63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3"/>
      <c r="M599" s="54"/>
      <c r="N599" s="53"/>
      <c r="O599" s="55"/>
      <c r="P599" s="53"/>
      <c r="Q599" s="53"/>
      <c r="R599" s="56"/>
      <c r="S599" s="57"/>
      <c r="T599" s="57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9"/>
      <c r="M600" s="60"/>
      <c r="N600" s="59"/>
      <c r="O600" s="61"/>
      <c r="P600" s="59"/>
      <c r="Q600" s="59"/>
      <c r="R600" s="62"/>
      <c r="S600" s="63"/>
      <c r="T600" s="63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3"/>
      <c r="M601" s="54"/>
      <c r="N601" s="53"/>
      <c r="O601" s="55"/>
      <c r="P601" s="53"/>
      <c r="Q601" s="53"/>
      <c r="R601" s="56"/>
      <c r="S601" s="57"/>
      <c r="T601" s="57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9"/>
      <c r="M602" s="60"/>
      <c r="N602" s="59"/>
      <c r="O602" s="61"/>
      <c r="P602" s="59"/>
      <c r="Q602" s="59"/>
      <c r="R602" s="62"/>
      <c r="S602" s="63"/>
      <c r="T602" s="63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3"/>
      <c r="M603" s="54"/>
      <c r="N603" s="53"/>
      <c r="O603" s="55"/>
      <c r="P603" s="53"/>
      <c r="Q603" s="53"/>
      <c r="R603" s="56"/>
      <c r="S603" s="57"/>
      <c r="T603" s="57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9"/>
      <c r="M604" s="60"/>
      <c r="N604" s="59"/>
      <c r="O604" s="61"/>
      <c r="P604" s="59"/>
      <c r="Q604" s="59"/>
      <c r="R604" s="62"/>
      <c r="S604" s="63"/>
      <c r="T604" s="63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3"/>
      <c r="M605" s="54"/>
      <c r="N605" s="53"/>
      <c r="O605" s="55"/>
      <c r="P605" s="53"/>
      <c r="Q605" s="53"/>
      <c r="R605" s="56"/>
      <c r="S605" s="57"/>
      <c r="T605" s="57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9"/>
      <c r="M606" s="60"/>
      <c r="N606" s="59"/>
      <c r="O606" s="61"/>
      <c r="P606" s="59"/>
      <c r="Q606" s="59"/>
      <c r="R606" s="62"/>
      <c r="S606" s="63"/>
      <c r="T606" s="63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3"/>
      <c r="M607" s="54"/>
      <c r="N607" s="53"/>
      <c r="O607" s="55"/>
      <c r="P607" s="53"/>
      <c r="Q607" s="53"/>
      <c r="R607" s="56"/>
      <c r="S607" s="57"/>
      <c r="T607" s="57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9"/>
      <c r="M608" s="60"/>
      <c r="N608" s="59"/>
      <c r="O608" s="61"/>
      <c r="P608" s="59"/>
      <c r="Q608" s="59"/>
      <c r="R608" s="62"/>
      <c r="S608" s="63"/>
      <c r="T608" s="63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3"/>
      <c r="M609" s="54"/>
      <c r="N609" s="53"/>
      <c r="O609" s="55"/>
      <c r="P609" s="53"/>
      <c r="Q609" s="53"/>
      <c r="R609" s="56"/>
      <c r="S609" s="57"/>
      <c r="T609" s="57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9"/>
      <c r="M610" s="60"/>
      <c r="N610" s="59"/>
      <c r="O610" s="61"/>
      <c r="P610" s="59"/>
      <c r="Q610" s="59"/>
      <c r="R610" s="62"/>
      <c r="S610" s="63"/>
      <c r="T610" s="63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3"/>
      <c r="M611" s="54"/>
      <c r="N611" s="53"/>
      <c r="O611" s="55"/>
      <c r="P611" s="53"/>
      <c r="Q611" s="53"/>
      <c r="R611" s="56"/>
      <c r="S611" s="57"/>
      <c r="T611" s="57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9"/>
      <c r="M612" s="60"/>
      <c r="N612" s="59"/>
      <c r="O612" s="61"/>
      <c r="P612" s="59"/>
      <c r="Q612" s="59"/>
      <c r="R612" s="62"/>
      <c r="S612" s="63"/>
      <c r="T612" s="63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3"/>
      <c r="M613" s="54"/>
      <c r="N613" s="53"/>
      <c r="O613" s="55"/>
      <c r="P613" s="53"/>
      <c r="Q613" s="53"/>
      <c r="R613" s="56"/>
      <c r="S613" s="57"/>
      <c r="T613" s="57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9"/>
      <c r="M614" s="60"/>
      <c r="N614" s="59"/>
      <c r="O614" s="61"/>
      <c r="P614" s="59"/>
      <c r="Q614" s="59"/>
      <c r="R614" s="62"/>
      <c r="S614" s="63"/>
      <c r="T614" s="63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3"/>
      <c r="M615" s="54"/>
      <c r="N615" s="53"/>
      <c r="O615" s="55"/>
      <c r="P615" s="53"/>
      <c r="Q615" s="53"/>
      <c r="R615" s="56"/>
      <c r="S615" s="57"/>
      <c r="T615" s="57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9"/>
      <c r="M616" s="60"/>
      <c r="N616" s="59"/>
      <c r="O616" s="61"/>
      <c r="P616" s="59"/>
      <c r="Q616" s="59"/>
      <c r="R616" s="62"/>
      <c r="S616" s="63"/>
      <c r="T616" s="63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3"/>
      <c r="M617" s="54"/>
      <c r="N617" s="53"/>
      <c r="O617" s="55"/>
      <c r="P617" s="53"/>
      <c r="Q617" s="53"/>
      <c r="R617" s="56"/>
      <c r="S617" s="57"/>
      <c r="T617" s="57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9"/>
      <c r="M618" s="60"/>
      <c r="N618" s="59"/>
      <c r="O618" s="61"/>
      <c r="P618" s="59"/>
      <c r="Q618" s="59"/>
      <c r="R618" s="62"/>
      <c r="S618" s="63"/>
      <c r="T618" s="63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3"/>
      <c r="M619" s="54"/>
      <c r="N619" s="53"/>
      <c r="O619" s="55"/>
      <c r="P619" s="53"/>
      <c r="Q619" s="53"/>
      <c r="R619" s="56"/>
      <c r="S619" s="57"/>
      <c r="T619" s="57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9"/>
      <c r="M620" s="60"/>
      <c r="N620" s="59"/>
      <c r="O620" s="61"/>
      <c r="P620" s="59"/>
      <c r="Q620" s="59"/>
      <c r="R620" s="62"/>
      <c r="S620" s="63"/>
      <c r="T620" s="63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3"/>
      <c r="M621" s="54"/>
      <c r="N621" s="53"/>
      <c r="O621" s="55"/>
      <c r="P621" s="53"/>
      <c r="Q621" s="53"/>
      <c r="R621" s="56"/>
      <c r="S621" s="57"/>
      <c r="T621" s="57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9"/>
      <c r="M622" s="60"/>
      <c r="N622" s="59"/>
      <c r="O622" s="61"/>
      <c r="P622" s="59"/>
      <c r="Q622" s="59"/>
      <c r="R622" s="62"/>
      <c r="S622" s="63"/>
      <c r="T622" s="63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3"/>
      <c r="M623" s="54"/>
      <c r="N623" s="53"/>
      <c r="O623" s="55"/>
      <c r="P623" s="53"/>
      <c r="Q623" s="53"/>
      <c r="R623" s="56"/>
      <c r="S623" s="57"/>
      <c r="T623" s="57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9"/>
      <c r="M624" s="60"/>
      <c r="N624" s="59"/>
      <c r="O624" s="61"/>
      <c r="P624" s="59"/>
      <c r="Q624" s="59"/>
      <c r="R624" s="62"/>
      <c r="S624" s="63"/>
      <c r="T624" s="63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3"/>
      <c r="M625" s="54"/>
      <c r="N625" s="53"/>
      <c r="O625" s="55"/>
      <c r="P625" s="53"/>
      <c r="Q625" s="53"/>
      <c r="R625" s="56"/>
      <c r="S625" s="57"/>
      <c r="T625" s="57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9"/>
      <c r="M626" s="60"/>
      <c r="N626" s="59"/>
      <c r="O626" s="61"/>
      <c r="P626" s="59"/>
      <c r="Q626" s="59"/>
      <c r="R626" s="62"/>
      <c r="S626" s="63"/>
      <c r="T626" s="63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3"/>
      <c r="M627" s="54"/>
      <c r="N627" s="53"/>
      <c r="O627" s="55"/>
      <c r="P627" s="53"/>
      <c r="Q627" s="53"/>
      <c r="R627" s="56"/>
      <c r="S627" s="57"/>
      <c r="T627" s="57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9"/>
      <c r="M628" s="60"/>
      <c r="N628" s="59"/>
      <c r="O628" s="61"/>
      <c r="P628" s="59"/>
      <c r="Q628" s="59"/>
      <c r="R628" s="62"/>
      <c r="S628" s="63"/>
      <c r="T628" s="63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3"/>
      <c r="M629" s="54"/>
      <c r="N629" s="53"/>
      <c r="O629" s="55"/>
      <c r="P629" s="53"/>
      <c r="Q629" s="53"/>
      <c r="R629" s="56"/>
      <c r="S629" s="57"/>
      <c r="T629" s="57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9"/>
      <c r="M630" s="60"/>
      <c r="N630" s="59"/>
      <c r="O630" s="61"/>
      <c r="P630" s="59"/>
      <c r="Q630" s="59"/>
      <c r="R630" s="62"/>
      <c r="S630" s="63"/>
      <c r="T630" s="63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3"/>
      <c r="M631" s="54"/>
      <c r="N631" s="53"/>
      <c r="O631" s="55"/>
      <c r="P631" s="53"/>
      <c r="Q631" s="53"/>
      <c r="R631" s="56"/>
      <c r="S631" s="57"/>
      <c r="T631" s="57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9"/>
      <c r="M632" s="60"/>
      <c r="N632" s="59"/>
      <c r="O632" s="61"/>
      <c r="P632" s="59"/>
      <c r="Q632" s="59"/>
      <c r="R632" s="62"/>
      <c r="S632" s="63"/>
      <c r="T632" s="63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3"/>
      <c r="M633" s="54"/>
      <c r="N633" s="53"/>
      <c r="O633" s="55"/>
      <c r="P633" s="53"/>
      <c r="Q633" s="53"/>
      <c r="R633" s="56"/>
      <c r="S633" s="57"/>
      <c r="T633" s="57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9"/>
      <c r="M634" s="60"/>
      <c r="N634" s="59"/>
      <c r="O634" s="61"/>
      <c r="P634" s="59"/>
      <c r="Q634" s="59"/>
      <c r="R634" s="62"/>
      <c r="S634" s="63"/>
      <c r="T634" s="63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3"/>
      <c r="M635" s="54"/>
      <c r="N635" s="53"/>
      <c r="O635" s="55"/>
      <c r="P635" s="53"/>
      <c r="Q635" s="53"/>
      <c r="R635" s="56"/>
      <c r="S635" s="57"/>
      <c r="T635" s="57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9"/>
      <c r="M636" s="60"/>
      <c r="N636" s="59"/>
      <c r="O636" s="61"/>
      <c r="P636" s="59"/>
      <c r="Q636" s="59"/>
      <c r="R636" s="62"/>
      <c r="S636" s="63"/>
      <c r="T636" s="63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3"/>
      <c r="M637" s="54"/>
      <c r="N637" s="53"/>
      <c r="O637" s="55"/>
      <c r="P637" s="53"/>
      <c r="Q637" s="53"/>
      <c r="R637" s="56"/>
      <c r="S637" s="57"/>
      <c r="T637" s="57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9"/>
      <c r="M638" s="60"/>
      <c r="N638" s="59"/>
      <c r="O638" s="61"/>
      <c r="P638" s="59"/>
      <c r="Q638" s="59"/>
      <c r="R638" s="62"/>
      <c r="S638" s="63"/>
      <c r="T638" s="63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3"/>
      <c r="M639" s="54"/>
      <c r="N639" s="53"/>
      <c r="O639" s="55"/>
      <c r="P639" s="53"/>
      <c r="Q639" s="53"/>
      <c r="R639" s="56"/>
      <c r="S639" s="57"/>
      <c r="T639" s="57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9"/>
      <c r="M640" s="60"/>
      <c r="N640" s="59"/>
      <c r="O640" s="61"/>
      <c r="P640" s="59"/>
      <c r="Q640" s="59"/>
      <c r="R640" s="62"/>
      <c r="S640" s="63"/>
      <c r="T640" s="63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3"/>
      <c r="M641" s="54"/>
      <c r="N641" s="53"/>
      <c r="O641" s="55"/>
      <c r="P641" s="53"/>
      <c r="Q641" s="53"/>
      <c r="R641" s="56"/>
      <c r="S641" s="57"/>
      <c r="T641" s="57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9"/>
      <c r="M642" s="60"/>
      <c r="N642" s="59"/>
      <c r="O642" s="61"/>
      <c r="P642" s="59"/>
      <c r="Q642" s="59"/>
      <c r="R642" s="62"/>
      <c r="S642" s="63"/>
      <c r="T642" s="63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3"/>
      <c r="M643" s="54"/>
      <c r="N643" s="53"/>
      <c r="O643" s="55"/>
      <c r="P643" s="53"/>
      <c r="Q643" s="53"/>
      <c r="R643" s="56"/>
      <c r="S643" s="57"/>
      <c r="T643" s="57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9"/>
      <c r="M644" s="60"/>
      <c r="N644" s="59"/>
      <c r="O644" s="61"/>
      <c r="P644" s="59"/>
      <c r="Q644" s="59"/>
      <c r="R644" s="62"/>
      <c r="S644" s="63"/>
      <c r="T644" s="63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3"/>
      <c r="M645" s="54"/>
      <c r="N645" s="53"/>
      <c r="O645" s="55"/>
      <c r="P645" s="53"/>
      <c r="Q645" s="53"/>
      <c r="R645" s="56"/>
      <c r="S645" s="57"/>
      <c r="T645" s="57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9"/>
      <c r="M646" s="60"/>
      <c r="N646" s="59"/>
      <c r="O646" s="61"/>
      <c r="P646" s="59"/>
      <c r="Q646" s="59"/>
      <c r="R646" s="62"/>
      <c r="S646" s="63"/>
      <c r="T646" s="63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3"/>
      <c r="M647" s="54"/>
      <c r="N647" s="53"/>
      <c r="O647" s="55"/>
      <c r="P647" s="53"/>
      <c r="Q647" s="53"/>
      <c r="R647" s="56"/>
      <c r="S647" s="57"/>
      <c r="T647" s="57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9"/>
      <c r="M648" s="60"/>
      <c r="N648" s="59"/>
      <c r="O648" s="61"/>
      <c r="P648" s="59"/>
      <c r="Q648" s="59"/>
      <c r="R648" s="62"/>
      <c r="S648" s="63"/>
      <c r="T648" s="63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3"/>
      <c r="M649" s="54"/>
      <c r="N649" s="53"/>
      <c r="O649" s="55"/>
      <c r="P649" s="53"/>
      <c r="Q649" s="53"/>
      <c r="R649" s="56"/>
      <c r="S649" s="57"/>
      <c r="T649" s="57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9"/>
      <c r="M650" s="60"/>
      <c r="N650" s="59"/>
      <c r="O650" s="61"/>
      <c r="P650" s="59"/>
      <c r="Q650" s="59"/>
      <c r="R650" s="62"/>
      <c r="S650" s="63"/>
      <c r="T650" s="63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3"/>
      <c r="M651" s="54"/>
      <c r="N651" s="53"/>
      <c r="O651" s="55"/>
      <c r="P651" s="53"/>
      <c r="Q651" s="53"/>
      <c r="R651" s="56"/>
      <c r="S651" s="57"/>
      <c r="T651" s="57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9"/>
      <c r="M652" s="60"/>
      <c r="N652" s="59"/>
      <c r="O652" s="61"/>
      <c r="P652" s="59"/>
      <c r="Q652" s="59"/>
      <c r="R652" s="62"/>
      <c r="S652" s="63"/>
      <c r="T652" s="63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3"/>
      <c r="M653" s="54"/>
      <c r="N653" s="53"/>
      <c r="O653" s="55"/>
      <c r="P653" s="53"/>
      <c r="Q653" s="53"/>
      <c r="R653" s="56"/>
      <c r="S653" s="57"/>
      <c r="T653" s="57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9"/>
      <c r="M654" s="60"/>
      <c r="N654" s="59"/>
      <c r="O654" s="61"/>
      <c r="P654" s="59"/>
      <c r="Q654" s="59"/>
      <c r="R654" s="62"/>
      <c r="S654" s="63"/>
      <c r="T654" s="63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3"/>
      <c r="M655" s="54"/>
      <c r="N655" s="53"/>
      <c r="O655" s="55"/>
      <c r="P655" s="53"/>
      <c r="Q655" s="53"/>
      <c r="R655" s="56"/>
      <c r="S655" s="57"/>
      <c r="T655" s="57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9"/>
      <c r="M656" s="60"/>
      <c r="N656" s="59"/>
      <c r="O656" s="61"/>
      <c r="P656" s="59"/>
      <c r="Q656" s="59"/>
      <c r="R656" s="62"/>
      <c r="S656" s="63"/>
      <c r="T656" s="63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3"/>
      <c r="M657" s="54"/>
      <c r="N657" s="53"/>
      <c r="O657" s="55"/>
      <c r="P657" s="53"/>
      <c r="Q657" s="53"/>
      <c r="R657" s="56"/>
      <c r="S657" s="57"/>
      <c r="T657" s="57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9"/>
      <c r="M658" s="60"/>
      <c r="N658" s="59"/>
      <c r="O658" s="61"/>
      <c r="P658" s="59"/>
      <c r="Q658" s="59"/>
      <c r="R658" s="62"/>
      <c r="S658" s="63"/>
      <c r="T658" s="63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3"/>
      <c r="M659" s="54"/>
      <c r="N659" s="53"/>
      <c r="O659" s="55"/>
      <c r="P659" s="53"/>
      <c r="Q659" s="53"/>
      <c r="R659" s="56"/>
      <c r="S659" s="57"/>
      <c r="T659" s="57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9"/>
      <c r="M660" s="60"/>
      <c r="N660" s="59"/>
      <c r="O660" s="61"/>
      <c r="P660" s="59"/>
      <c r="Q660" s="59"/>
      <c r="R660" s="62"/>
      <c r="S660" s="63"/>
      <c r="T660" s="63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3"/>
      <c r="M661" s="54"/>
      <c r="N661" s="53"/>
      <c r="O661" s="55"/>
      <c r="P661" s="53"/>
      <c r="Q661" s="53"/>
      <c r="R661" s="56"/>
      <c r="S661" s="57"/>
      <c r="T661" s="57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9"/>
      <c r="M662" s="60"/>
      <c r="N662" s="59"/>
      <c r="O662" s="61"/>
      <c r="P662" s="59"/>
      <c r="Q662" s="59"/>
      <c r="R662" s="62"/>
      <c r="S662" s="63"/>
      <c r="T662" s="63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3"/>
      <c r="M663" s="54"/>
      <c r="N663" s="53"/>
      <c r="O663" s="55"/>
      <c r="P663" s="53"/>
      <c r="Q663" s="53"/>
      <c r="R663" s="56"/>
      <c r="S663" s="57"/>
      <c r="T663" s="57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9"/>
      <c r="M664" s="60"/>
      <c r="N664" s="59"/>
      <c r="O664" s="61"/>
      <c r="P664" s="59"/>
      <c r="Q664" s="59"/>
      <c r="R664" s="62"/>
      <c r="S664" s="63"/>
      <c r="T664" s="63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3"/>
      <c r="M665" s="54"/>
      <c r="N665" s="53"/>
      <c r="O665" s="55"/>
      <c r="P665" s="53"/>
      <c r="Q665" s="53"/>
      <c r="R665" s="56"/>
      <c r="S665" s="57"/>
      <c r="T665" s="57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9"/>
      <c r="M666" s="60"/>
      <c r="N666" s="59"/>
      <c r="O666" s="61"/>
      <c r="P666" s="59"/>
      <c r="Q666" s="59"/>
      <c r="R666" s="62"/>
      <c r="S666" s="63"/>
      <c r="T666" s="63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3"/>
      <c r="M667" s="54"/>
      <c r="N667" s="53"/>
      <c r="O667" s="55"/>
      <c r="P667" s="53"/>
      <c r="Q667" s="53"/>
      <c r="R667" s="56"/>
      <c r="S667" s="57"/>
      <c r="T667" s="57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9"/>
      <c r="M668" s="60"/>
      <c r="N668" s="59"/>
      <c r="O668" s="61"/>
      <c r="P668" s="59"/>
      <c r="Q668" s="59"/>
      <c r="R668" s="62"/>
      <c r="S668" s="63"/>
      <c r="T668" s="63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3"/>
      <c r="M669" s="54"/>
      <c r="N669" s="53"/>
      <c r="O669" s="55"/>
      <c r="P669" s="53"/>
      <c r="Q669" s="53"/>
      <c r="R669" s="56"/>
      <c r="S669" s="57"/>
      <c r="T669" s="57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9"/>
      <c r="M670" s="60"/>
      <c r="N670" s="59"/>
      <c r="O670" s="61"/>
      <c r="P670" s="59"/>
      <c r="Q670" s="59"/>
      <c r="R670" s="62"/>
      <c r="S670" s="63"/>
      <c r="T670" s="63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3"/>
      <c r="M671" s="54"/>
      <c r="N671" s="53"/>
      <c r="O671" s="55"/>
      <c r="P671" s="53"/>
      <c r="Q671" s="53"/>
      <c r="R671" s="56"/>
      <c r="S671" s="57"/>
      <c r="T671" s="57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9"/>
      <c r="M672" s="60"/>
      <c r="N672" s="59"/>
      <c r="O672" s="61"/>
      <c r="P672" s="59"/>
      <c r="Q672" s="59"/>
      <c r="R672" s="62"/>
      <c r="S672" s="63"/>
      <c r="T672" s="63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3"/>
      <c r="M673" s="54"/>
      <c r="N673" s="53"/>
      <c r="O673" s="55"/>
      <c r="P673" s="53"/>
      <c r="Q673" s="53"/>
      <c r="R673" s="56"/>
      <c r="S673" s="57"/>
      <c r="T673" s="57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9"/>
      <c r="M674" s="60"/>
      <c r="N674" s="59"/>
      <c r="O674" s="61"/>
      <c r="P674" s="59"/>
      <c r="Q674" s="59"/>
      <c r="R674" s="62"/>
      <c r="S674" s="63"/>
      <c r="T674" s="63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3"/>
      <c r="M675" s="54"/>
      <c r="N675" s="53"/>
      <c r="O675" s="55"/>
      <c r="P675" s="53"/>
      <c r="Q675" s="53"/>
      <c r="R675" s="56"/>
      <c r="S675" s="57"/>
      <c r="T675" s="57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9"/>
      <c r="M676" s="60"/>
      <c r="N676" s="59"/>
      <c r="O676" s="61"/>
      <c r="P676" s="59"/>
      <c r="Q676" s="59"/>
      <c r="R676" s="62"/>
      <c r="S676" s="63"/>
      <c r="T676" s="63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3"/>
      <c r="M677" s="54"/>
      <c r="N677" s="53"/>
      <c r="O677" s="55"/>
      <c r="P677" s="53"/>
      <c r="Q677" s="53"/>
      <c r="R677" s="56"/>
      <c r="S677" s="57"/>
      <c r="T677" s="57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9"/>
      <c r="M678" s="60"/>
      <c r="N678" s="59"/>
      <c r="O678" s="61"/>
      <c r="P678" s="59"/>
      <c r="Q678" s="59"/>
      <c r="R678" s="62"/>
      <c r="S678" s="63"/>
      <c r="T678" s="63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3"/>
      <c r="M679" s="54"/>
      <c r="N679" s="53"/>
      <c r="O679" s="55"/>
      <c r="P679" s="53"/>
      <c r="Q679" s="53"/>
      <c r="R679" s="56"/>
      <c r="S679" s="57"/>
      <c r="T679" s="57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9"/>
      <c r="M680" s="60"/>
      <c r="N680" s="59"/>
      <c r="O680" s="61"/>
      <c r="P680" s="59"/>
      <c r="Q680" s="59"/>
      <c r="R680" s="62"/>
      <c r="S680" s="63"/>
      <c r="T680" s="63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3"/>
      <c r="M681" s="54"/>
      <c r="N681" s="53"/>
      <c r="O681" s="55"/>
      <c r="P681" s="53"/>
      <c r="Q681" s="53"/>
      <c r="R681" s="56"/>
      <c r="S681" s="57"/>
      <c r="T681" s="57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9"/>
      <c r="M682" s="60"/>
      <c r="N682" s="59"/>
      <c r="O682" s="61"/>
      <c r="P682" s="59"/>
      <c r="Q682" s="59"/>
      <c r="R682" s="62"/>
      <c r="S682" s="63"/>
      <c r="T682" s="63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3"/>
      <c r="M683" s="54"/>
      <c r="N683" s="53"/>
      <c r="O683" s="55"/>
      <c r="P683" s="53"/>
      <c r="Q683" s="53"/>
      <c r="R683" s="56"/>
      <c r="S683" s="57"/>
      <c r="T683" s="57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9"/>
      <c r="M684" s="60"/>
      <c r="N684" s="59"/>
      <c r="O684" s="61"/>
      <c r="P684" s="59"/>
      <c r="Q684" s="59"/>
      <c r="R684" s="62"/>
      <c r="S684" s="63"/>
      <c r="T684" s="63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3"/>
      <c r="M685" s="54"/>
      <c r="N685" s="53"/>
      <c r="O685" s="55"/>
      <c r="P685" s="53"/>
      <c r="Q685" s="53"/>
      <c r="R685" s="56"/>
      <c r="S685" s="57"/>
      <c r="T685" s="57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9"/>
      <c r="M686" s="60"/>
      <c r="N686" s="59"/>
      <c r="O686" s="61"/>
      <c r="P686" s="59"/>
      <c r="Q686" s="59"/>
      <c r="R686" s="62"/>
      <c r="S686" s="63"/>
      <c r="T686" s="63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3"/>
      <c r="M687" s="54"/>
      <c r="N687" s="53"/>
      <c r="O687" s="55"/>
      <c r="P687" s="53"/>
      <c r="Q687" s="53"/>
      <c r="R687" s="56"/>
      <c r="S687" s="57"/>
      <c r="T687" s="57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9"/>
      <c r="M688" s="60"/>
      <c r="N688" s="59"/>
      <c r="O688" s="61"/>
      <c r="P688" s="59"/>
      <c r="Q688" s="59"/>
      <c r="R688" s="62"/>
      <c r="S688" s="63"/>
      <c r="T688" s="63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3"/>
      <c r="M689" s="54"/>
      <c r="N689" s="53"/>
      <c r="O689" s="55"/>
      <c r="P689" s="53"/>
      <c r="Q689" s="53"/>
      <c r="R689" s="56"/>
      <c r="S689" s="57"/>
      <c r="T689" s="57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9"/>
      <c r="M690" s="60"/>
      <c r="N690" s="59"/>
      <c r="O690" s="61"/>
      <c r="P690" s="59"/>
      <c r="Q690" s="59"/>
      <c r="R690" s="62"/>
      <c r="S690" s="63"/>
      <c r="T690" s="63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3"/>
      <c r="M691" s="54"/>
      <c r="N691" s="53"/>
      <c r="O691" s="55"/>
      <c r="P691" s="53"/>
      <c r="Q691" s="53"/>
      <c r="R691" s="56"/>
      <c r="S691" s="57"/>
      <c r="T691" s="57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9"/>
      <c r="M692" s="60"/>
      <c r="N692" s="59"/>
      <c r="O692" s="61"/>
      <c r="P692" s="59"/>
      <c r="Q692" s="59"/>
      <c r="R692" s="62"/>
      <c r="S692" s="63"/>
      <c r="T692" s="63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3"/>
      <c r="M693" s="54"/>
      <c r="N693" s="53"/>
      <c r="O693" s="55"/>
      <c r="P693" s="53"/>
      <c r="Q693" s="53"/>
      <c r="R693" s="56"/>
      <c r="S693" s="57"/>
      <c r="T693" s="57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9"/>
      <c r="M694" s="60"/>
      <c r="N694" s="59"/>
      <c r="O694" s="61"/>
      <c r="P694" s="59"/>
      <c r="Q694" s="59"/>
      <c r="R694" s="62"/>
      <c r="S694" s="63"/>
      <c r="T694" s="63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3"/>
      <c r="M695" s="54"/>
      <c r="N695" s="53"/>
      <c r="O695" s="55"/>
      <c r="P695" s="53"/>
      <c r="Q695" s="53"/>
      <c r="R695" s="56"/>
      <c r="S695" s="57"/>
      <c r="T695" s="57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9"/>
      <c r="M696" s="60"/>
      <c r="N696" s="59"/>
      <c r="O696" s="61"/>
      <c r="P696" s="59"/>
      <c r="Q696" s="59"/>
      <c r="R696" s="62"/>
      <c r="S696" s="63"/>
      <c r="T696" s="63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3"/>
      <c r="M697" s="54"/>
      <c r="N697" s="53"/>
      <c r="O697" s="55"/>
      <c r="P697" s="53"/>
      <c r="Q697" s="53"/>
      <c r="R697" s="56"/>
      <c r="S697" s="57"/>
      <c r="T697" s="57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9"/>
      <c r="M698" s="60"/>
      <c r="N698" s="59"/>
      <c r="O698" s="61"/>
      <c r="P698" s="59"/>
      <c r="Q698" s="59"/>
      <c r="R698" s="62"/>
      <c r="S698" s="63"/>
      <c r="T698" s="63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3"/>
      <c r="M699" s="54"/>
      <c r="N699" s="53"/>
      <c r="O699" s="55"/>
      <c r="P699" s="53"/>
      <c r="Q699" s="53"/>
      <c r="R699" s="56"/>
      <c r="S699" s="57"/>
      <c r="T699" s="57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9"/>
      <c r="M700" s="60"/>
      <c r="N700" s="59"/>
      <c r="O700" s="61"/>
      <c r="P700" s="59"/>
      <c r="Q700" s="59"/>
      <c r="R700" s="62"/>
      <c r="S700" s="63"/>
      <c r="T700" s="63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3"/>
      <c r="M701" s="54"/>
      <c r="N701" s="53"/>
      <c r="O701" s="55"/>
      <c r="P701" s="53"/>
      <c r="Q701" s="53"/>
      <c r="R701" s="56"/>
      <c r="S701" s="57"/>
      <c r="T701" s="57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9"/>
      <c r="M702" s="60"/>
      <c r="N702" s="59"/>
      <c r="O702" s="61"/>
      <c r="P702" s="59"/>
      <c r="Q702" s="59"/>
      <c r="R702" s="62"/>
      <c r="S702" s="63"/>
      <c r="T702" s="63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3"/>
      <c r="M703" s="54"/>
      <c r="N703" s="53"/>
      <c r="O703" s="55"/>
      <c r="P703" s="53"/>
      <c r="Q703" s="53"/>
      <c r="R703" s="56"/>
      <c r="S703" s="57"/>
      <c r="T703" s="57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9"/>
      <c r="M704" s="60"/>
      <c r="N704" s="59"/>
      <c r="O704" s="61"/>
      <c r="P704" s="59"/>
      <c r="Q704" s="59"/>
      <c r="R704" s="62"/>
      <c r="S704" s="63"/>
      <c r="T704" s="63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3"/>
      <c r="M705" s="54"/>
      <c r="N705" s="53"/>
      <c r="O705" s="55"/>
      <c r="P705" s="53"/>
      <c r="Q705" s="53"/>
      <c r="R705" s="56"/>
      <c r="S705" s="57"/>
      <c r="T705" s="57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9"/>
      <c r="M706" s="60"/>
      <c r="N706" s="59"/>
      <c r="O706" s="61"/>
      <c r="P706" s="59"/>
      <c r="Q706" s="59"/>
      <c r="R706" s="62"/>
      <c r="S706" s="63"/>
      <c r="T706" s="63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3"/>
      <c r="M707" s="54"/>
      <c r="N707" s="53"/>
      <c r="O707" s="55"/>
      <c r="P707" s="53"/>
      <c r="Q707" s="53"/>
      <c r="R707" s="56"/>
      <c r="S707" s="57"/>
      <c r="T707" s="57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9"/>
      <c r="M708" s="60"/>
      <c r="N708" s="59"/>
      <c r="O708" s="61"/>
      <c r="P708" s="59"/>
      <c r="Q708" s="59"/>
      <c r="R708" s="62"/>
      <c r="S708" s="63"/>
      <c r="T708" s="63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3"/>
      <c r="M709" s="54"/>
      <c r="N709" s="53"/>
      <c r="O709" s="55"/>
      <c r="P709" s="53"/>
      <c r="Q709" s="53"/>
      <c r="R709" s="56"/>
      <c r="S709" s="57"/>
      <c r="T709" s="57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9"/>
      <c r="M710" s="60"/>
      <c r="N710" s="59"/>
      <c r="O710" s="61"/>
      <c r="P710" s="59"/>
      <c r="Q710" s="59"/>
      <c r="R710" s="62"/>
      <c r="S710" s="63"/>
      <c r="T710" s="63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3"/>
      <c r="M711" s="54"/>
      <c r="N711" s="53"/>
      <c r="O711" s="55"/>
      <c r="P711" s="53"/>
      <c r="Q711" s="53"/>
      <c r="R711" s="56"/>
      <c r="S711" s="57"/>
      <c r="T711" s="57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9"/>
      <c r="M712" s="60"/>
      <c r="N712" s="59"/>
      <c r="O712" s="61"/>
      <c r="P712" s="59"/>
      <c r="Q712" s="59"/>
      <c r="R712" s="62"/>
      <c r="S712" s="63"/>
      <c r="T712" s="63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3"/>
      <c r="M713" s="54"/>
      <c r="N713" s="53"/>
      <c r="O713" s="55"/>
      <c r="P713" s="53"/>
      <c r="Q713" s="53"/>
      <c r="R713" s="56"/>
      <c r="S713" s="57"/>
      <c r="T713" s="57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9"/>
      <c r="M714" s="60"/>
      <c r="N714" s="59"/>
      <c r="O714" s="61"/>
      <c r="P714" s="59"/>
      <c r="Q714" s="59"/>
      <c r="R714" s="62"/>
      <c r="S714" s="63"/>
      <c r="T714" s="63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3"/>
      <c r="M715" s="54"/>
      <c r="N715" s="53"/>
      <c r="O715" s="55"/>
      <c r="P715" s="53"/>
      <c r="Q715" s="53"/>
      <c r="R715" s="56"/>
      <c r="S715" s="57"/>
      <c r="T715" s="57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9"/>
      <c r="M716" s="60"/>
      <c r="N716" s="59"/>
      <c r="O716" s="61"/>
      <c r="P716" s="59"/>
      <c r="Q716" s="59"/>
      <c r="R716" s="62"/>
      <c r="S716" s="63"/>
      <c r="T716" s="63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3"/>
      <c r="M717" s="54"/>
      <c r="N717" s="53"/>
      <c r="O717" s="55"/>
      <c r="P717" s="53"/>
      <c r="Q717" s="53"/>
      <c r="R717" s="56"/>
      <c r="S717" s="57"/>
      <c r="T717" s="57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9"/>
      <c r="M718" s="60"/>
      <c r="N718" s="59"/>
      <c r="O718" s="61"/>
      <c r="P718" s="59"/>
      <c r="Q718" s="59"/>
      <c r="R718" s="62"/>
      <c r="S718" s="63"/>
      <c r="T718" s="63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3"/>
      <c r="M719" s="54"/>
      <c r="N719" s="53"/>
      <c r="O719" s="55"/>
      <c r="P719" s="53"/>
      <c r="Q719" s="53"/>
      <c r="R719" s="56"/>
      <c r="S719" s="57"/>
      <c r="T719" s="57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9"/>
      <c r="M720" s="60"/>
      <c r="N720" s="59"/>
      <c r="O720" s="61"/>
      <c r="P720" s="59"/>
      <c r="Q720" s="59"/>
      <c r="R720" s="62"/>
      <c r="S720" s="63"/>
      <c r="T720" s="63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3"/>
      <c r="M721" s="54"/>
      <c r="N721" s="53"/>
      <c r="O721" s="55"/>
      <c r="P721" s="53"/>
      <c r="Q721" s="53"/>
      <c r="R721" s="56"/>
      <c r="S721" s="57"/>
      <c r="T721" s="57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9"/>
      <c r="M722" s="60"/>
      <c r="N722" s="59"/>
      <c r="O722" s="61"/>
      <c r="P722" s="59"/>
      <c r="Q722" s="59"/>
      <c r="R722" s="62"/>
      <c r="S722" s="63"/>
      <c r="T722" s="63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3"/>
      <c r="M723" s="54"/>
      <c r="N723" s="53"/>
      <c r="O723" s="55"/>
      <c r="P723" s="53"/>
      <c r="Q723" s="53"/>
      <c r="R723" s="56"/>
      <c r="S723" s="57"/>
      <c r="T723" s="57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9"/>
      <c r="M724" s="60"/>
      <c r="N724" s="59"/>
      <c r="O724" s="61"/>
      <c r="P724" s="59"/>
      <c r="Q724" s="59"/>
      <c r="R724" s="62"/>
      <c r="S724" s="63"/>
      <c r="T724" s="63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3"/>
      <c r="M725" s="54"/>
      <c r="N725" s="53"/>
      <c r="O725" s="55"/>
      <c r="P725" s="53"/>
      <c r="Q725" s="53"/>
      <c r="R725" s="56"/>
      <c r="S725" s="57"/>
      <c r="T725" s="57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9"/>
      <c r="M726" s="60"/>
      <c r="N726" s="59"/>
      <c r="O726" s="61"/>
      <c r="P726" s="59"/>
      <c r="Q726" s="59"/>
      <c r="R726" s="62"/>
      <c r="S726" s="63"/>
      <c r="T726" s="63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3"/>
      <c r="M727" s="54"/>
      <c r="N727" s="53"/>
      <c r="O727" s="55"/>
      <c r="P727" s="53"/>
      <c r="Q727" s="53"/>
      <c r="R727" s="56"/>
      <c r="S727" s="57"/>
      <c r="T727" s="57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9"/>
      <c r="M728" s="60"/>
      <c r="N728" s="59"/>
      <c r="O728" s="61"/>
      <c r="P728" s="59"/>
      <c r="Q728" s="59"/>
      <c r="R728" s="62"/>
      <c r="S728" s="63"/>
      <c r="T728" s="63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3"/>
      <c r="M729" s="54"/>
      <c r="N729" s="53"/>
      <c r="O729" s="55"/>
      <c r="P729" s="53"/>
      <c r="Q729" s="53"/>
      <c r="R729" s="56"/>
      <c r="S729" s="57"/>
      <c r="T729" s="57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9"/>
      <c r="M730" s="60"/>
      <c r="N730" s="59"/>
      <c r="O730" s="61"/>
      <c r="P730" s="59"/>
      <c r="Q730" s="59"/>
      <c r="R730" s="62"/>
      <c r="S730" s="63"/>
      <c r="T730" s="63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3"/>
      <c r="M731" s="54"/>
      <c r="N731" s="53"/>
      <c r="O731" s="55"/>
      <c r="P731" s="53"/>
      <c r="Q731" s="53"/>
      <c r="R731" s="56"/>
      <c r="S731" s="57"/>
      <c r="T731" s="57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9"/>
      <c r="M732" s="60"/>
      <c r="N732" s="59"/>
      <c r="O732" s="61"/>
      <c r="P732" s="59"/>
      <c r="Q732" s="59"/>
      <c r="R732" s="62"/>
      <c r="S732" s="63"/>
      <c r="T732" s="63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3"/>
      <c r="M733" s="54"/>
      <c r="N733" s="53"/>
      <c r="O733" s="55"/>
      <c r="P733" s="53"/>
      <c r="Q733" s="53"/>
      <c r="R733" s="56"/>
      <c r="S733" s="57"/>
      <c r="T733" s="57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9"/>
      <c r="M734" s="60"/>
      <c r="N734" s="59"/>
      <c r="O734" s="61"/>
      <c r="P734" s="59"/>
      <c r="Q734" s="59"/>
      <c r="R734" s="62"/>
      <c r="S734" s="63"/>
      <c r="T734" s="63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3"/>
      <c r="M735" s="54"/>
      <c r="N735" s="53"/>
      <c r="O735" s="55"/>
      <c r="P735" s="53"/>
      <c r="Q735" s="53"/>
      <c r="R735" s="56"/>
      <c r="S735" s="57"/>
      <c r="T735" s="57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9"/>
      <c r="M736" s="60"/>
      <c r="N736" s="59"/>
      <c r="O736" s="61"/>
      <c r="P736" s="59"/>
      <c r="Q736" s="59"/>
      <c r="R736" s="62"/>
      <c r="S736" s="63"/>
      <c r="T736" s="63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3"/>
      <c r="M737" s="54"/>
      <c r="N737" s="53"/>
      <c r="O737" s="55"/>
      <c r="P737" s="53"/>
      <c r="Q737" s="53"/>
      <c r="R737" s="56"/>
      <c r="S737" s="57"/>
      <c r="T737" s="57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9"/>
      <c r="M738" s="60"/>
      <c r="N738" s="59"/>
      <c r="O738" s="61"/>
      <c r="P738" s="59"/>
      <c r="Q738" s="59"/>
      <c r="R738" s="62"/>
      <c r="S738" s="63"/>
      <c r="T738" s="63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3"/>
      <c r="M739" s="54"/>
      <c r="N739" s="53"/>
      <c r="O739" s="55"/>
      <c r="P739" s="53"/>
      <c r="Q739" s="53"/>
      <c r="R739" s="56"/>
      <c r="S739" s="57"/>
      <c r="T739" s="57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9"/>
      <c r="M740" s="60"/>
      <c r="N740" s="59"/>
      <c r="O740" s="61"/>
      <c r="P740" s="59"/>
      <c r="Q740" s="59"/>
      <c r="R740" s="62"/>
      <c r="S740" s="63"/>
      <c r="T740" s="63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3"/>
      <c r="M741" s="54"/>
      <c r="N741" s="53"/>
      <c r="O741" s="55"/>
      <c r="P741" s="53"/>
      <c r="Q741" s="53"/>
      <c r="R741" s="56"/>
      <c r="S741" s="57"/>
      <c r="T741" s="57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9"/>
      <c r="M742" s="60"/>
      <c r="N742" s="59"/>
      <c r="O742" s="61"/>
      <c r="P742" s="59"/>
      <c r="Q742" s="59"/>
      <c r="R742" s="62"/>
      <c r="S742" s="63"/>
      <c r="T742" s="63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3"/>
      <c r="M743" s="54"/>
      <c r="N743" s="53"/>
      <c r="O743" s="55"/>
      <c r="P743" s="53"/>
      <c r="Q743" s="53"/>
      <c r="R743" s="56"/>
      <c r="S743" s="57"/>
      <c r="T743" s="57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9"/>
      <c r="M744" s="60"/>
      <c r="N744" s="59"/>
      <c r="O744" s="61"/>
      <c r="P744" s="59"/>
      <c r="Q744" s="59"/>
      <c r="R744" s="62"/>
      <c r="S744" s="63"/>
      <c r="T744" s="63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3"/>
      <c r="M745" s="54"/>
      <c r="N745" s="53"/>
      <c r="O745" s="55"/>
      <c r="P745" s="53"/>
      <c r="Q745" s="53"/>
      <c r="R745" s="56"/>
      <c r="S745" s="57"/>
      <c r="T745" s="57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9"/>
      <c r="M746" s="60"/>
      <c r="N746" s="59"/>
      <c r="O746" s="61"/>
      <c r="P746" s="59"/>
      <c r="Q746" s="59"/>
      <c r="R746" s="62"/>
      <c r="S746" s="63"/>
      <c r="T746" s="63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3"/>
      <c r="M747" s="54"/>
      <c r="N747" s="53"/>
      <c r="O747" s="55"/>
      <c r="P747" s="53"/>
      <c r="Q747" s="53"/>
      <c r="R747" s="56"/>
      <c r="S747" s="57"/>
      <c r="T747" s="57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9"/>
      <c r="M748" s="60"/>
      <c r="N748" s="59"/>
      <c r="O748" s="61"/>
      <c r="P748" s="59"/>
      <c r="Q748" s="59"/>
      <c r="R748" s="62"/>
      <c r="S748" s="63"/>
      <c r="T748" s="63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3"/>
      <c r="M749" s="54"/>
      <c r="N749" s="53"/>
      <c r="O749" s="55"/>
      <c r="P749" s="53"/>
      <c r="Q749" s="53"/>
      <c r="R749" s="56"/>
      <c r="S749" s="57"/>
      <c r="T749" s="57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9"/>
      <c r="M750" s="60"/>
      <c r="N750" s="59"/>
      <c r="O750" s="61"/>
      <c r="P750" s="59"/>
      <c r="Q750" s="59"/>
      <c r="R750" s="62"/>
      <c r="S750" s="63"/>
      <c r="T750" s="63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3"/>
      <c r="M751" s="54"/>
      <c r="N751" s="53"/>
      <c r="O751" s="55"/>
      <c r="P751" s="53"/>
      <c r="Q751" s="53"/>
      <c r="R751" s="56"/>
      <c r="S751" s="57"/>
      <c r="T751" s="57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9"/>
      <c r="M752" s="60"/>
      <c r="N752" s="59"/>
      <c r="O752" s="61"/>
      <c r="P752" s="59"/>
      <c r="Q752" s="59"/>
      <c r="R752" s="62"/>
      <c r="S752" s="63"/>
      <c r="T752" s="63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3"/>
      <c r="M753" s="54"/>
      <c r="N753" s="53"/>
      <c r="O753" s="55"/>
      <c r="P753" s="53"/>
      <c r="Q753" s="53"/>
      <c r="R753" s="56"/>
      <c r="S753" s="57"/>
      <c r="T753" s="57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9"/>
      <c r="M754" s="60"/>
      <c r="N754" s="59"/>
      <c r="O754" s="61"/>
      <c r="P754" s="59"/>
      <c r="Q754" s="59"/>
      <c r="R754" s="62"/>
      <c r="S754" s="63"/>
      <c r="T754" s="63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3"/>
      <c r="M755" s="54"/>
      <c r="N755" s="53"/>
      <c r="O755" s="55"/>
      <c r="P755" s="53"/>
      <c r="Q755" s="53"/>
      <c r="R755" s="56"/>
      <c r="S755" s="57"/>
      <c r="T755" s="57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9"/>
      <c r="M756" s="60"/>
      <c r="N756" s="59"/>
      <c r="O756" s="61"/>
      <c r="P756" s="59"/>
      <c r="Q756" s="59"/>
      <c r="R756" s="62"/>
      <c r="S756" s="63"/>
      <c r="T756" s="63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3"/>
      <c r="M757" s="54"/>
      <c r="N757" s="53"/>
      <c r="O757" s="55"/>
      <c r="P757" s="53"/>
      <c r="Q757" s="53"/>
      <c r="R757" s="56"/>
      <c r="S757" s="57"/>
      <c r="T757" s="57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9"/>
      <c r="M758" s="60"/>
      <c r="N758" s="59"/>
      <c r="O758" s="61"/>
      <c r="P758" s="59"/>
      <c r="Q758" s="59"/>
      <c r="R758" s="62"/>
      <c r="S758" s="63"/>
      <c r="T758" s="63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3"/>
      <c r="M759" s="54"/>
      <c r="N759" s="53"/>
      <c r="O759" s="55"/>
      <c r="P759" s="53"/>
      <c r="Q759" s="53"/>
      <c r="R759" s="56"/>
      <c r="S759" s="57"/>
      <c r="T759" s="57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9"/>
      <c r="M760" s="60"/>
      <c r="N760" s="59"/>
      <c r="O760" s="61"/>
      <c r="P760" s="59"/>
      <c r="Q760" s="59"/>
      <c r="R760" s="62"/>
      <c r="S760" s="63"/>
      <c r="T760" s="63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3"/>
      <c r="M761" s="54"/>
      <c r="N761" s="53"/>
      <c r="O761" s="55"/>
      <c r="P761" s="53"/>
      <c r="Q761" s="53"/>
      <c r="R761" s="56"/>
      <c r="S761" s="57"/>
      <c r="T761" s="57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9"/>
      <c r="M762" s="60"/>
      <c r="N762" s="59"/>
      <c r="O762" s="61"/>
      <c r="P762" s="59"/>
      <c r="Q762" s="59"/>
      <c r="R762" s="62"/>
      <c r="S762" s="63"/>
      <c r="T762" s="63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3"/>
      <c r="M763" s="54"/>
      <c r="N763" s="53"/>
      <c r="O763" s="55"/>
      <c r="P763" s="53"/>
      <c r="Q763" s="53"/>
      <c r="R763" s="56"/>
      <c r="S763" s="57"/>
      <c r="T763" s="57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9"/>
      <c r="M764" s="60"/>
      <c r="N764" s="59"/>
      <c r="O764" s="61"/>
      <c r="P764" s="59"/>
      <c r="Q764" s="59"/>
      <c r="R764" s="62"/>
      <c r="S764" s="63"/>
      <c r="T764" s="63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3"/>
      <c r="M765" s="54"/>
      <c r="N765" s="53"/>
      <c r="O765" s="55"/>
      <c r="P765" s="53"/>
      <c r="Q765" s="53"/>
      <c r="R765" s="56"/>
      <c r="S765" s="57"/>
      <c r="T765" s="57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9"/>
      <c r="M766" s="60"/>
      <c r="N766" s="59"/>
      <c r="O766" s="61"/>
      <c r="P766" s="59"/>
      <c r="Q766" s="59"/>
      <c r="R766" s="62"/>
      <c r="S766" s="63"/>
      <c r="T766" s="63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3"/>
      <c r="M767" s="54"/>
      <c r="N767" s="53"/>
      <c r="O767" s="55"/>
      <c r="P767" s="53"/>
      <c r="Q767" s="53"/>
      <c r="R767" s="56"/>
      <c r="S767" s="57"/>
      <c r="T767" s="57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9"/>
      <c r="M768" s="60"/>
      <c r="N768" s="59"/>
      <c r="O768" s="61"/>
      <c r="P768" s="59"/>
      <c r="Q768" s="59"/>
      <c r="R768" s="62"/>
      <c r="S768" s="63"/>
      <c r="T768" s="63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3"/>
      <c r="M769" s="54"/>
      <c r="N769" s="53"/>
      <c r="O769" s="55"/>
      <c r="P769" s="53"/>
      <c r="Q769" s="53"/>
      <c r="R769" s="56"/>
      <c r="S769" s="57"/>
      <c r="T769" s="57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9"/>
      <c r="M770" s="60"/>
      <c r="N770" s="59"/>
      <c r="O770" s="61"/>
      <c r="P770" s="59"/>
      <c r="Q770" s="59"/>
      <c r="R770" s="62"/>
      <c r="S770" s="63"/>
      <c r="T770" s="63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3"/>
      <c r="M771" s="54"/>
      <c r="N771" s="53"/>
      <c r="O771" s="55"/>
      <c r="P771" s="53"/>
      <c r="Q771" s="53"/>
      <c r="R771" s="56"/>
      <c r="S771" s="57"/>
      <c r="T771" s="57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9"/>
      <c r="M772" s="60"/>
      <c r="N772" s="59"/>
      <c r="O772" s="61"/>
      <c r="P772" s="59"/>
      <c r="Q772" s="59"/>
      <c r="R772" s="62"/>
      <c r="S772" s="63"/>
      <c r="T772" s="63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3"/>
      <c r="M773" s="54"/>
      <c r="N773" s="53"/>
      <c r="O773" s="55"/>
      <c r="P773" s="53"/>
      <c r="Q773" s="53"/>
      <c r="R773" s="56"/>
      <c r="S773" s="57"/>
      <c r="T773" s="57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9"/>
      <c r="M774" s="60"/>
      <c r="N774" s="59"/>
      <c r="O774" s="61"/>
      <c r="P774" s="59"/>
      <c r="Q774" s="59"/>
      <c r="R774" s="62"/>
      <c r="S774" s="63"/>
      <c r="T774" s="63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3"/>
      <c r="M775" s="54"/>
      <c r="N775" s="53"/>
      <c r="O775" s="55"/>
      <c r="P775" s="53"/>
      <c r="Q775" s="53"/>
      <c r="R775" s="56"/>
      <c r="S775" s="57"/>
      <c r="T775" s="57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9"/>
      <c r="M776" s="60"/>
      <c r="N776" s="59"/>
      <c r="O776" s="61"/>
      <c r="P776" s="59"/>
      <c r="Q776" s="59"/>
      <c r="R776" s="62"/>
      <c r="S776" s="63"/>
      <c r="T776" s="63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3"/>
      <c r="M777" s="54"/>
      <c r="N777" s="53"/>
      <c r="O777" s="55"/>
      <c r="P777" s="53"/>
      <c r="Q777" s="53"/>
      <c r="R777" s="56"/>
      <c r="S777" s="57"/>
      <c r="T777" s="57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9"/>
      <c r="M778" s="60"/>
      <c r="N778" s="59"/>
      <c r="O778" s="61"/>
      <c r="P778" s="59"/>
      <c r="Q778" s="59"/>
      <c r="R778" s="62"/>
      <c r="S778" s="63"/>
      <c r="T778" s="63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3"/>
      <c r="M779" s="54"/>
      <c r="N779" s="53"/>
      <c r="O779" s="55"/>
      <c r="P779" s="53"/>
      <c r="Q779" s="53"/>
      <c r="R779" s="56"/>
      <c r="S779" s="57"/>
      <c r="T779" s="57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9"/>
      <c r="M780" s="60"/>
      <c r="N780" s="59"/>
      <c r="O780" s="61"/>
      <c r="P780" s="59"/>
      <c r="Q780" s="59"/>
      <c r="R780" s="62"/>
      <c r="S780" s="63"/>
      <c r="T780" s="63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3"/>
      <c r="M781" s="54"/>
      <c r="N781" s="53"/>
      <c r="O781" s="55"/>
      <c r="P781" s="53"/>
      <c r="Q781" s="53"/>
      <c r="R781" s="56"/>
      <c r="S781" s="57"/>
      <c r="T781" s="57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9"/>
      <c r="M782" s="60"/>
      <c r="N782" s="59"/>
      <c r="O782" s="61"/>
      <c r="P782" s="59"/>
      <c r="Q782" s="59"/>
      <c r="R782" s="62"/>
      <c r="S782" s="63"/>
      <c r="T782" s="63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3"/>
      <c r="M783" s="54"/>
      <c r="N783" s="53"/>
      <c r="O783" s="55"/>
      <c r="P783" s="53"/>
      <c r="Q783" s="53"/>
      <c r="R783" s="56"/>
      <c r="S783" s="57"/>
      <c r="T783" s="57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9"/>
      <c r="M784" s="60"/>
      <c r="N784" s="59"/>
      <c r="O784" s="61"/>
      <c r="P784" s="59"/>
      <c r="Q784" s="59"/>
      <c r="R784" s="62"/>
      <c r="S784" s="63"/>
      <c r="T784" s="63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3"/>
      <c r="M785" s="54"/>
      <c r="N785" s="53"/>
      <c r="O785" s="55"/>
      <c r="P785" s="53"/>
      <c r="Q785" s="53"/>
      <c r="R785" s="56"/>
      <c r="S785" s="57"/>
      <c r="T785" s="57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9"/>
      <c r="M786" s="60"/>
      <c r="N786" s="59"/>
      <c r="O786" s="61"/>
      <c r="P786" s="59"/>
      <c r="Q786" s="59"/>
      <c r="R786" s="62"/>
      <c r="S786" s="63"/>
      <c r="T786" s="63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3"/>
      <c r="M787" s="54"/>
      <c r="N787" s="53"/>
      <c r="O787" s="55"/>
      <c r="P787" s="53"/>
      <c r="Q787" s="53"/>
      <c r="R787" s="56"/>
      <c r="S787" s="57"/>
      <c r="T787" s="57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9"/>
      <c r="M788" s="60"/>
      <c r="N788" s="59"/>
      <c r="O788" s="61"/>
      <c r="P788" s="59"/>
      <c r="Q788" s="59"/>
      <c r="R788" s="62"/>
      <c r="S788" s="63"/>
      <c r="T788" s="63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3"/>
      <c r="M789" s="54"/>
      <c r="N789" s="53"/>
      <c r="O789" s="55"/>
      <c r="P789" s="53"/>
      <c r="Q789" s="53"/>
      <c r="R789" s="56"/>
      <c r="S789" s="57"/>
      <c r="T789" s="57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9"/>
      <c r="M790" s="60"/>
      <c r="N790" s="59"/>
      <c r="O790" s="61"/>
      <c r="P790" s="59"/>
      <c r="Q790" s="59"/>
      <c r="R790" s="62"/>
      <c r="S790" s="63"/>
      <c r="T790" s="63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3"/>
      <c r="M791" s="54"/>
      <c r="N791" s="53"/>
      <c r="O791" s="55"/>
      <c r="P791" s="53"/>
      <c r="Q791" s="53"/>
      <c r="R791" s="56"/>
      <c r="S791" s="57"/>
      <c r="T791" s="57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9"/>
      <c r="M792" s="60"/>
      <c r="N792" s="59"/>
      <c r="O792" s="61"/>
      <c r="P792" s="59"/>
      <c r="Q792" s="59"/>
      <c r="R792" s="62"/>
      <c r="S792" s="63"/>
      <c r="T792" s="63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3"/>
      <c r="M793" s="54"/>
      <c r="N793" s="53"/>
      <c r="O793" s="55"/>
      <c r="P793" s="53"/>
      <c r="Q793" s="53"/>
      <c r="R793" s="56"/>
      <c r="S793" s="57"/>
      <c r="T793" s="57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9"/>
      <c r="M794" s="60"/>
      <c r="N794" s="59"/>
      <c r="O794" s="61"/>
      <c r="P794" s="59"/>
      <c r="Q794" s="59"/>
      <c r="R794" s="62"/>
      <c r="S794" s="63"/>
      <c r="T794" s="63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3"/>
      <c r="M795" s="54"/>
      <c r="N795" s="53"/>
      <c r="O795" s="55"/>
      <c r="P795" s="53"/>
      <c r="Q795" s="53"/>
      <c r="R795" s="56"/>
      <c r="S795" s="57"/>
      <c r="T795" s="57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9"/>
      <c r="M796" s="60"/>
      <c r="N796" s="59"/>
      <c r="O796" s="61"/>
      <c r="P796" s="59"/>
      <c r="Q796" s="59"/>
      <c r="R796" s="62"/>
      <c r="S796" s="63"/>
      <c r="T796" s="63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3"/>
      <c r="M797" s="54"/>
      <c r="N797" s="53"/>
      <c r="O797" s="55"/>
      <c r="P797" s="53"/>
      <c r="Q797" s="53"/>
      <c r="R797" s="56"/>
      <c r="S797" s="57"/>
      <c r="T797" s="57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9"/>
      <c r="M798" s="60"/>
      <c r="N798" s="59"/>
      <c r="O798" s="61"/>
      <c r="P798" s="59"/>
      <c r="Q798" s="59"/>
      <c r="R798" s="62"/>
      <c r="S798" s="63"/>
      <c r="T798" s="63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3"/>
      <c r="M799" s="54"/>
      <c r="N799" s="53"/>
      <c r="O799" s="55"/>
      <c r="P799" s="53"/>
      <c r="Q799" s="53"/>
      <c r="R799" s="56"/>
      <c r="S799" s="57"/>
      <c r="T799" s="57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9"/>
      <c r="M800" s="60"/>
      <c r="N800" s="59"/>
      <c r="O800" s="61"/>
      <c r="P800" s="59"/>
      <c r="Q800" s="59"/>
      <c r="R800" s="62"/>
      <c r="S800" s="63"/>
      <c r="T800" s="63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3"/>
      <c r="M801" s="54"/>
      <c r="N801" s="53"/>
      <c r="O801" s="55"/>
      <c r="P801" s="53"/>
      <c r="Q801" s="53"/>
      <c r="R801" s="56"/>
      <c r="S801" s="57"/>
      <c r="T801" s="57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9"/>
      <c r="M802" s="60"/>
      <c r="N802" s="59"/>
      <c r="O802" s="61"/>
      <c r="P802" s="59"/>
      <c r="Q802" s="59"/>
      <c r="R802" s="62"/>
      <c r="S802" s="63"/>
      <c r="T802" s="63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3"/>
      <c r="M803" s="54"/>
      <c r="N803" s="53"/>
      <c r="O803" s="55"/>
      <c r="P803" s="53"/>
      <c r="Q803" s="53"/>
      <c r="R803" s="56"/>
      <c r="S803" s="57"/>
      <c r="T803" s="57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9"/>
      <c r="M804" s="60"/>
      <c r="N804" s="59"/>
      <c r="O804" s="61"/>
      <c r="P804" s="59"/>
      <c r="Q804" s="59"/>
      <c r="R804" s="62"/>
      <c r="S804" s="63"/>
      <c r="T804" s="63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3"/>
      <c r="M805" s="54"/>
      <c r="N805" s="53"/>
      <c r="O805" s="55"/>
      <c r="P805" s="53"/>
      <c r="Q805" s="53"/>
      <c r="R805" s="56"/>
      <c r="S805" s="57"/>
      <c r="T805" s="57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9"/>
      <c r="M806" s="60"/>
      <c r="N806" s="59"/>
      <c r="O806" s="61"/>
      <c r="P806" s="59"/>
      <c r="Q806" s="59"/>
      <c r="R806" s="62"/>
      <c r="S806" s="63"/>
      <c r="T806" s="63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3"/>
      <c r="M807" s="54"/>
      <c r="N807" s="53"/>
      <c r="O807" s="55"/>
      <c r="P807" s="53"/>
      <c r="Q807" s="53"/>
      <c r="R807" s="56"/>
      <c r="S807" s="57"/>
      <c r="T807" s="57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9"/>
      <c r="M808" s="60"/>
      <c r="N808" s="59"/>
      <c r="O808" s="61"/>
      <c r="P808" s="59"/>
      <c r="Q808" s="59"/>
      <c r="R808" s="62"/>
      <c r="S808" s="63"/>
      <c r="T808" s="63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3"/>
      <c r="M809" s="54"/>
      <c r="N809" s="53"/>
      <c r="O809" s="55"/>
      <c r="P809" s="53"/>
      <c r="Q809" s="53"/>
      <c r="R809" s="56"/>
      <c r="S809" s="57"/>
      <c r="T809" s="57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9"/>
      <c r="M810" s="60"/>
      <c r="N810" s="59"/>
      <c r="O810" s="61"/>
      <c r="P810" s="59"/>
      <c r="Q810" s="59"/>
      <c r="R810" s="62"/>
      <c r="S810" s="63"/>
      <c r="T810" s="63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3"/>
      <c r="M811" s="54"/>
      <c r="N811" s="53"/>
      <c r="O811" s="55"/>
      <c r="P811" s="53"/>
      <c r="Q811" s="53"/>
      <c r="R811" s="56"/>
      <c r="S811" s="57"/>
      <c r="T811" s="57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9"/>
      <c r="M812" s="60"/>
      <c r="N812" s="59"/>
      <c r="O812" s="61"/>
      <c r="P812" s="59"/>
      <c r="Q812" s="59"/>
      <c r="R812" s="62"/>
      <c r="S812" s="63"/>
      <c r="T812" s="63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3"/>
      <c r="M813" s="54"/>
      <c r="N813" s="53"/>
      <c r="O813" s="55"/>
      <c r="P813" s="53"/>
      <c r="Q813" s="53"/>
      <c r="R813" s="56"/>
      <c r="S813" s="57"/>
      <c r="T813" s="57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9"/>
      <c r="M814" s="60"/>
      <c r="N814" s="59"/>
      <c r="O814" s="61"/>
      <c r="P814" s="59"/>
      <c r="Q814" s="59"/>
      <c r="R814" s="62"/>
      <c r="S814" s="63"/>
      <c r="T814" s="63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3"/>
      <c r="M815" s="54"/>
      <c r="N815" s="53"/>
      <c r="O815" s="55"/>
      <c r="P815" s="53"/>
      <c r="Q815" s="53"/>
      <c r="R815" s="56"/>
      <c r="S815" s="57"/>
      <c r="T815" s="57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9"/>
      <c r="M816" s="60"/>
      <c r="N816" s="59"/>
      <c r="O816" s="61"/>
      <c r="P816" s="59"/>
      <c r="Q816" s="59"/>
      <c r="R816" s="62"/>
      <c r="S816" s="63"/>
      <c r="T816" s="63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3"/>
      <c r="M817" s="54"/>
      <c r="N817" s="53"/>
      <c r="O817" s="55"/>
      <c r="P817" s="53"/>
      <c r="Q817" s="53"/>
      <c r="R817" s="56"/>
      <c r="S817" s="57"/>
      <c r="T817" s="57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9"/>
      <c r="M818" s="60"/>
      <c r="N818" s="59"/>
      <c r="O818" s="61"/>
      <c r="P818" s="59"/>
      <c r="Q818" s="59"/>
      <c r="R818" s="62"/>
      <c r="S818" s="63"/>
      <c r="T818" s="63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3"/>
      <c r="M819" s="54"/>
      <c r="N819" s="53"/>
      <c r="O819" s="55"/>
      <c r="P819" s="53"/>
      <c r="Q819" s="53"/>
      <c r="R819" s="56"/>
      <c r="S819" s="57"/>
      <c r="T819" s="57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9"/>
      <c r="M820" s="60"/>
      <c r="N820" s="59"/>
      <c r="O820" s="61"/>
      <c r="P820" s="59"/>
      <c r="Q820" s="59"/>
      <c r="R820" s="62"/>
      <c r="S820" s="63"/>
      <c r="T820" s="63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3"/>
      <c r="M821" s="54"/>
      <c r="N821" s="53"/>
      <c r="O821" s="55"/>
      <c r="P821" s="53"/>
      <c r="Q821" s="53"/>
      <c r="R821" s="56"/>
      <c r="S821" s="57"/>
      <c r="T821" s="57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9"/>
      <c r="M822" s="60"/>
      <c r="N822" s="59"/>
      <c r="O822" s="61"/>
      <c r="P822" s="59"/>
      <c r="Q822" s="59"/>
      <c r="R822" s="62"/>
      <c r="S822" s="63"/>
      <c r="T822" s="63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3"/>
      <c r="M823" s="54"/>
      <c r="N823" s="53"/>
      <c r="O823" s="55"/>
      <c r="P823" s="53"/>
      <c r="Q823" s="53"/>
      <c r="R823" s="56"/>
      <c r="S823" s="57"/>
      <c r="T823" s="57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9"/>
      <c r="M824" s="60"/>
      <c r="N824" s="59"/>
      <c r="O824" s="61"/>
      <c r="P824" s="59"/>
      <c r="Q824" s="59"/>
      <c r="R824" s="62"/>
      <c r="S824" s="63"/>
      <c r="T824" s="63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3"/>
      <c r="M825" s="54"/>
      <c r="N825" s="53"/>
      <c r="O825" s="55"/>
      <c r="P825" s="53"/>
      <c r="Q825" s="53"/>
      <c r="R825" s="56"/>
      <c r="S825" s="57"/>
      <c r="T825" s="57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9"/>
      <c r="M826" s="60"/>
      <c r="N826" s="59"/>
      <c r="O826" s="61"/>
      <c r="P826" s="59"/>
      <c r="Q826" s="59"/>
      <c r="R826" s="62"/>
      <c r="S826" s="63"/>
      <c r="T826" s="63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3"/>
      <c r="M827" s="54"/>
      <c r="N827" s="53"/>
      <c r="O827" s="55"/>
      <c r="P827" s="53"/>
      <c r="Q827" s="53"/>
      <c r="R827" s="56"/>
      <c r="S827" s="57"/>
      <c r="T827" s="57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9"/>
      <c r="M828" s="60"/>
      <c r="N828" s="59"/>
      <c r="O828" s="61"/>
      <c r="P828" s="59"/>
      <c r="Q828" s="59"/>
      <c r="R828" s="62"/>
      <c r="S828" s="63"/>
      <c r="T828" s="63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3"/>
      <c r="M829" s="54"/>
      <c r="N829" s="53"/>
      <c r="O829" s="55"/>
      <c r="P829" s="53"/>
      <c r="Q829" s="53"/>
      <c r="R829" s="56"/>
      <c r="S829" s="57"/>
      <c r="T829" s="57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9"/>
      <c r="M830" s="60"/>
      <c r="N830" s="59"/>
      <c r="O830" s="61"/>
      <c r="P830" s="59"/>
      <c r="Q830" s="59"/>
      <c r="R830" s="62"/>
      <c r="S830" s="63"/>
      <c r="T830" s="63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3"/>
      <c r="M831" s="54"/>
      <c r="N831" s="53"/>
      <c r="O831" s="55"/>
      <c r="P831" s="53"/>
      <c r="Q831" s="53"/>
      <c r="R831" s="56"/>
      <c r="S831" s="57"/>
      <c r="T831" s="57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9"/>
      <c r="M832" s="60"/>
      <c r="N832" s="59"/>
      <c r="O832" s="61"/>
      <c r="P832" s="59"/>
      <c r="Q832" s="59"/>
      <c r="R832" s="62"/>
      <c r="S832" s="63"/>
      <c r="T832" s="63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3"/>
      <c r="M833" s="54"/>
      <c r="N833" s="53"/>
      <c r="O833" s="55"/>
      <c r="P833" s="53"/>
      <c r="Q833" s="53"/>
      <c r="R833" s="56"/>
      <c r="S833" s="57"/>
      <c r="T833" s="57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9"/>
      <c r="M834" s="60"/>
      <c r="N834" s="59"/>
      <c r="O834" s="61"/>
      <c r="P834" s="59"/>
      <c r="Q834" s="59"/>
      <c r="R834" s="62"/>
      <c r="S834" s="63"/>
      <c r="T834" s="63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3"/>
      <c r="M835" s="54"/>
      <c r="N835" s="53"/>
      <c r="O835" s="55"/>
      <c r="P835" s="53"/>
      <c r="Q835" s="53"/>
      <c r="R835" s="56"/>
      <c r="S835" s="57"/>
      <c r="T835" s="57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9"/>
      <c r="M836" s="60"/>
      <c r="N836" s="59"/>
      <c r="O836" s="61"/>
      <c r="P836" s="59"/>
      <c r="Q836" s="59"/>
      <c r="R836" s="62"/>
      <c r="S836" s="63"/>
      <c r="T836" s="63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3"/>
      <c r="M837" s="54"/>
      <c r="N837" s="53"/>
      <c r="O837" s="55"/>
      <c r="P837" s="53"/>
      <c r="Q837" s="53"/>
      <c r="R837" s="56"/>
      <c r="S837" s="57"/>
      <c r="T837" s="57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9"/>
      <c r="M838" s="60"/>
      <c r="N838" s="59"/>
      <c r="O838" s="61"/>
      <c r="P838" s="59"/>
      <c r="Q838" s="59"/>
      <c r="R838" s="62"/>
      <c r="S838" s="63"/>
      <c r="T838" s="63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3"/>
      <c r="M839" s="54"/>
      <c r="N839" s="53"/>
      <c r="O839" s="55"/>
      <c r="P839" s="53"/>
      <c r="Q839" s="53"/>
      <c r="R839" s="56"/>
      <c r="S839" s="57"/>
      <c r="T839" s="57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9"/>
      <c r="M840" s="60"/>
      <c r="N840" s="59"/>
      <c r="O840" s="61"/>
      <c r="P840" s="59"/>
      <c r="Q840" s="59"/>
      <c r="R840" s="62"/>
      <c r="S840" s="63"/>
      <c r="T840" s="63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3"/>
      <c r="M841" s="54"/>
      <c r="N841" s="53"/>
      <c r="O841" s="55"/>
      <c r="P841" s="53"/>
      <c r="Q841" s="53"/>
      <c r="R841" s="56"/>
      <c r="S841" s="57"/>
      <c r="T841" s="57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9"/>
      <c r="M842" s="60"/>
      <c r="N842" s="59"/>
      <c r="O842" s="61"/>
      <c r="P842" s="59"/>
      <c r="Q842" s="59"/>
      <c r="R842" s="62"/>
      <c r="S842" s="63"/>
      <c r="T842" s="63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3"/>
      <c r="M843" s="54"/>
      <c r="N843" s="53"/>
      <c r="O843" s="55"/>
      <c r="P843" s="53"/>
      <c r="Q843" s="53"/>
      <c r="R843" s="56"/>
      <c r="S843" s="57"/>
      <c r="T843" s="57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9"/>
      <c r="M844" s="60"/>
      <c r="N844" s="59"/>
      <c r="O844" s="61"/>
      <c r="P844" s="59"/>
      <c r="Q844" s="59"/>
      <c r="R844" s="62"/>
      <c r="S844" s="63"/>
      <c r="T844" s="63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3"/>
      <c r="M845" s="54"/>
      <c r="N845" s="53"/>
      <c r="O845" s="55"/>
      <c r="P845" s="53"/>
      <c r="Q845" s="53"/>
      <c r="R845" s="56"/>
      <c r="S845" s="57"/>
      <c r="T845" s="57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9"/>
      <c r="M846" s="60"/>
      <c r="N846" s="59"/>
      <c r="O846" s="61"/>
      <c r="P846" s="59"/>
      <c r="Q846" s="59"/>
      <c r="R846" s="62"/>
      <c r="S846" s="63"/>
      <c r="T846" s="63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3"/>
      <c r="M847" s="54"/>
      <c r="N847" s="53"/>
      <c r="O847" s="55"/>
      <c r="P847" s="53"/>
      <c r="Q847" s="53"/>
      <c r="R847" s="56"/>
      <c r="S847" s="57"/>
      <c r="T847" s="57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9"/>
      <c r="M848" s="60"/>
      <c r="N848" s="59"/>
      <c r="O848" s="61"/>
      <c r="P848" s="59"/>
      <c r="Q848" s="59"/>
      <c r="R848" s="62"/>
      <c r="S848" s="63"/>
      <c r="T848" s="63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3"/>
      <c r="M849" s="54"/>
      <c r="N849" s="53"/>
      <c r="O849" s="55"/>
      <c r="P849" s="53"/>
      <c r="Q849" s="53"/>
      <c r="R849" s="56"/>
      <c r="S849" s="57"/>
      <c r="T849" s="57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9"/>
      <c r="M850" s="60"/>
      <c r="N850" s="59"/>
      <c r="O850" s="61"/>
      <c r="P850" s="59"/>
      <c r="Q850" s="59"/>
      <c r="R850" s="62"/>
      <c r="S850" s="63"/>
      <c r="T850" s="63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3"/>
      <c r="M851" s="54"/>
      <c r="N851" s="53"/>
      <c r="O851" s="55"/>
      <c r="P851" s="53"/>
      <c r="Q851" s="53"/>
      <c r="R851" s="56"/>
      <c r="S851" s="57"/>
      <c r="T851" s="57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9"/>
      <c r="M852" s="60"/>
      <c r="N852" s="59"/>
      <c r="O852" s="61"/>
      <c r="P852" s="59"/>
      <c r="Q852" s="59"/>
      <c r="R852" s="62"/>
      <c r="S852" s="63"/>
      <c r="T852" s="63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3"/>
      <c r="M853" s="54"/>
      <c r="N853" s="53"/>
      <c r="O853" s="55"/>
      <c r="P853" s="53"/>
      <c r="Q853" s="53"/>
      <c r="R853" s="56"/>
      <c r="S853" s="57"/>
      <c r="T853" s="57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9"/>
      <c r="M854" s="60"/>
      <c r="N854" s="59"/>
      <c r="O854" s="61"/>
      <c r="P854" s="59"/>
      <c r="Q854" s="59"/>
      <c r="R854" s="62"/>
      <c r="S854" s="63"/>
      <c r="T854" s="63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3"/>
      <c r="M855" s="54"/>
      <c r="N855" s="53"/>
      <c r="O855" s="55"/>
      <c r="P855" s="53"/>
      <c r="Q855" s="53"/>
      <c r="R855" s="56"/>
      <c r="S855" s="57"/>
      <c r="T855" s="57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9"/>
      <c r="M856" s="60"/>
      <c r="N856" s="59"/>
      <c r="O856" s="61"/>
      <c r="P856" s="59"/>
      <c r="Q856" s="59"/>
      <c r="R856" s="62"/>
      <c r="S856" s="63"/>
      <c r="T856" s="63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3"/>
      <c r="M857" s="54"/>
      <c r="N857" s="53"/>
      <c r="O857" s="55"/>
      <c r="P857" s="53"/>
      <c r="Q857" s="53"/>
      <c r="R857" s="56"/>
      <c r="S857" s="57"/>
      <c r="T857" s="57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9"/>
      <c r="M858" s="60"/>
      <c r="N858" s="59"/>
      <c r="O858" s="61"/>
      <c r="P858" s="59"/>
      <c r="Q858" s="59"/>
      <c r="R858" s="62"/>
      <c r="S858" s="63"/>
      <c r="T858" s="63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3"/>
      <c r="M859" s="54"/>
      <c r="N859" s="53"/>
      <c r="O859" s="55"/>
      <c r="P859" s="53"/>
      <c r="Q859" s="53"/>
      <c r="R859" s="56"/>
      <c r="S859" s="57"/>
      <c r="T859" s="57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9"/>
      <c r="M860" s="60"/>
      <c r="N860" s="59"/>
      <c r="O860" s="61"/>
      <c r="P860" s="59"/>
      <c r="Q860" s="59"/>
      <c r="R860" s="62"/>
      <c r="S860" s="63"/>
      <c r="T860" s="63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3"/>
      <c r="M861" s="54"/>
      <c r="N861" s="53"/>
      <c r="O861" s="55"/>
      <c r="P861" s="53"/>
      <c r="Q861" s="53"/>
      <c r="R861" s="56"/>
      <c r="S861" s="57"/>
      <c r="T861" s="57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9"/>
      <c r="M862" s="60"/>
      <c r="N862" s="59"/>
      <c r="O862" s="61"/>
      <c r="P862" s="59"/>
      <c r="Q862" s="59"/>
      <c r="R862" s="62"/>
      <c r="S862" s="63"/>
      <c r="T862" s="63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3"/>
      <c r="M863" s="54"/>
      <c r="N863" s="53"/>
      <c r="O863" s="55"/>
      <c r="P863" s="53"/>
      <c r="Q863" s="53"/>
      <c r="R863" s="56"/>
      <c r="S863" s="57"/>
      <c r="T863" s="57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9"/>
      <c r="M864" s="60"/>
      <c r="N864" s="59"/>
      <c r="O864" s="61"/>
      <c r="P864" s="59"/>
      <c r="Q864" s="59"/>
      <c r="R864" s="62"/>
      <c r="S864" s="63"/>
      <c r="T864" s="63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3"/>
      <c r="M865" s="54"/>
      <c r="N865" s="53"/>
      <c r="O865" s="55"/>
      <c r="P865" s="53"/>
      <c r="Q865" s="53"/>
      <c r="R865" s="56"/>
      <c r="S865" s="57"/>
      <c r="T865" s="57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9"/>
      <c r="M866" s="60"/>
      <c r="N866" s="59"/>
      <c r="O866" s="61"/>
      <c r="P866" s="59"/>
      <c r="Q866" s="59"/>
      <c r="R866" s="62"/>
      <c r="S866" s="63"/>
      <c r="T866" s="63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3"/>
      <c r="M867" s="54"/>
      <c r="N867" s="53"/>
      <c r="O867" s="55"/>
      <c r="P867" s="53"/>
      <c r="Q867" s="53"/>
      <c r="R867" s="56"/>
      <c r="S867" s="57"/>
      <c r="T867" s="57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9"/>
      <c r="M868" s="60"/>
      <c r="N868" s="59"/>
      <c r="O868" s="61"/>
      <c r="P868" s="59"/>
      <c r="Q868" s="59"/>
      <c r="R868" s="62"/>
      <c r="S868" s="63"/>
      <c r="T868" s="63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3"/>
      <c r="M869" s="54"/>
      <c r="N869" s="53"/>
      <c r="O869" s="55"/>
      <c r="P869" s="53"/>
      <c r="Q869" s="53"/>
      <c r="R869" s="56"/>
      <c r="S869" s="57"/>
      <c r="T869" s="57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9"/>
      <c r="M870" s="60"/>
      <c r="N870" s="59"/>
      <c r="O870" s="61"/>
      <c r="P870" s="59"/>
      <c r="Q870" s="59"/>
      <c r="R870" s="62"/>
      <c r="S870" s="63"/>
      <c r="T870" s="63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3"/>
      <c r="M871" s="54"/>
      <c r="N871" s="53"/>
      <c r="O871" s="55"/>
      <c r="P871" s="53"/>
      <c r="Q871" s="53"/>
      <c r="R871" s="56"/>
      <c r="S871" s="57"/>
      <c r="T871" s="57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9"/>
      <c r="M872" s="60"/>
      <c r="N872" s="59"/>
      <c r="O872" s="61"/>
      <c r="P872" s="59"/>
      <c r="Q872" s="59"/>
      <c r="R872" s="62"/>
      <c r="S872" s="63"/>
      <c r="T872" s="63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3"/>
      <c r="M873" s="54"/>
      <c r="N873" s="53"/>
      <c r="O873" s="55"/>
      <c r="P873" s="53"/>
      <c r="Q873" s="53"/>
      <c r="R873" s="56"/>
      <c r="S873" s="57"/>
      <c r="T873" s="57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9"/>
      <c r="M874" s="60"/>
      <c r="N874" s="59"/>
      <c r="O874" s="61"/>
      <c r="P874" s="59"/>
      <c r="Q874" s="59"/>
      <c r="R874" s="62"/>
      <c r="S874" s="63"/>
      <c r="T874" s="63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3"/>
      <c r="M875" s="54"/>
      <c r="N875" s="53"/>
      <c r="O875" s="55"/>
      <c r="P875" s="53"/>
      <c r="Q875" s="53"/>
      <c r="R875" s="56"/>
      <c r="S875" s="57"/>
      <c r="T875" s="57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9"/>
      <c r="M876" s="60"/>
      <c r="N876" s="59"/>
      <c r="O876" s="61"/>
      <c r="P876" s="59"/>
      <c r="Q876" s="59"/>
      <c r="R876" s="62"/>
      <c r="S876" s="63"/>
      <c r="T876" s="63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3"/>
      <c r="M877" s="54"/>
      <c r="N877" s="53"/>
      <c r="O877" s="55"/>
      <c r="P877" s="53"/>
      <c r="Q877" s="53"/>
      <c r="R877" s="56"/>
      <c r="S877" s="57"/>
      <c r="T877" s="57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9"/>
      <c r="M878" s="60"/>
      <c r="N878" s="59"/>
      <c r="O878" s="61"/>
      <c r="P878" s="59"/>
      <c r="Q878" s="59"/>
      <c r="R878" s="62"/>
      <c r="S878" s="63"/>
      <c r="T878" s="63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3"/>
      <c r="M879" s="54"/>
      <c r="N879" s="53"/>
      <c r="O879" s="55"/>
      <c r="P879" s="53"/>
      <c r="Q879" s="53"/>
      <c r="R879" s="56"/>
      <c r="S879" s="57"/>
      <c r="T879" s="57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9"/>
      <c r="M880" s="60"/>
      <c r="N880" s="59"/>
      <c r="O880" s="61"/>
      <c r="P880" s="59"/>
      <c r="Q880" s="59"/>
      <c r="R880" s="62"/>
      <c r="S880" s="63"/>
      <c r="T880" s="63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3"/>
      <c r="M881" s="54"/>
      <c r="N881" s="53"/>
      <c r="O881" s="55"/>
      <c r="P881" s="53"/>
      <c r="Q881" s="53"/>
      <c r="R881" s="56"/>
      <c r="S881" s="57"/>
      <c r="T881" s="57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9"/>
      <c r="M882" s="60"/>
      <c r="N882" s="59"/>
      <c r="O882" s="61"/>
      <c r="P882" s="59"/>
      <c r="Q882" s="59"/>
      <c r="R882" s="62"/>
      <c r="S882" s="63"/>
      <c r="T882" s="63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3"/>
      <c r="M883" s="54"/>
      <c r="N883" s="53"/>
      <c r="O883" s="55"/>
      <c r="P883" s="53"/>
      <c r="Q883" s="53"/>
      <c r="R883" s="56"/>
      <c r="S883" s="57"/>
      <c r="T883" s="57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9"/>
      <c r="M884" s="60"/>
      <c r="N884" s="59"/>
      <c r="O884" s="61"/>
      <c r="P884" s="59"/>
      <c r="Q884" s="59"/>
      <c r="R884" s="62"/>
      <c r="S884" s="63"/>
      <c r="T884" s="63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3"/>
      <c r="M885" s="54"/>
      <c r="N885" s="53"/>
      <c r="O885" s="55"/>
      <c r="P885" s="53"/>
      <c r="Q885" s="53"/>
      <c r="R885" s="56"/>
      <c r="S885" s="57"/>
      <c r="T885" s="57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9"/>
      <c r="M886" s="60"/>
      <c r="N886" s="59"/>
      <c r="O886" s="61"/>
      <c r="P886" s="59"/>
      <c r="Q886" s="59"/>
      <c r="R886" s="62"/>
      <c r="S886" s="63"/>
      <c r="T886" s="63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3"/>
      <c r="M887" s="54"/>
      <c r="N887" s="53"/>
      <c r="O887" s="55"/>
      <c r="P887" s="53"/>
      <c r="Q887" s="53"/>
      <c r="R887" s="56"/>
      <c r="S887" s="57"/>
      <c r="T887" s="57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9"/>
      <c r="M888" s="60"/>
      <c r="N888" s="59"/>
      <c r="O888" s="61"/>
      <c r="P888" s="59"/>
      <c r="Q888" s="59"/>
      <c r="R888" s="62"/>
      <c r="S888" s="63"/>
      <c r="T888" s="63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3"/>
      <c r="M889" s="54"/>
      <c r="N889" s="53"/>
      <c r="O889" s="55"/>
      <c r="P889" s="53"/>
      <c r="Q889" s="53"/>
      <c r="R889" s="56"/>
      <c r="S889" s="57"/>
      <c r="T889" s="57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9"/>
      <c r="M890" s="60"/>
      <c r="N890" s="59"/>
      <c r="O890" s="61"/>
      <c r="P890" s="59"/>
      <c r="Q890" s="59"/>
      <c r="R890" s="62"/>
      <c r="S890" s="63"/>
      <c r="T890" s="63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3"/>
      <c r="M891" s="54"/>
      <c r="N891" s="53"/>
      <c r="O891" s="55"/>
      <c r="P891" s="53"/>
      <c r="Q891" s="53"/>
      <c r="R891" s="56"/>
      <c r="S891" s="57"/>
      <c r="T891" s="57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9"/>
      <c r="M892" s="60"/>
      <c r="N892" s="59"/>
      <c r="O892" s="61"/>
      <c r="P892" s="59"/>
      <c r="Q892" s="59"/>
      <c r="R892" s="62"/>
      <c r="S892" s="63"/>
      <c r="T892" s="63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3"/>
      <c r="M893" s="54"/>
      <c r="N893" s="53"/>
      <c r="O893" s="55"/>
      <c r="P893" s="53"/>
      <c r="Q893" s="53"/>
      <c r="R893" s="56"/>
      <c r="S893" s="57"/>
      <c r="T893" s="57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9"/>
      <c r="M894" s="60"/>
      <c r="N894" s="59"/>
      <c r="O894" s="61"/>
      <c r="P894" s="59"/>
      <c r="Q894" s="59"/>
      <c r="R894" s="62"/>
      <c r="S894" s="63"/>
      <c r="T894" s="63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3"/>
      <c r="M895" s="54"/>
      <c r="N895" s="53"/>
      <c r="O895" s="55"/>
      <c r="P895" s="53"/>
      <c r="Q895" s="53"/>
      <c r="R895" s="56"/>
      <c r="S895" s="57"/>
      <c r="T895" s="57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9"/>
      <c r="M896" s="60"/>
      <c r="N896" s="59"/>
      <c r="O896" s="61"/>
      <c r="P896" s="59"/>
      <c r="Q896" s="59"/>
      <c r="R896" s="62"/>
      <c r="S896" s="63"/>
      <c r="T896" s="63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3"/>
      <c r="M897" s="54"/>
      <c r="N897" s="53"/>
      <c r="O897" s="55"/>
      <c r="P897" s="53"/>
      <c r="Q897" s="53"/>
      <c r="R897" s="56"/>
      <c r="S897" s="57"/>
      <c r="T897" s="57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9"/>
      <c r="M898" s="60"/>
      <c r="N898" s="59"/>
      <c r="O898" s="61"/>
      <c r="P898" s="59"/>
      <c r="Q898" s="59"/>
      <c r="R898" s="62"/>
      <c r="S898" s="63"/>
      <c r="T898" s="63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3"/>
      <c r="M899" s="54"/>
      <c r="N899" s="53"/>
      <c r="O899" s="55"/>
      <c r="P899" s="53"/>
      <c r="Q899" s="53"/>
      <c r="R899" s="56"/>
      <c r="S899" s="57"/>
      <c r="T899" s="57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9"/>
      <c r="M900" s="60"/>
      <c r="N900" s="59"/>
      <c r="O900" s="61"/>
      <c r="P900" s="59"/>
      <c r="Q900" s="59"/>
      <c r="R900" s="62"/>
      <c r="S900" s="63"/>
      <c r="T900" s="63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3"/>
      <c r="M901" s="54"/>
      <c r="N901" s="53"/>
      <c r="O901" s="55"/>
      <c r="P901" s="53"/>
      <c r="Q901" s="53"/>
      <c r="R901" s="56"/>
      <c r="S901" s="57"/>
      <c r="T901" s="57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9"/>
      <c r="M902" s="60"/>
      <c r="N902" s="59"/>
      <c r="O902" s="61"/>
      <c r="P902" s="59"/>
      <c r="Q902" s="59"/>
      <c r="R902" s="62"/>
      <c r="S902" s="63"/>
      <c r="T902" s="63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3"/>
      <c r="M903" s="54"/>
      <c r="N903" s="53"/>
      <c r="O903" s="55"/>
      <c r="P903" s="53"/>
      <c r="Q903" s="53"/>
      <c r="R903" s="56"/>
      <c r="S903" s="57"/>
      <c r="T903" s="57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9"/>
      <c r="M904" s="60"/>
      <c r="N904" s="59"/>
      <c r="O904" s="61"/>
      <c r="P904" s="59"/>
      <c r="Q904" s="59"/>
      <c r="R904" s="62"/>
      <c r="S904" s="63"/>
      <c r="T904" s="63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3"/>
      <c r="M905" s="54"/>
      <c r="N905" s="53"/>
      <c r="O905" s="55"/>
      <c r="P905" s="53"/>
      <c r="Q905" s="53"/>
      <c r="R905" s="56"/>
      <c r="S905" s="57"/>
      <c r="T905" s="57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9"/>
      <c r="M906" s="60"/>
      <c r="N906" s="59"/>
      <c r="O906" s="61"/>
      <c r="P906" s="59"/>
      <c r="Q906" s="59"/>
      <c r="R906" s="62"/>
      <c r="S906" s="63"/>
      <c r="T906" s="63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3"/>
      <c r="M907" s="54"/>
      <c r="N907" s="53"/>
      <c r="O907" s="55"/>
      <c r="P907" s="53"/>
      <c r="Q907" s="53"/>
      <c r="R907" s="56"/>
      <c r="S907" s="57"/>
      <c r="T907" s="57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9"/>
      <c r="M908" s="60"/>
      <c r="N908" s="59"/>
      <c r="O908" s="61"/>
      <c r="P908" s="59"/>
      <c r="Q908" s="59"/>
      <c r="R908" s="62"/>
      <c r="S908" s="63"/>
      <c r="T908" s="63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3"/>
      <c r="M909" s="54"/>
      <c r="N909" s="53"/>
      <c r="O909" s="55"/>
      <c r="P909" s="53"/>
      <c r="Q909" s="53"/>
      <c r="R909" s="56"/>
      <c r="S909" s="57"/>
      <c r="T909" s="57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9"/>
      <c r="M910" s="60"/>
      <c r="N910" s="59"/>
      <c r="O910" s="61"/>
      <c r="P910" s="59"/>
      <c r="Q910" s="59"/>
      <c r="R910" s="62"/>
      <c r="S910" s="63"/>
      <c r="T910" s="63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3"/>
      <c r="M911" s="54"/>
      <c r="N911" s="53"/>
      <c r="O911" s="55"/>
      <c r="P911" s="53"/>
      <c r="Q911" s="53"/>
      <c r="R911" s="56"/>
      <c r="S911" s="57"/>
      <c r="T911" s="57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9"/>
      <c r="M912" s="60"/>
      <c r="N912" s="59"/>
      <c r="O912" s="61"/>
      <c r="P912" s="59"/>
      <c r="Q912" s="59"/>
      <c r="R912" s="62"/>
      <c r="S912" s="63"/>
      <c r="T912" s="63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3"/>
      <c r="M913" s="54"/>
      <c r="N913" s="53"/>
      <c r="O913" s="55"/>
      <c r="P913" s="53"/>
      <c r="Q913" s="53"/>
      <c r="R913" s="56"/>
      <c r="S913" s="57"/>
      <c r="T913" s="57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9"/>
      <c r="M914" s="60"/>
      <c r="N914" s="59"/>
      <c r="O914" s="61"/>
      <c r="P914" s="59"/>
      <c r="Q914" s="59"/>
      <c r="R914" s="62"/>
      <c r="S914" s="63"/>
      <c r="T914" s="63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3"/>
      <c r="M915" s="54"/>
      <c r="N915" s="53"/>
      <c r="O915" s="55"/>
      <c r="P915" s="53"/>
      <c r="Q915" s="53"/>
      <c r="R915" s="56"/>
      <c r="S915" s="57"/>
      <c r="T915" s="57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9"/>
      <c r="M916" s="60"/>
      <c r="N916" s="59"/>
      <c r="O916" s="61"/>
      <c r="P916" s="59"/>
      <c r="Q916" s="59"/>
      <c r="R916" s="62"/>
      <c r="S916" s="63"/>
      <c r="T916" s="63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3"/>
      <c r="M917" s="54"/>
      <c r="N917" s="53"/>
      <c r="O917" s="55"/>
      <c r="P917" s="53"/>
      <c r="Q917" s="53"/>
      <c r="R917" s="56"/>
      <c r="S917" s="57"/>
      <c r="T917" s="57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9"/>
      <c r="M918" s="60"/>
      <c r="N918" s="59"/>
      <c r="O918" s="61"/>
      <c r="P918" s="59"/>
      <c r="Q918" s="59"/>
      <c r="R918" s="62"/>
      <c r="S918" s="63"/>
      <c r="T918" s="63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3"/>
      <c r="M919" s="54"/>
      <c r="N919" s="53"/>
      <c r="O919" s="55"/>
      <c r="P919" s="53"/>
      <c r="Q919" s="53"/>
      <c r="R919" s="56"/>
      <c r="S919" s="57"/>
      <c r="T919" s="57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9"/>
      <c r="M920" s="60"/>
      <c r="N920" s="59"/>
      <c r="O920" s="61"/>
      <c r="P920" s="59"/>
      <c r="Q920" s="59"/>
      <c r="R920" s="62"/>
      <c r="S920" s="63"/>
      <c r="T920" s="63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3"/>
      <c r="M921" s="54"/>
      <c r="N921" s="53"/>
      <c r="O921" s="55"/>
      <c r="P921" s="53"/>
      <c r="Q921" s="53"/>
      <c r="R921" s="56"/>
      <c r="S921" s="57"/>
      <c r="T921" s="57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9"/>
      <c r="M922" s="60"/>
      <c r="N922" s="59"/>
      <c r="O922" s="61"/>
      <c r="P922" s="59"/>
      <c r="Q922" s="59"/>
      <c r="R922" s="62"/>
      <c r="S922" s="63"/>
      <c r="T922" s="63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3"/>
      <c r="M923" s="54"/>
      <c r="N923" s="53"/>
      <c r="O923" s="55"/>
      <c r="P923" s="53"/>
      <c r="Q923" s="53"/>
      <c r="R923" s="56"/>
      <c r="S923" s="57"/>
      <c r="T923" s="57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9"/>
      <c r="M924" s="60"/>
      <c r="N924" s="59"/>
      <c r="O924" s="61"/>
      <c r="P924" s="59"/>
      <c r="Q924" s="59"/>
      <c r="R924" s="62"/>
      <c r="S924" s="63"/>
      <c r="T924" s="63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3"/>
      <c r="M925" s="54"/>
      <c r="N925" s="53"/>
      <c r="O925" s="55"/>
      <c r="P925" s="53"/>
      <c r="Q925" s="53"/>
      <c r="R925" s="56"/>
      <c r="S925" s="57"/>
      <c r="T925" s="57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9"/>
      <c r="M926" s="60"/>
      <c r="N926" s="59"/>
      <c r="O926" s="61"/>
      <c r="P926" s="59"/>
      <c r="Q926" s="59"/>
      <c r="R926" s="62"/>
      <c r="S926" s="63"/>
      <c r="T926" s="63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3"/>
      <c r="M927" s="54"/>
      <c r="N927" s="53"/>
      <c r="O927" s="55"/>
      <c r="P927" s="53"/>
      <c r="Q927" s="53"/>
      <c r="R927" s="56"/>
      <c r="S927" s="57"/>
      <c r="T927" s="57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9"/>
      <c r="M928" s="60"/>
      <c r="N928" s="59"/>
      <c r="O928" s="61"/>
      <c r="P928" s="59"/>
      <c r="Q928" s="59"/>
      <c r="R928" s="62"/>
      <c r="S928" s="63"/>
      <c r="T928" s="63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3"/>
      <c r="M929" s="54"/>
      <c r="N929" s="53"/>
      <c r="O929" s="55"/>
      <c r="P929" s="53"/>
      <c r="Q929" s="53"/>
      <c r="R929" s="56"/>
      <c r="S929" s="57"/>
      <c r="T929" s="57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9"/>
      <c r="M930" s="60"/>
      <c r="N930" s="59"/>
      <c r="O930" s="61"/>
      <c r="P930" s="59"/>
      <c r="Q930" s="59"/>
      <c r="R930" s="62"/>
      <c r="S930" s="63"/>
      <c r="T930" s="63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3"/>
      <c r="M931" s="54"/>
      <c r="N931" s="53"/>
      <c r="O931" s="55"/>
      <c r="P931" s="53"/>
      <c r="Q931" s="53"/>
      <c r="R931" s="56"/>
      <c r="S931" s="57"/>
      <c r="T931" s="57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9"/>
      <c r="M932" s="60"/>
      <c r="N932" s="59"/>
      <c r="O932" s="61"/>
      <c r="P932" s="59"/>
      <c r="Q932" s="59"/>
      <c r="R932" s="62"/>
      <c r="S932" s="63"/>
      <c r="T932" s="63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3"/>
      <c r="M933" s="54"/>
      <c r="N933" s="53"/>
      <c r="O933" s="55"/>
      <c r="P933" s="53"/>
      <c r="Q933" s="53"/>
      <c r="R933" s="56"/>
      <c r="S933" s="57"/>
      <c r="T933" s="57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9"/>
      <c r="M934" s="60"/>
      <c r="N934" s="59"/>
      <c r="O934" s="61"/>
      <c r="P934" s="59"/>
      <c r="Q934" s="59"/>
      <c r="R934" s="62"/>
      <c r="S934" s="63"/>
      <c r="T934" s="63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3"/>
      <c r="M935" s="54"/>
      <c r="N935" s="53"/>
      <c r="O935" s="55"/>
      <c r="P935" s="53"/>
      <c r="Q935" s="53"/>
      <c r="R935" s="56"/>
      <c r="S935" s="57"/>
      <c r="T935" s="57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9"/>
      <c r="M936" s="60"/>
      <c r="N936" s="59"/>
      <c r="O936" s="61"/>
      <c r="P936" s="59"/>
      <c r="Q936" s="59"/>
      <c r="R936" s="62"/>
      <c r="S936" s="63"/>
      <c r="T936" s="63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3"/>
      <c r="M937" s="54"/>
      <c r="N937" s="53"/>
      <c r="O937" s="55"/>
      <c r="P937" s="53"/>
      <c r="Q937" s="53"/>
      <c r="R937" s="56"/>
      <c r="S937" s="57"/>
      <c r="T937" s="57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9"/>
      <c r="M938" s="60"/>
      <c r="N938" s="59"/>
      <c r="O938" s="61"/>
      <c r="P938" s="59"/>
      <c r="Q938" s="59"/>
      <c r="R938" s="62"/>
      <c r="S938" s="63"/>
      <c r="T938" s="63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3"/>
      <c r="M939" s="54"/>
      <c r="N939" s="53"/>
      <c r="O939" s="55"/>
      <c r="P939" s="53"/>
      <c r="Q939" s="53"/>
      <c r="R939" s="56"/>
      <c r="S939" s="57"/>
      <c r="T939" s="57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9"/>
      <c r="M940" s="60"/>
      <c r="N940" s="59"/>
      <c r="O940" s="61"/>
      <c r="P940" s="59"/>
      <c r="Q940" s="59"/>
      <c r="R940" s="62"/>
      <c r="S940" s="63"/>
      <c r="T940" s="63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3"/>
      <c r="M941" s="54"/>
      <c r="N941" s="53"/>
      <c r="O941" s="55"/>
      <c r="P941" s="53"/>
      <c r="Q941" s="53"/>
      <c r="R941" s="56"/>
      <c r="S941" s="57"/>
      <c r="T941" s="57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9"/>
      <c r="M942" s="60"/>
      <c r="N942" s="59"/>
      <c r="O942" s="61"/>
      <c r="P942" s="59"/>
      <c r="Q942" s="59"/>
      <c r="R942" s="62"/>
      <c r="S942" s="63"/>
      <c r="T942" s="63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3"/>
      <c r="M943" s="54"/>
      <c r="N943" s="53"/>
      <c r="O943" s="55"/>
      <c r="P943" s="53"/>
      <c r="Q943" s="53"/>
      <c r="R943" s="56"/>
      <c r="S943" s="57"/>
      <c r="T943" s="57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9"/>
      <c r="M944" s="60"/>
      <c r="N944" s="59"/>
      <c r="O944" s="61"/>
      <c r="P944" s="59"/>
      <c r="Q944" s="59"/>
      <c r="R944" s="62"/>
      <c r="S944" s="63"/>
      <c r="T944" s="63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3"/>
      <c r="M945" s="54"/>
      <c r="N945" s="53"/>
      <c r="O945" s="55"/>
      <c r="P945" s="53"/>
      <c r="Q945" s="53"/>
      <c r="R945" s="56"/>
      <c r="S945" s="57"/>
      <c r="T945" s="57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9"/>
      <c r="M946" s="60"/>
      <c r="N946" s="59"/>
      <c r="O946" s="61"/>
      <c r="P946" s="59"/>
      <c r="Q946" s="59"/>
      <c r="R946" s="62"/>
      <c r="S946" s="63"/>
      <c r="T946" s="63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3"/>
      <c r="M947" s="54"/>
      <c r="N947" s="53"/>
      <c r="O947" s="55"/>
      <c r="P947" s="53"/>
      <c r="Q947" s="53"/>
      <c r="R947" s="56"/>
      <c r="S947" s="57"/>
      <c r="T947" s="57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9"/>
      <c r="M948" s="60"/>
      <c r="N948" s="59"/>
      <c r="O948" s="61"/>
      <c r="P948" s="59"/>
      <c r="Q948" s="59"/>
      <c r="R948" s="62"/>
      <c r="S948" s="63"/>
      <c r="T948" s="63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3"/>
      <c r="M949" s="54"/>
      <c r="N949" s="53"/>
      <c r="O949" s="55"/>
      <c r="P949" s="53"/>
      <c r="Q949" s="53"/>
      <c r="R949" s="56"/>
      <c r="S949" s="57"/>
      <c r="T949" s="57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9"/>
      <c r="M950" s="60"/>
      <c r="N950" s="59"/>
      <c r="O950" s="61"/>
      <c r="P950" s="59"/>
      <c r="Q950" s="59"/>
      <c r="R950" s="62"/>
      <c r="S950" s="63"/>
      <c r="T950" s="63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3"/>
      <c r="M951" s="54"/>
      <c r="N951" s="53"/>
      <c r="O951" s="55"/>
      <c r="P951" s="53"/>
      <c r="Q951" s="53"/>
      <c r="R951" s="56"/>
      <c r="S951" s="57"/>
      <c r="T951" s="57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9"/>
      <c r="M952" s="60"/>
      <c r="N952" s="59"/>
      <c r="O952" s="61"/>
      <c r="P952" s="59"/>
      <c r="Q952" s="59"/>
      <c r="R952" s="62"/>
      <c r="S952" s="63"/>
      <c r="T952" s="63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3"/>
      <c r="M953" s="54"/>
      <c r="N953" s="53"/>
      <c r="O953" s="55"/>
      <c r="P953" s="53"/>
      <c r="Q953" s="53"/>
      <c r="R953" s="56"/>
      <c r="S953" s="57"/>
      <c r="T953" s="57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9"/>
      <c r="M954" s="60"/>
      <c r="N954" s="59"/>
      <c r="O954" s="61"/>
      <c r="P954" s="59"/>
      <c r="Q954" s="59"/>
      <c r="R954" s="62"/>
      <c r="S954" s="63"/>
      <c r="T954" s="63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3"/>
      <c r="M955" s="54"/>
      <c r="N955" s="53"/>
      <c r="O955" s="55"/>
      <c r="P955" s="53"/>
      <c r="Q955" s="53"/>
      <c r="R955" s="56"/>
      <c r="S955" s="57"/>
      <c r="T955" s="57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9"/>
      <c r="M956" s="60"/>
      <c r="N956" s="59"/>
      <c r="O956" s="61"/>
      <c r="P956" s="59"/>
      <c r="Q956" s="59"/>
      <c r="R956" s="62"/>
      <c r="S956" s="63"/>
      <c r="T956" s="63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3"/>
      <c r="M957" s="54"/>
      <c r="N957" s="53"/>
      <c r="O957" s="55"/>
      <c r="P957" s="53"/>
      <c r="Q957" s="53"/>
      <c r="R957" s="56"/>
      <c r="S957" s="57"/>
      <c r="T957" s="57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9"/>
      <c r="M958" s="60"/>
      <c r="N958" s="59"/>
      <c r="O958" s="61"/>
      <c r="P958" s="59"/>
      <c r="Q958" s="59"/>
      <c r="R958" s="62"/>
      <c r="S958" s="63"/>
      <c r="T958" s="63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3"/>
      <c r="M959" s="54"/>
      <c r="N959" s="53"/>
      <c r="O959" s="55"/>
      <c r="P959" s="53"/>
      <c r="Q959" s="53"/>
      <c r="R959" s="56"/>
      <c r="S959" s="57"/>
      <c r="T959" s="57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9"/>
      <c r="M960" s="60"/>
      <c r="N960" s="59"/>
      <c r="O960" s="61"/>
      <c r="P960" s="59"/>
      <c r="Q960" s="59"/>
      <c r="R960" s="62"/>
      <c r="S960" s="63"/>
      <c r="T960" s="63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3"/>
      <c r="M961" s="54"/>
      <c r="N961" s="53"/>
      <c r="O961" s="55"/>
      <c r="P961" s="53"/>
      <c r="Q961" s="53"/>
      <c r="R961" s="56"/>
      <c r="S961" s="57"/>
      <c r="T961" s="57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9"/>
      <c r="M962" s="60"/>
      <c r="N962" s="59"/>
      <c r="O962" s="61"/>
      <c r="P962" s="59"/>
      <c r="Q962" s="59"/>
      <c r="R962" s="62"/>
      <c r="S962" s="63"/>
      <c r="T962" s="63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3"/>
      <c r="M963" s="54"/>
      <c r="N963" s="53"/>
      <c r="O963" s="55"/>
      <c r="P963" s="53"/>
      <c r="Q963" s="53"/>
      <c r="R963" s="56"/>
      <c r="S963" s="57"/>
      <c r="T963" s="57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9"/>
      <c r="M964" s="60"/>
      <c r="N964" s="59"/>
      <c r="O964" s="61"/>
      <c r="P964" s="59"/>
      <c r="Q964" s="59"/>
      <c r="R964" s="62"/>
      <c r="S964" s="63"/>
      <c r="T964" s="63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3"/>
      <c r="M965" s="54"/>
      <c r="N965" s="53"/>
      <c r="O965" s="55"/>
      <c r="P965" s="53"/>
      <c r="Q965" s="53"/>
      <c r="R965" s="56"/>
      <c r="S965" s="57"/>
      <c r="T965" s="57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9"/>
      <c r="M966" s="60"/>
      <c r="N966" s="59"/>
      <c r="O966" s="61"/>
      <c r="P966" s="59"/>
      <c r="Q966" s="59"/>
      <c r="R966" s="62"/>
      <c r="S966" s="63"/>
      <c r="T966" s="63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3"/>
      <c r="M967" s="54"/>
      <c r="N967" s="53"/>
      <c r="O967" s="55"/>
      <c r="P967" s="53"/>
      <c r="Q967" s="53"/>
      <c r="R967" s="56"/>
      <c r="S967" s="57"/>
      <c r="T967" s="57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9"/>
      <c r="M968" s="60"/>
      <c r="N968" s="59"/>
      <c r="O968" s="61"/>
      <c r="P968" s="59"/>
      <c r="Q968" s="59"/>
      <c r="R968" s="62"/>
      <c r="S968" s="63"/>
      <c r="T968" s="63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3"/>
      <c r="M969" s="54"/>
      <c r="N969" s="53"/>
      <c r="O969" s="55"/>
      <c r="P969" s="53"/>
      <c r="Q969" s="53"/>
      <c r="R969" s="56"/>
      <c r="S969" s="57"/>
      <c r="T969" s="57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9"/>
      <c r="M970" s="60"/>
      <c r="N970" s="59"/>
      <c r="O970" s="61"/>
      <c r="P970" s="59"/>
      <c r="Q970" s="59"/>
      <c r="R970" s="62"/>
      <c r="S970" s="63"/>
      <c r="T970" s="63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3"/>
      <c r="M971" s="54"/>
      <c r="N971" s="53"/>
      <c r="O971" s="55"/>
      <c r="P971" s="53"/>
      <c r="Q971" s="53"/>
      <c r="R971" s="56"/>
      <c r="S971" s="57"/>
      <c r="T971" s="57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9"/>
      <c r="M972" s="60"/>
      <c r="N972" s="59"/>
      <c r="O972" s="61"/>
      <c r="P972" s="59"/>
      <c r="Q972" s="59"/>
      <c r="R972" s="62"/>
      <c r="S972" s="63"/>
      <c r="T972" s="63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3"/>
      <c r="M973" s="54"/>
      <c r="N973" s="53"/>
      <c r="O973" s="55"/>
      <c r="P973" s="53"/>
      <c r="Q973" s="53"/>
      <c r="R973" s="56"/>
      <c r="S973" s="57"/>
      <c r="T973" s="57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9"/>
      <c r="M974" s="60"/>
      <c r="N974" s="59"/>
      <c r="O974" s="61"/>
      <c r="P974" s="59"/>
      <c r="Q974" s="59"/>
      <c r="R974" s="62"/>
      <c r="S974" s="63"/>
      <c r="T974" s="63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3"/>
      <c r="M975" s="54"/>
      <c r="N975" s="53"/>
      <c r="O975" s="55"/>
      <c r="P975" s="53"/>
      <c r="Q975" s="53"/>
      <c r="R975" s="56"/>
      <c r="S975" s="57"/>
      <c r="T975" s="57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9"/>
      <c r="M976" s="60"/>
      <c r="N976" s="59"/>
      <c r="O976" s="61"/>
      <c r="P976" s="59"/>
      <c r="Q976" s="59"/>
      <c r="R976" s="62"/>
      <c r="S976" s="63"/>
      <c r="T976" s="63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3"/>
      <c r="M977" s="54"/>
      <c r="N977" s="53"/>
      <c r="O977" s="55"/>
      <c r="P977" s="53"/>
      <c r="Q977" s="53"/>
      <c r="R977" s="56"/>
      <c r="S977" s="57"/>
      <c r="T977" s="57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9"/>
      <c r="M978" s="60"/>
      <c r="N978" s="59"/>
      <c r="O978" s="61"/>
      <c r="P978" s="59"/>
      <c r="Q978" s="59"/>
      <c r="R978" s="62"/>
      <c r="S978" s="63"/>
      <c r="T978" s="63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3"/>
      <c r="M979" s="54"/>
      <c r="N979" s="53"/>
      <c r="O979" s="55"/>
      <c r="P979" s="53"/>
      <c r="Q979" s="53"/>
      <c r="R979" s="56"/>
      <c r="S979" s="57"/>
      <c r="T979" s="57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9"/>
      <c r="M980" s="60"/>
      <c r="N980" s="59"/>
      <c r="O980" s="61"/>
      <c r="P980" s="59"/>
      <c r="Q980" s="59"/>
      <c r="R980" s="62"/>
      <c r="S980" s="63"/>
      <c r="T980" s="63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3"/>
      <c r="M981" s="54"/>
      <c r="N981" s="53"/>
      <c r="O981" s="55"/>
      <c r="P981" s="53"/>
      <c r="Q981" s="53"/>
      <c r="R981" s="56"/>
      <c r="S981" s="57"/>
      <c r="T981" s="57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9"/>
      <c r="M982" s="60"/>
      <c r="N982" s="59"/>
      <c r="O982" s="61"/>
      <c r="P982" s="59"/>
      <c r="Q982" s="59"/>
      <c r="R982" s="62"/>
      <c r="S982" s="63"/>
      <c r="T982" s="63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3"/>
      <c r="M983" s="54"/>
      <c r="N983" s="53"/>
      <c r="O983" s="55"/>
      <c r="P983" s="53"/>
      <c r="Q983" s="53"/>
      <c r="R983" s="56"/>
      <c r="S983" s="57"/>
      <c r="T983" s="57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9"/>
      <c r="M984" s="60"/>
      <c r="N984" s="59"/>
      <c r="O984" s="61"/>
      <c r="P984" s="59"/>
      <c r="Q984" s="59"/>
      <c r="R984" s="62"/>
      <c r="S984" s="63"/>
      <c r="T984" s="63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3"/>
      <c r="M985" s="54"/>
      <c r="N985" s="53"/>
      <c r="O985" s="55"/>
      <c r="P985" s="53"/>
      <c r="Q985" s="53"/>
      <c r="R985" s="56"/>
      <c r="S985" s="57"/>
      <c r="T985" s="57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9"/>
      <c r="M986" s="60"/>
      <c r="N986" s="59"/>
      <c r="O986" s="61"/>
      <c r="P986" s="59"/>
      <c r="Q986" s="59"/>
      <c r="R986" s="62"/>
      <c r="S986" s="63"/>
      <c r="T986" s="63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3"/>
      <c r="M987" s="54"/>
      <c r="N987" s="53"/>
      <c r="O987" s="55"/>
      <c r="P987" s="53"/>
      <c r="Q987" s="53"/>
      <c r="R987" s="56"/>
      <c r="S987" s="57"/>
      <c r="T987" s="57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9"/>
      <c r="M988" s="60"/>
      <c r="N988" s="59"/>
      <c r="O988" s="61"/>
      <c r="P988" s="59"/>
      <c r="Q988" s="59"/>
      <c r="R988" s="62"/>
      <c r="S988" s="63"/>
      <c r="T988" s="63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3"/>
      <c r="M989" s="54"/>
      <c r="N989" s="53"/>
      <c r="O989" s="55"/>
      <c r="P989" s="53"/>
      <c r="Q989" s="53"/>
      <c r="R989" s="56"/>
      <c r="S989" s="57"/>
      <c r="T989" s="57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9"/>
      <c r="M990" s="60"/>
      <c r="N990" s="59"/>
      <c r="O990" s="61"/>
      <c r="P990" s="59"/>
      <c r="Q990" s="59"/>
      <c r="R990" s="62"/>
      <c r="S990" s="63"/>
      <c r="T990" s="63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3"/>
      <c r="M991" s="54"/>
      <c r="N991" s="53"/>
      <c r="O991" s="55"/>
      <c r="P991" s="53"/>
      <c r="Q991" s="53"/>
      <c r="R991" s="56"/>
      <c r="S991" s="57"/>
      <c r="T991" s="57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9"/>
      <c r="M992" s="60"/>
      <c r="N992" s="59"/>
      <c r="O992" s="61"/>
      <c r="P992" s="59"/>
      <c r="Q992" s="59"/>
      <c r="R992" s="62"/>
      <c r="S992" s="63"/>
      <c r="T992" s="63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3"/>
      <c r="M993" s="54"/>
      <c r="N993" s="53"/>
      <c r="O993" s="55"/>
      <c r="P993" s="53"/>
      <c r="Q993" s="53"/>
      <c r="R993" s="56"/>
      <c r="S993" s="57"/>
      <c r="T993" s="57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9"/>
      <c r="M994" s="60"/>
      <c r="N994" s="59"/>
      <c r="O994" s="61"/>
      <c r="P994" s="59"/>
      <c r="Q994" s="59"/>
      <c r="R994" s="62"/>
      <c r="S994" s="63"/>
      <c r="T994" s="63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3"/>
      <c r="M995" s="54"/>
      <c r="N995" s="53"/>
      <c r="O995" s="55"/>
      <c r="P995" s="53"/>
      <c r="Q995" s="53"/>
      <c r="R995" s="56"/>
      <c r="S995" s="57"/>
      <c r="T995" s="57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9"/>
      <c r="M996" s="60"/>
      <c r="N996" s="59"/>
      <c r="O996" s="61"/>
      <c r="P996" s="59"/>
      <c r="Q996" s="59"/>
      <c r="R996" s="62"/>
      <c r="S996" s="63"/>
      <c r="T996" s="63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3"/>
      <c r="M997" s="54"/>
      <c r="N997" s="53"/>
      <c r="O997" s="55"/>
      <c r="P997" s="53"/>
      <c r="Q997" s="53"/>
      <c r="R997" s="56"/>
      <c r="S997" s="57"/>
      <c r="T997" s="57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9"/>
      <c r="M998" s="60"/>
      <c r="N998" s="59"/>
      <c r="O998" s="61"/>
      <c r="P998" s="59"/>
      <c r="Q998" s="59"/>
      <c r="R998" s="62"/>
      <c r="S998" s="63"/>
      <c r="T998" s="63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3"/>
      <c r="M999" s="54"/>
      <c r="N999" s="53"/>
      <c r="O999" s="55"/>
      <c r="P999" s="53"/>
      <c r="Q999" s="53"/>
      <c r="R999" s="56"/>
      <c r="S999" s="57"/>
      <c r="T999" s="57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9"/>
      <c r="M1000" s="60"/>
      <c r="N1000" s="59"/>
      <c r="O1000" s="61"/>
      <c r="P1000" s="59"/>
      <c r="Q1000" s="59"/>
      <c r="R1000" s="62"/>
      <c r="S1000" s="63"/>
      <c r="T1000" s="6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4" t="s">
        <v>312</v>
      </c>
      <c r="B1" s="64" t="s">
        <v>313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6" t="s">
        <v>180</v>
      </c>
      <c r="B2" s="66" t="s">
        <v>70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7" t="s">
        <v>169</v>
      </c>
      <c r="B3" s="67" t="s">
        <v>116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6" t="s">
        <v>187</v>
      </c>
      <c r="B4" s="66" t="s">
        <v>17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7" t="s">
        <v>133</v>
      </c>
      <c r="B5" s="67" t="s">
        <v>110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6" t="s">
        <v>207</v>
      </c>
      <c r="B6" s="66" t="s">
        <v>13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67" t="s">
        <v>152</v>
      </c>
      <c r="B7" s="67" t="s">
        <v>122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6" t="s">
        <v>146</v>
      </c>
      <c r="B8" s="66" t="s">
        <v>54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67" t="s">
        <v>208</v>
      </c>
      <c r="B9" s="67" t="s">
        <v>24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66" t="s">
        <v>166</v>
      </c>
      <c r="B10" s="66" t="s">
        <v>124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67" t="s">
        <v>136</v>
      </c>
      <c r="B11" s="67" t="s">
        <v>46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66" t="s">
        <v>132</v>
      </c>
      <c r="B12" s="66" t="s">
        <v>33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67" t="s">
        <v>147</v>
      </c>
      <c r="B13" s="67" t="s">
        <v>92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66" t="s">
        <v>173</v>
      </c>
      <c r="B14" s="66" t="s">
        <v>63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67" t="s">
        <v>174</v>
      </c>
      <c r="B15" s="67" t="s">
        <v>27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6" t="s">
        <v>190</v>
      </c>
      <c r="B16" s="66" t="s">
        <v>97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67" t="s">
        <v>183</v>
      </c>
      <c r="B17" s="67" t="s">
        <v>42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66" t="s">
        <v>167</v>
      </c>
      <c r="B18" s="66" t="s">
        <v>106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67" t="s">
        <v>178</v>
      </c>
      <c r="B19" s="67" t="s">
        <v>117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6" t="s">
        <v>161</v>
      </c>
      <c r="B20" s="66" t="s">
        <v>36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67" t="s">
        <v>177</v>
      </c>
      <c r="B21" s="67" t="s">
        <v>120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66" t="s">
        <v>314</v>
      </c>
      <c r="B22" s="66" t="s">
        <v>315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67" t="s">
        <v>316</v>
      </c>
      <c r="B23" s="67" t="s">
        <v>317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66" t="s">
        <v>186</v>
      </c>
      <c r="B24" s="66" t="s">
        <v>17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67" t="s">
        <v>179</v>
      </c>
      <c r="B25" s="67" t="s">
        <v>60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66" t="s">
        <v>148</v>
      </c>
      <c r="B26" s="66" t="s">
        <v>74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67" t="s">
        <v>318</v>
      </c>
      <c r="B27" s="67" t="s">
        <v>319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66" t="s">
        <v>168</v>
      </c>
      <c r="B28" s="66" t="s">
        <v>101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67" t="s">
        <v>138</v>
      </c>
      <c r="B29" s="67" t="s">
        <v>64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66" t="s">
        <v>320</v>
      </c>
      <c r="B30" s="66" t="s">
        <v>321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7" t="s">
        <v>194</v>
      </c>
      <c r="B31" s="67" t="s">
        <v>53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6" t="s">
        <v>189</v>
      </c>
      <c r="B32" s="66" t="s">
        <v>23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67" t="s">
        <v>322</v>
      </c>
      <c r="B33" s="67" t="s">
        <v>74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66" t="s">
        <v>140</v>
      </c>
      <c r="B34" s="66" t="s">
        <v>50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67" t="s">
        <v>129</v>
      </c>
      <c r="B35" s="67" t="s">
        <v>78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66" t="s">
        <v>323</v>
      </c>
      <c r="B36" s="66" t="s">
        <v>324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67" t="s">
        <v>325</v>
      </c>
      <c r="B37" s="67" t="s">
        <v>326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6" t="s">
        <v>327</v>
      </c>
      <c r="B38" s="66" t="s">
        <v>328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7" t="s">
        <v>198</v>
      </c>
      <c r="B39" s="67" t="s">
        <v>37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6" t="s">
        <v>182</v>
      </c>
      <c r="B40" s="66" t="s">
        <v>47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67" t="s">
        <v>131</v>
      </c>
      <c r="B41" s="67" t="s">
        <v>108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6" t="s">
        <v>145</v>
      </c>
      <c r="B42" s="66" t="s">
        <v>84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7" t="s">
        <v>329</v>
      </c>
      <c r="B43" s="67" t="s">
        <v>330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6" t="s">
        <v>192</v>
      </c>
      <c r="B44" s="66" t="s">
        <v>73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7" t="s">
        <v>185</v>
      </c>
      <c r="B45" s="67" t="s">
        <v>49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6" t="s">
        <v>209</v>
      </c>
      <c r="B46" s="66" t="s">
        <v>75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7" t="s">
        <v>164</v>
      </c>
      <c r="B47" s="67" t="s">
        <v>72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6" t="s">
        <v>331</v>
      </c>
      <c r="B48" s="66" t="s">
        <v>332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7" t="s">
        <v>151</v>
      </c>
      <c r="B49" s="67" t="s">
        <v>15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6" t="s">
        <v>333</v>
      </c>
      <c r="B50" s="66" t="s">
        <v>334</v>
      </c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67" t="s">
        <v>335</v>
      </c>
      <c r="B51" s="67" t="s">
        <v>336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6" t="s">
        <v>153</v>
      </c>
      <c r="B52" s="66" t="s">
        <v>103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7" t="s">
        <v>337</v>
      </c>
      <c r="B53" s="67" t="s">
        <v>338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6" t="s">
        <v>339</v>
      </c>
      <c r="B54" s="66" t="s">
        <v>326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7" t="s">
        <v>181</v>
      </c>
      <c r="B55" s="67" t="s">
        <v>77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6" t="s">
        <v>340</v>
      </c>
      <c r="B56" s="66" t="s">
        <v>341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7" t="s">
        <v>191</v>
      </c>
      <c r="B57" s="67" t="s">
        <v>65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6" t="s">
        <v>211</v>
      </c>
      <c r="B58" s="66" t="s">
        <v>87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7" t="s">
        <v>206</v>
      </c>
      <c r="B59" s="67" t="s">
        <v>40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6" t="s">
        <v>184</v>
      </c>
      <c r="B60" s="66" t="s">
        <v>25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7" t="s">
        <v>165</v>
      </c>
      <c r="B61" s="67" t="s">
        <v>67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6" t="s">
        <v>203</v>
      </c>
      <c r="B62" s="66" t="s">
        <v>57</v>
      </c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7" t="s">
        <v>342</v>
      </c>
      <c r="B63" s="67" t="s">
        <v>343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6" t="s">
        <v>142</v>
      </c>
      <c r="B64" s="66" t="s">
        <v>118</v>
      </c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7" t="s">
        <v>130</v>
      </c>
      <c r="B65" s="67" t="s">
        <v>44</v>
      </c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6" t="s">
        <v>344</v>
      </c>
      <c r="B66" s="66" t="s">
        <v>345</v>
      </c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7" t="s">
        <v>170</v>
      </c>
      <c r="B67" s="67" t="s">
        <v>112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6" t="s">
        <v>346</v>
      </c>
      <c r="B68" s="66" t="s">
        <v>347</v>
      </c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7" t="s">
        <v>135</v>
      </c>
      <c r="B69" s="67" t="s">
        <v>46</v>
      </c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6" t="s">
        <v>212</v>
      </c>
      <c r="B70" s="66" t="s">
        <v>38</v>
      </c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7" t="s">
        <v>348</v>
      </c>
      <c r="B71" s="67" t="s">
        <v>349</v>
      </c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6" t="s">
        <v>143</v>
      </c>
      <c r="B72" s="66" t="s">
        <v>119</v>
      </c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7" t="s">
        <v>200</v>
      </c>
      <c r="B73" s="67" t="s">
        <v>19</v>
      </c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6" t="s">
        <v>350</v>
      </c>
      <c r="B74" s="66" t="s">
        <v>351</v>
      </c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7" t="s">
        <v>137</v>
      </c>
      <c r="B75" s="67" t="s">
        <v>58</v>
      </c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6" t="s">
        <v>352</v>
      </c>
      <c r="B76" s="66" t="s">
        <v>353</v>
      </c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7" t="s">
        <v>134</v>
      </c>
      <c r="B77" s="67" t="s">
        <v>79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6" t="s">
        <v>354</v>
      </c>
      <c r="B78" s="66" t="s">
        <v>355</v>
      </c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7" t="s">
        <v>356</v>
      </c>
      <c r="B79" s="67" t="s">
        <v>357</v>
      </c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6" t="s">
        <v>358</v>
      </c>
      <c r="B80" s="68" t="s">
        <v>359</v>
      </c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7" t="s">
        <v>360</v>
      </c>
      <c r="B81" s="67" t="s">
        <v>361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6" t="s">
        <v>154</v>
      </c>
      <c r="B82" s="66" t="s">
        <v>56</v>
      </c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7" t="s">
        <v>127</v>
      </c>
      <c r="B83" s="67" t="s">
        <v>35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6" t="s">
        <v>157</v>
      </c>
      <c r="B84" s="66" t="s">
        <v>104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7" t="s">
        <v>155</v>
      </c>
      <c r="B85" s="67" t="s">
        <v>85</v>
      </c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6" t="s">
        <v>193</v>
      </c>
      <c r="B86" s="66" t="s">
        <v>29</v>
      </c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7" t="s">
        <v>197</v>
      </c>
      <c r="B87" s="67" t="s">
        <v>114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6" t="s">
        <v>362</v>
      </c>
      <c r="B88" s="66" t="s">
        <v>363</v>
      </c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7" t="s">
        <v>364</v>
      </c>
      <c r="B89" s="67" t="s">
        <v>365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6" t="s">
        <v>210</v>
      </c>
      <c r="B90" s="66" t="s">
        <v>95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7" t="s">
        <v>366</v>
      </c>
      <c r="B91" s="67" t="s">
        <v>367</v>
      </c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6" t="s">
        <v>159</v>
      </c>
      <c r="B92" s="66" t="s">
        <v>86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7" t="s">
        <v>188</v>
      </c>
      <c r="B93" s="67" t="s">
        <v>62</v>
      </c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6" t="s">
        <v>368</v>
      </c>
      <c r="B94" s="66" t="s">
        <v>369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7" t="s">
        <v>144</v>
      </c>
      <c r="B95" s="67" t="s">
        <v>91</v>
      </c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6" t="s">
        <v>149</v>
      </c>
      <c r="B96" s="66" t="s">
        <v>68</v>
      </c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7" t="s">
        <v>139</v>
      </c>
      <c r="B97" s="67" t="s">
        <v>31</v>
      </c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6" t="s">
        <v>370</v>
      </c>
      <c r="B98" s="66" t="s">
        <v>371</v>
      </c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7" t="s">
        <v>163</v>
      </c>
      <c r="B99" s="67" t="s">
        <v>100</v>
      </c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6" t="s">
        <v>372</v>
      </c>
      <c r="B100" s="66" t="s">
        <v>373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7" t="s">
        <v>374</v>
      </c>
      <c r="B101" s="67" t="s">
        <v>375</v>
      </c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6" t="s">
        <v>150</v>
      </c>
      <c r="B102" s="66" t="s">
        <v>21</v>
      </c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7" t="s">
        <v>376</v>
      </c>
      <c r="B103" s="67" t="s">
        <v>377</v>
      </c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6" t="s">
        <v>378</v>
      </c>
      <c r="B104" s="66" t="s">
        <v>13</v>
      </c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7" t="s">
        <v>172</v>
      </c>
      <c r="B105" s="67" t="s">
        <v>96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6" t="s">
        <v>379</v>
      </c>
      <c r="B106" s="66" t="s">
        <v>380</v>
      </c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7" t="s">
        <v>381</v>
      </c>
      <c r="B107" s="67" t="s">
        <v>382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6" t="s">
        <v>175</v>
      </c>
      <c r="B108" s="66" t="s">
        <v>69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7" t="s">
        <v>195</v>
      </c>
      <c r="B109" s="67" t="s">
        <v>81</v>
      </c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6" t="s">
        <v>383</v>
      </c>
      <c r="B110" s="66" t="s">
        <v>384</v>
      </c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7" t="s">
        <v>128</v>
      </c>
      <c r="B111" s="67" t="s">
        <v>102</v>
      </c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6" t="s">
        <v>199</v>
      </c>
      <c r="B112" s="66" t="s">
        <v>88</v>
      </c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7" t="s">
        <v>385</v>
      </c>
      <c r="B113" s="67" t="s">
        <v>386</v>
      </c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6" t="s">
        <v>387</v>
      </c>
      <c r="B114" s="66" t="s">
        <v>388</v>
      </c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7" t="s">
        <v>90</v>
      </c>
      <c r="B115" s="67" t="s">
        <v>90</v>
      </c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6" t="s">
        <v>162</v>
      </c>
      <c r="B116" s="66" t="s">
        <v>99</v>
      </c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7" t="s">
        <v>204</v>
      </c>
      <c r="B117" s="67" t="s">
        <v>83</v>
      </c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6" t="s">
        <v>389</v>
      </c>
      <c r="B118" s="66" t="s">
        <v>390</v>
      </c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7" t="s">
        <v>391</v>
      </c>
      <c r="B119" s="67" t="s">
        <v>392</v>
      </c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6" t="s">
        <v>393</v>
      </c>
      <c r="B120" s="66" t="s">
        <v>394</v>
      </c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7" t="s">
        <v>202</v>
      </c>
      <c r="B121" s="67" t="s">
        <v>51</v>
      </c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6" t="s">
        <v>395</v>
      </c>
      <c r="B122" s="66" t="s">
        <v>396</v>
      </c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7" t="s">
        <v>397</v>
      </c>
      <c r="B123" s="67" t="s">
        <v>398</v>
      </c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6" t="s">
        <v>399</v>
      </c>
      <c r="B124" s="66" t="s">
        <v>400</v>
      </c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7" t="s">
        <v>401</v>
      </c>
      <c r="B125" s="67" t="s">
        <v>402</v>
      </c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6" t="s">
        <v>403</v>
      </c>
      <c r="B126" s="66" t="s">
        <v>404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7" t="s">
        <v>405</v>
      </c>
      <c r="B127" s="67" t="s">
        <v>406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6" t="s">
        <v>407</v>
      </c>
      <c r="B128" s="66" t="s">
        <v>408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7" t="s">
        <v>409</v>
      </c>
      <c r="B129" s="67" t="s">
        <v>410</v>
      </c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6" t="s">
        <v>205</v>
      </c>
      <c r="B130" s="66" t="s">
        <v>93</v>
      </c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7" t="s">
        <v>160</v>
      </c>
      <c r="B131" s="67" t="s">
        <v>94</v>
      </c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6" t="s">
        <v>411</v>
      </c>
      <c r="B132" s="66" t="s">
        <v>412</v>
      </c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7" t="s">
        <v>413</v>
      </c>
      <c r="B133" s="67" t="s">
        <v>414</v>
      </c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6" t="s">
        <v>415</v>
      </c>
      <c r="B134" s="66" t="s">
        <v>416</v>
      </c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7" t="s">
        <v>417</v>
      </c>
      <c r="B135" s="67" t="s">
        <v>418</v>
      </c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6" t="s">
        <v>419</v>
      </c>
      <c r="B136" s="66" t="s">
        <v>420</v>
      </c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7" t="s">
        <v>421</v>
      </c>
      <c r="B137" s="67" t="s">
        <v>422</v>
      </c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6" t="s">
        <v>423</v>
      </c>
      <c r="B138" s="66" t="s">
        <v>424</v>
      </c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7" t="s">
        <v>425</v>
      </c>
      <c r="B139" s="67" t="s">
        <v>426</v>
      </c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6" t="s">
        <v>427</v>
      </c>
      <c r="B140" s="66" t="s">
        <v>428</v>
      </c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7" t="s">
        <v>429</v>
      </c>
      <c r="B141" s="67" t="s">
        <v>430</v>
      </c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6" t="s">
        <v>431</v>
      </c>
      <c r="B142" s="66" t="s">
        <v>432</v>
      </c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7" t="s">
        <v>433</v>
      </c>
      <c r="B143" s="67" t="s">
        <v>434</v>
      </c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6" t="s">
        <v>435</v>
      </c>
      <c r="B144" s="66" t="s">
        <v>436</v>
      </c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7" t="s">
        <v>437</v>
      </c>
      <c r="B145" s="67" t="s">
        <v>437</v>
      </c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6" t="s">
        <v>438</v>
      </c>
      <c r="B146" s="66" t="s">
        <v>439</v>
      </c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7" t="s">
        <v>440</v>
      </c>
      <c r="B147" s="67" t="s">
        <v>441</v>
      </c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6" t="s">
        <v>442</v>
      </c>
      <c r="B148" s="66" t="s">
        <v>443</v>
      </c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7" t="s">
        <v>444</v>
      </c>
      <c r="B149" s="67" t="s">
        <v>27</v>
      </c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6" t="s">
        <v>445</v>
      </c>
      <c r="B150" s="66" t="s">
        <v>446</v>
      </c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7" t="s">
        <v>447</v>
      </c>
      <c r="B151" s="67" t="s">
        <v>448</v>
      </c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6" t="s">
        <v>449</v>
      </c>
      <c r="B152" s="66" t="s">
        <v>450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7" t="s">
        <v>451</v>
      </c>
      <c r="B153" s="67" t="s">
        <v>452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6" t="s">
        <v>453</v>
      </c>
      <c r="B154" s="66" t="s">
        <v>454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7" t="s">
        <v>455</v>
      </c>
      <c r="B155" s="67" t="s">
        <v>456</v>
      </c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6" t="s">
        <v>457</v>
      </c>
      <c r="B156" s="66" t="s">
        <v>458</v>
      </c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7" t="s">
        <v>459</v>
      </c>
      <c r="B157" s="67" t="s">
        <v>460</v>
      </c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6" t="s">
        <v>461</v>
      </c>
      <c r="B158" s="66" t="s">
        <v>462</v>
      </c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7" t="s">
        <v>463</v>
      </c>
      <c r="B159" s="67" t="s">
        <v>464</v>
      </c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6" t="s">
        <v>465</v>
      </c>
      <c r="B160" s="66" t="s">
        <v>466</v>
      </c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7" t="s">
        <v>467</v>
      </c>
      <c r="B161" s="67" t="s">
        <v>468</v>
      </c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6" t="s">
        <v>469</v>
      </c>
      <c r="B162" s="66" t="s">
        <v>470</v>
      </c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7" t="s">
        <v>471</v>
      </c>
      <c r="B163" s="67" t="s">
        <v>472</v>
      </c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6" t="s">
        <v>473</v>
      </c>
      <c r="B164" s="66" t="s">
        <v>474</v>
      </c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7" t="s">
        <v>475</v>
      </c>
      <c r="B165" s="67" t="s">
        <v>476</v>
      </c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6" t="s">
        <v>477</v>
      </c>
      <c r="B166" s="66" t="s">
        <v>478</v>
      </c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7" t="s">
        <v>479</v>
      </c>
      <c r="B167" s="67" t="s">
        <v>480</v>
      </c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6" t="s">
        <v>481</v>
      </c>
      <c r="B168" s="66" t="s">
        <v>482</v>
      </c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7" t="s">
        <v>483</v>
      </c>
      <c r="B169" s="67" t="s">
        <v>484</v>
      </c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6" t="s">
        <v>485</v>
      </c>
      <c r="B170" s="66" t="s">
        <v>486</v>
      </c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7" t="s">
        <v>487</v>
      </c>
      <c r="B171" s="67" t="s">
        <v>488</v>
      </c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6" t="s">
        <v>489</v>
      </c>
      <c r="B172" s="66" t="s">
        <v>84</v>
      </c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7" t="s">
        <v>156</v>
      </c>
      <c r="B173" s="67" t="s">
        <v>85</v>
      </c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6" t="s">
        <v>490</v>
      </c>
      <c r="B174" s="66" t="s">
        <v>491</v>
      </c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7" t="s">
        <v>492</v>
      </c>
      <c r="B175" s="67" t="s">
        <v>493</v>
      </c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6" t="s">
        <v>494</v>
      </c>
      <c r="B176" s="66" t="s">
        <v>495</v>
      </c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7" t="s">
        <v>496</v>
      </c>
      <c r="B177" s="67" t="s">
        <v>497</v>
      </c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6" t="s">
        <v>498</v>
      </c>
      <c r="B178" s="66" t="s">
        <v>499</v>
      </c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7" t="s">
        <v>500</v>
      </c>
      <c r="B179" s="67" t="s">
        <v>501</v>
      </c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6" t="s">
        <v>502</v>
      </c>
      <c r="B180" s="66" t="s">
        <v>384</v>
      </c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7" t="s">
        <v>503</v>
      </c>
      <c r="B181" s="67" t="s">
        <v>504</v>
      </c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6" t="s">
        <v>505</v>
      </c>
      <c r="B182" s="66" t="s">
        <v>506</v>
      </c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7" t="s">
        <v>507</v>
      </c>
      <c r="B183" s="67" t="s">
        <v>508</v>
      </c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6" t="s">
        <v>509</v>
      </c>
      <c r="B184" s="66" t="s">
        <v>510</v>
      </c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7" t="s">
        <v>511</v>
      </c>
      <c r="B185" s="67" t="s">
        <v>512</v>
      </c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6" t="s">
        <v>513</v>
      </c>
      <c r="B186" s="66" t="s">
        <v>514</v>
      </c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7" t="s">
        <v>515</v>
      </c>
      <c r="B187" s="67" t="s">
        <v>516</v>
      </c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6" t="s">
        <v>517</v>
      </c>
      <c r="B188" s="66" t="s">
        <v>518</v>
      </c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7" t="s">
        <v>519</v>
      </c>
      <c r="B189" s="67" t="s">
        <v>520</v>
      </c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6" t="s">
        <v>521</v>
      </c>
      <c r="B190" s="66" t="s">
        <v>522</v>
      </c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7" t="s">
        <v>523</v>
      </c>
      <c r="B191" s="67" t="s">
        <v>402</v>
      </c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6" t="s">
        <v>524</v>
      </c>
      <c r="B192" s="66" t="s">
        <v>434</v>
      </c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7" t="s">
        <v>525</v>
      </c>
      <c r="B193" s="67" t="s">
        <v>526</v>
      </c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6" t="s">
        <v>527</v>
      </c>
      <c r="B194" s="66" t="s">
        <v>528</v>
      </c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7" t="s">
        <v>529</v>
      </c>
      <c r="B195" s="67" t="s">
        <v>530</v>
      </c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6" t="s">
        <v>531</v>
      </c>
      <c r="B196" s="66" t="s">
        <v>532</v>
      </c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7" t="s">
        <v>533</v>
      </c>
      <c r="B197" s="67" t="s">
        <v>534</v>
      </c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6" t="s">
        <v>535</v>
      </c>
      <c r="B198" s="66" t="s">
        <v>536</v>
      </c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7" t="s">
        <v>537</v>
      </c>
      <c r="B199" s="67" t="s">
        <v>538</v>
      </c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6" t="s">
        <v>539</v>
      </c>
      <c r="B200" s="66" t="s">
        <v>540</v>
      </c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7" t="s">
        <v>541</v>
      </c>
      <c r="B201" s="67" t="s">
        <v>542</v>
      </c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6" t="s">
        <v>543</v>
      </c>
      <c r="B202" s="66" t="s">
        <v>544</v>
      </c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7" t="s">
        <v>545</v>
      </c>
      <c r="B203" s="67" t="s">
        <v>546</v>
      </c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6" t="s">
        <v>547</v>
      </c>
      <c r="B204" s="66" t="s">
        <v>548</v>
      </c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7" t="s">
        <v>549</v>
      </c>
      <c r="B205" s="67" t="s">
        <v>550</v>
      </c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6" t="s">
        <v>551</v>
      </c>
      <c r="B206" s="66" t="s">
        <v>552</v>
      </c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7" t="s">
        <v>553</v>
      </c>
      <c r="B207" s="67" t="s">
        <v>554</v>
      </c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6" t="s">
        <v>555</v>
      </c>
      <c r="B208" s="66" t="s">
        <v>315</v>
      </c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7" t="s">
        <v>556</v>
      </c>
      <c r="B209" s="67" t="s">
        <v>557</v>
      </c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6" t="s">
        <v>558</v>
      </c>
      <c r="B210" s="66" t="s">
        <v>559</v>
      </c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7" t="s">
        <v>560</v>
      </c>
      <c r="B211" s="67" t="s">
        <v>561</v>
      </c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6" t="s">
        <v>562</v>
      </c>
      <c r="B212" s="66" t="s">
        <v>563</v>
      </c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7" t="s">
        <v>564</v>
      </c>
      <c r="B213" s="67" t="s">
        <v>565</v>
      </c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6" t="s">
        <v>566</v>
      </c>
      <c r="B214" s="66" t="s">
        <v>567</v>
      </c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7" t="s">
        <v>568</v>
      </c>
      <c r="B215" s="67" t="s">
        <v>332</v>
      </c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6" t="s">
        <v>569</v>
      </c>
      <c r="B216" s="66" t="s">
        <v>570</v>
      </c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7" t="s">
        <v>571</v>
      </c>
      <c r="B217" s="67" t="s">
        <v>572</v>
      </c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6" t="s">
        <v>573</v>
      </c>
      <c r="B218" s="66" t="s">
        <v>574</v>
      </c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7" t="s">
        <v>575</v>
      </c>
      <c r="B219" s="67" t="s">
        <v>63</v>
      </c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6" t="s">
        <v>576</v>
      </c>
      <c r="B220" s="66" t="s">
        <v>577</v>
      </c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7" t="s">
        <v>578</v>
      </c>
      <c r="B221" s="67" t="s">
        <v>579</v>
      </c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6" t="s">
        <v>578</v>
      </c>
      <c r="B222" s="66" t="s">
        <v>580</v>
      </c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7" t="s">
        <v>581</v>
      </c>
      <c r="B223" s="67" t="s">
        <v>582</v>
      </c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6" t="s">
        <v>583</v>
      </c>
      <c r="B224" s="66" t="s">
        <v>584</v>
      </c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7" t="s">
        <v>585</v>
      </c>
      <c r="B225" s="67" t="s">
        <v>586</v>
      </c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6" t="s">
        <v>587</v>
      </c>
      <c r="B226" s="66" t="s">
        <v>588</v>
      </c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7" t="s">
        <v>589</v>
      </c>
      <c r="B227" s="67" t="s">
        <v>590</v>
      </c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6" t="s">
        <v>591</v>
      </c>
      <c r="B228" s="66" t="s">
        <v>592</v>
      </c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7" t="s">
        <v>593</v>
      </c>
      <c r="B229" s="67" t="s">
        <v>594</v>
      </c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6" t="s">
        <v>595</v>
      </c>
      <c r="B230" s="66" t="s">
        <v>592</v>
      </c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7" t="s">
        <v>596</v>
      </c>
      <c r="B231" s="67" t="s">
        <v>597</v>
      </c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6" t="s">
        <v>598</v>
      </c>
      <c r="B232" s="66" t="s">
        <v>599</v>
      </c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7" t="s">
        <v>600</v>
      </c>
      <c r="B233" s="67" t="s">
        <v>601</v>
      </c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6" t="s">
        <v>602</v>
      </c>
      <c r="B234" s="66" t="s">
        <v>603</v>
      </c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7" t="s">
        <v>604</v>
      </c>
      <c r="B235" s="67" t="s">
        <v>565</v>
      </c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6" t="s">
        <v>605</v>
      </c>
      <c r="B236" s="66" t="s">
        <v>606</v>
      </c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7" t="s">
        <v>607</v>
      </c>
      <c r="B237" s="67" t="s">
        <v>608</v>
      </c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6" t="s">
        <v>609</v>
      </c>
      <c r="B238" s="66" t="s">
        <v>72</v>
      </c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7" t="s">
        <v>610</v>
      </c>
      <c r="B239" s="67" t="s">
        <v>611</v>
      </c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6" t="s">
        <v>612</v>
      </c>
      <c r="B240" s="66" t="s">
        <v>582</v>
      </c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7" t="s">
        <v>613</v>
      </c>
      <c r="B241" s="67" t="s">
        <v>614</v>
      </c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6" t="s">
        <v>615</v>
      </c>
      <c r="B242" s="66" t="s">
        <v>616</v>
      </c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7" t="s">
        <v>617</v>
      </c>
      <c r="B243" s="67" t="s">
        <v>618</v>
      </c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6" t="s">
        <v>619</v>
      </c>
      <c r="B244" s="66" t="s">
        <v>67</v>
      </c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7" t="s">
        <v>620</v>
      </c>
      <c r="B245" s="67" t="s">
        <v>621</v>
      </c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6" t="s">
        <v>622</v>
      </c>
      <c r="B246" s="66" t="s">
        <v>536</v>
      </c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7" t="s">
        <v>623</v>
      </c>
      <c r="B247" s="67" t="s">
        <v>624</v>
      </c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6" t="s">
        <v>625</v>
      </c>
      <c r="B248" s="66" t="s">
        <v>626</v>
      </c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7" t="s">
        <v>627</v>
      </c>
      <c r="B249" s="67" t="s">
        <v>628</v>
      </c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6" t="s">
        <v>629</v>
      </c>
      <c r="B250" s="66" t="s">
        <v>630</v>
      </c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7" t="s">
        <v>631</v>
      </c>
      <c r="B251" s="67" t="s">
        <v>632</v>
      </c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6" t="s">
        <v>633</v>
      </c>
      <c r="B252" s="66" t="s">
        <v>388</v>
      </c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7" t="s">
        <v>634</v>
      </c>
      <c r="B253" s="67" t="s">
        <v>635</v>
      </c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6" t="s">
        <v>636</v>
      </c>
      <c r="B254" s="66" t="s">
        <v>637</v>
      </c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7" t="s">
        <v>638</v>
      </c>
      <c r="B255" s="67" t="s">
        <v>639</v>
      </c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6" t="s">
        <v>640</v>
      </c>
      <c r="B256" s="66" t="s">
        <v>58</v>
      </c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7" t="s">
        <v>641</v>
      </c>
      <c r="B257" s="67" t="s">
        <v>31</v>
      </c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6" t="s">
        <v>642</v>
      </c>
      <c r="B258" s="66" t="s">
        <v>643</v>
      </c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7" t="s">
        <v>644</v>
      </c>
      <c r="B259" s="67" t="s">
        <v>645</v>
      </c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6" t="s">
        <v>646</v>
      </c>
      <c r="B260" s="66" t="s">
        <v>637</v>
      </c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7" t="s">
        <v>647</v>
      </c>
      <c r="B261" s="67" t="s">
        <v>648</v>
      </c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6" t="s">
        <v>649</v>
      </c>
      <c r="B262" s="66" t="s">
        <v>650</v>
      </c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7" t="s">
        <v>651</v>
      </c>
      <c r="B263" s="67" t="s">
        <v>652</v>
      </c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6" t="s">
        <v>653</v>
      </c>
      <c r="B264" s="66" t="s">
        <v>654</v>
      </c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7" t="s">
        <v>655</v>
      </c>
      <c r="B265" s="67" t="s">
        <v>656</v>
      </c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6" t="s">
        <v>657</v>
      </c>
      <c r="B266" s="66" t="s">
        <v>658</v>
      </c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7" t="s">
        <v>659</v>
      </c>
      <c r="B267" s="67" t="s">
        <v>660</v>
      </c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6" t="s">
        <v>661</v>
      </c>
      <c r="B268" s="66" t="s">
        <v>561</v>
      </c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7" t="s">
        <v>662</v>
      </c>
      <c r="B269" s="67" t="s">
        <v>663</v>
      </c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6" t="s">
        <v>664</v>
      </c>
      <c r="B270" s="66" t="s">
        <v>663</v>
      </c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7" t="s">
        <v>665</v>
      </c>
      <c r="B271" s="67" t="s">
        <v>666</v>
      </c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6" t="s">
        <v>667</v>
      </c>
      <c r="B272" s="66" t="s">
        <v>668</v>
      </c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7" t="s">
        <v>669</v>
      </c>
      <c r="B273" s="67" t="s">
        <v>670</v>
      </c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6" t="s">
        <v>671</v>
      </c>
      <c r="B274" s="66" t="s">
        <v>672</v>
      </c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7" t="s">
        <v>673</v>
      </c>
      <c r="B275" s="67" t="s">
        <v>674</v>
      </c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6" t="s">
        <v>675</v>
      </c>
      <c r="B276" s="66" t="s">
        <v>676</v>
      </c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7" t="s">
        <v>677</v>
      </c>
      <c r="B277" s="67" t="s">
        <v>678</v>
      </c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6" t="s">
        <v>679</v>
      </c>
      <c r="B278" s="66" t="s">
        <v>680</v>
      </c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7" t="s">
        <v>681</v>
      </c>
      <c r="B279" s="67" t="s">
        <v>678</v>
      </c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6" t="s">
        <v>682</v>
      </c>
      <c r="B280" s="66" t="s">
        <v>542</v>
      </c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7" t="s">
        <v>683</v>
      </c>
      <c r="B281" s="67" t="s">
        <v>684</v>
      </c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6" t="s">
        <v>685</v>
      </c>
      <c r="B282" s="66" t="s">
        <v>678</v>
      </c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7" t="s">
        <v>686</v>
      </c>
      <c r="B283" s="67" t="s">
        <v>687</v>
      </c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6" t="s">
        <v>688</v>
      </c>
      <c r="B284" s="66" t="s">
        <v>420</v>
      </c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7" t="s">
        <v>689</v>
      </c>
      <c r="B285" s="67" t="s">
        <v>690</v>
      </c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6" t="s">
        <v>691</v>
      </c>
      <c r="B286" s="66" t="s">
        <v>652</v>
      </c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7" t="s">
        <v>692</v>
      </c>
      <c r="B287" s="67" t="s">
        <v>628</v>
      </c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6" t="s">
        <v>693</v>
      </c>
      <c r="B288" s="66" t="s">
        <v>694</v>
      </c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7" t="s">
        <v>695</v>
      </c>
      <c r="B289" s="67" t="s">
        <v>696</v>
      </c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6" t="s">
        <v>697</v>
      </c>
      <c r="B290" s="66" t="s">
        <v>698</v>
      </c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7" t="s">
        <v>699</v>
      </c>
      <c r="B291" s="67" t="s">
        <v>700</v>
      </c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6" t="s">
        <v>701</v>
      </c>
      <c r="B292" s="66" t="s">
        <v>702</v>
      </c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7" t="s">
        <v>703</v>
      </c>
      <c r="B293" s="67" t="s">
        <v>704</v>
      </c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6" t="s">
        <v>705</v>
      </c>
      <c r="B294" s="66" t="s">
        <v>706</v>
      </c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7" t="s">
        <v>707</v>
      </c>
      <c r="B295" s="67" t="s">
        <v>708</v>
      </c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6" t="s">
        <v>709</v>
      </c>
      <c r="B296" s="66" t="s">
        <v>710</v>
      </c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7" t="s">
        <v>711</v>
      </c>
      <c r="B297" s="67" t="s">
        <v>712</v>
      </c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6" t="s">
        <v>713</v>
      </c>
      <c r="B298" s="66" t="s">
        <v>714</v>
      </c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7" t="s">
        <v>715</v>
      </c>
      <c r="B299" s="67" t="s">
        <v>716</v>
      </c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6" t="s">
        <v>717</v>
      </c>
      <c r="B300" s="66" t="s">
        <v>718</v>
      </c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7" t="s">
        <v>719</v>
      </c>
      <c r="B301" s="67" t="s">
        <v>720</v>
      </c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6" t="s">
        <v>721</v>
      </c>
      <c r="B302" s="66" t="s">
        <v>722</v>
      </c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7" t="s">
        <v>723</v>
      </c>
      <c r="B303" s="67" t="s">
        <v>93</v>
      </c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6" t="s">
        <v>724</v>
      </c>
      <c r="B304" s="66" t="s">
        <v>725</v>
      </c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7" t="s">
        <v>726</v>
      </c>
      <c r="B305" s="67" t="s">
        <v>727</v>
      </c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6" t="s">
        <v>728</v>
      </c>
      <c r="B306" s="66" t="s">
        <v>729</v>
      </c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7" t="s">
        <v>730</v>
      </c>
      <c r="B307" s="67" t="s">
        <v>731</v>
      </c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6" t="s">
        <v>732</v>
      </c>
      <c r="B308" s="66" t="s">
        <v>733</v>
      </c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7" t="s">
        <v>734</v>
      </c>
      <c r="B309" s="67" t="s">
        <v>450</v>
      </c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6" t="s">
        <v>735</v>
      </c>
      <c r="B310" s="66" t="s">
        <v>736</v>
      </c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7" t="s">
        <v>737</v>
      </c>
      <c r="B311" s="67" t="s">
        <v>694</v>
      </c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6" t="s">
        <v>738</v>
      </c>
      <c r="B312" s="66" t="s">
        <v>739</v>
      </c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7" t="s">
        <v>740</v>
      </c>
      <c r="B313" s="67" t="s">
        <v>700</v>
      </c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6" t="s">
        <v>741</v>
      </c>
      <c r="B314" s="66" t="s">
        <v>643</v>
      </c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7" t="s">
        <v>742</v>
      </c>
      <c r="B315" s="67" t="s">
        <v>743</v>
      </c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6" t="s">
        <v>744</v>
      </c>
      <c r="B316" s="66" t="s">
        <v>745</v>
      </c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7" t="s">
        <v>746</v>
      </c>
      <c r="B317" s="67" t="s">
        <v>747</v>
      </c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6" t="s">
        <v>748</v>
      </c>
      <c r="B318" s="66" t="s">
        <v>749</v>
      </c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7" t="s">
        <v>750</v>
      </c>
      <c r="B319" s="67" t="s">
        <v>751</v>
      </c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6" t="s">
        <v>752</v>
      </c>
      <c r="B320" s="66" t="s">
        <v>753</v>
      </c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7" t="s">
        <v>754</v>
      </c>
      <c r="B321" s="67" t="s">
        <v>687</v>
      </c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6" t="s">
        <v>755</v>
      </c>
      <c r="B322" s="66" t="s">
        <v>756</v>
      </c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7" t="s">
        <v>757</v>
      </c>
      <c r="B323" s="67" t="s">
        <v>758</v>
      </c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6" t="s">
        <v>759</v>
      </c>
      <c r="B324" s="66" t="s">
        <v>760</v>
      </c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7" t="s">
        <v>761</v>
      </c>
      <c r="B325" s="67" t="s">
        <v>762</v>
      </c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6" t="s">
        <v>763</v>
      </c>
      <c r="B326" s="66" t="s">
        <v>708</v>
      </c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7" t="s">
        <v>764</v>
      </c>
      <c r="B327" s="67" t="s">
        <v>466</v>
      </c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6" t="s">
        <v>765</v>
      </c>
      <c r="B328" s="66" t="s">
        <v>766</v>
      </c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7" t="s">
        <v>767</v>
      </c>
      <c r="B329" s="67" t="s">
        <v>668</v>
      </c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6" t="s">
        <v>768</v>
      </c>
      <c r="B330" s="66" t="s">
        <v>769</v>
      </c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7" t="s">
        <v>770</v>
      </c>
      <c r="B331" s="67" t="s">
        <v>771</v>
      </c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6" t="s">
        <v>772</v>
      </c>
      <c r="B332" s="66" t="s">
        <v>773</v>
      </c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7" t="s">
        <v>774</v>
      </c>
      <c r="B333" s="67" t="s">
        <v>775</v>
      </c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6" t="s">
        <v>776</v>
      </c>
      <c r="B334" s="66" t="s">
        <v>777</v>
      </c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7" t="s">
        <v>778</v>
      </c>
      <c r="B335" s="67" t="s">
        <v>670</v>
      </c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6" t="s">
        <v>779</v>
      </c>
      <c r="B336" s="66" t="s">
        <v>780</v>
      </c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7" t="s">
        <v>781</v>
      </c>
      <c r="B337" s="67" t="s">
        <v>696</v>
      </c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6" t="s">
        <v>782</v>
      </c>
      <c r="B338" s="66" t="s">
        <v>783</v>
      </c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7" t="s">
        <v>784</v>
      </c>
      <c r="B339" s="67" t="s">
        <v>785</v>
      </c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6" t="s">
        <v>786</v>
      </c>
      <c r="B340" s="66" t="s">
        <v>787</v>
      </c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7" t="s">
        <v>788</v>
      </c>
      <c r="B341" s="67" t="s">
        <v>756</v>
      </c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6" t="s">
        <v>789</v>
      </c>
      <c r="B342" s="66" t="s">
        <v>624</v>
      </c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7" t="s">
        <v>790</v>
      </c>
      <c r="B343" s="67" t="s">
        <v>727</v>
      </c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6" t="s">
        <v>791</v>
      </c>
      <c r="B344" s="66" t="s">
        <v>783</v>
      </c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7" t="s">
        <v>792</v>
      </c>
      <c r="B345" s="67" t="s">
        <v>793</v>
      </c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6" t="s">
        <v>794</v>
      </c>
      <c r="B346" s="66" t="s">
        <v>795</v>
      </c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7" t="s">
        <v>796</v>
      </c>
      <c r="B347" s="67" t="s">
        <v>797</v>
      </c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6" t="s">
        <v>798</v>
      </c>
      <c r="B348" s="66" t="s">
        <v>672</v>
      </c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7" t="s">
        <v>799</v>
      </c>
      <c r="B349" s="67" t="s">
        <v>743</v>
      </c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6" t="s">
        <v>800</v>
      </c>
      <c r="B350" s="66" t="s">
        <v>777</v>
      </c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7" t="s">
        <v>801</v>
      </c>
      <c r="B351" s="67" t="s">
        <v>802</v>
      </c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6" t="s">
        <v>803</v>
      </c>
      <c r="B352" s="66" t="s">
        <v>804</v>
      </c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7" t="s">
        <v>805</v>
      </c>
      <c r="B353" s="67" t="s">
        <v>74</v>
      </c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6" t="s">
        <v>806</v>
      </c>
      <c r="B354" s="66" t="s">
        <v>769</v>
      </c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7" t="s">
        <v>807</v>
      </c>
      <c r="B355" s="67" t="s">
        <v>601</v>
      </c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6" t="s">
        <v>808</v>
      </c>
      <c r="B356" s="66" t="s">
        <v>574</v>
      </c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7" t="s">
        <v>809</v>
      </c>
      <c r="B357" s="67" t="s">
        <v>102</v>
      </c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6" t="s">
        <v>810</v>
      </c>
      <c r="B358" s="66" t="s">
        <v>811</v>
      </c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7" t="s">
        <v>812</v>
      </c>
      <c r="B359" s="67" t="s">
        <v>813</v>
      </c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6" t="s">
        <v>814</v>
      </c>
      <c r="B360" s="66" t="s">
        <v>815</v>
      </c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7" t="s">
        <v>816</v>
      </c>
      <c r="B361" s="67" t="s">
        <v>817</v>
      </c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6" t="s">
        <v>818</v>
      </c>
      <c r="B362" s="66" t="s">
        <v>762</v>
      </c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7" t="s">
        <v>819</v>
      </c>
      <c r="B363" s="67" t="s">
        <v>729</v>
      </c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6" t="s">
        <v>820</v>
      </c>
      <c r="B364" s="66" t="s">
        <v>712</v>
      </c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7" t="s">
        <v>821</v>
      </c>
      <c r="B365" s="67" t="s">
        <v>822</v>
      </c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6" t="s">
        <v>823</v>
      </c>
      <c r="B366" s="66" t="s">
        <v>797</v>
      </c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7" t="s">
        <v>824</v>
      </c>
      <c r="B367" s="67" t="s">
        <v>825</v>
      </c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6" t="s">
        <v>826</v>
      </c>
      <c r="B368" s="66" t="s">
        <v>827</v>
      </c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7" t="s">
        <v>828</v>
      </c>
      <c r="B369" s="67" t="s">
        <v>829</v>
      </c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6" t="s">
        <v>830</v>
      </c>
      <c r="B370" s="66" t="s">
        <v>831</v>
      </c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7" t="s">
        <v>832</v>
      </c>
      <c r="B371" s="67" t="s">
        <v>825</v>
      </c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6" t="s">
        <v>833</v>
      </c>
      <c r="B372" s="66" t="s">
        <v>834</v>
      </c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7" t="s">
        <v>835</v>
      </c>
      <c r="B373" s="67" t="s">
        <v>733</v>
      </c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6" t="s">
        <v>836</v>
      </c>
      <c r="B374" s="66" t="s">
        <v>837</v>
      </c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7" t="s">
        <v>838</v>
      </c>
      <c r="B375" s="67" t="s">
        <v>839</v>
      </c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6" t="s">
        <v>840</v>
      </c>
      <c r="B376" s="66" t="s">
        <v>841</v>
      </c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7" t="s">
        <v>842</v>
      </c>
      <c r="B377" s="67" t="s">
        <v>839</v>
      </c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6" t="s">
        <v>843</v>
      </c>
      <c r="B378" s="66" t="s">
        <v>844</v>
      </c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7" t="s">
        <v>845</v>
      </c>
      <c r="B379" s="67" t="s">
        <v>561</v>
      </c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6" t="s">
        <v>846</v>
      </c>
      <c r="B380" s="66" t="s">
        <v>736</v>
      </c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7" t="s">
        <v>847</v>
      </c>
      <c r="B381" s="67" t="s">
        <v>848</v>
      </c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6" t="s">
        <v>849</v>
      </c>
      <c r="B382" s="66" t="s">
        <v>850</v>
      </c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7" t="s">
        <v>851</v>
      </c>
      <c r="B383" s="67" t="s">
        <v>797</v>
      </c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6" t="s">
        <v>852</v>
      </c>
      <c r="B384" s="66" t="s">
        <v>580</v>
      </c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7" t="s">
        <v>852</v>
      </c>
      <c r="B385" s="67" t="s">
        <v>579</v>
      </c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6" t="s">
        <v>853</v>
      </c>
      <c r="B386" s="66" t="s">
        <v>854</v>
      </c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7" t="s">
        <v>855</v>
      </c>
      <c r="B387" s="67" t="s">
        <v>804</v>
      </c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6" t="s">
        <v>856</v>
      </c>
      <c r="B388" s="66" t="s">
        <v>712</v>
      </c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7" t="s">
        <v>857</v>
      </c>
      <c r="B389" s="67" t="s">
        <v>858</v>
      </c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6" t="s">
        <v>859</v>
      </c>
      <c r="B390" s="66" t="s">
        <v>860</v>
      </c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7" t="s">
        <v>861</v>
      </c>
      <c r="B391" s="67" t="s">
        <v>710</v>
      </c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6" t="s">
        <v>862</v>
      </c>
      <c r="B392" s="66" t="s">
        <v>831</v>
      </c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7" t="s">
        <v>863</v>
      </c>
      <c r="B393" s="67" t="s">
        <v>710</v>
      </c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6" t="s">
        <v>864</v>
      </c>
      <c r="B394" s="66" t="s">
        <v>865</v>
      </c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7" t="s">
        <v>866</v>
      </c>
      <c r="B395" s="67" t="s">
        <v>793</v>
      </c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6" t="s">
        <v>867</v>
      </c>
      <c r="B396" s="66" t="s">
        <v>868</v>
      </c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7" t="s">
        <v>869</v>
      </c>
      <c r="B397" s="67" t="s">
        <v>870</v>
      </c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6" t="s">
        <v>871</v>
      </c>
      <c r="B398" s="66" t="s">
        <v>831</v>
      </c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7" t="s">
        <v>872</v>
      </c>
      <c r="B399" s="67" t="s">
        <v>860</v>
      </c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6" t="s">
        <v>873</v>
      </c>
      <c r="B400" s="66" t="s">
        <v>710</v>
      </c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7" t="s">
        <v>874</v>
      </c>
      <c r="B401" s="67" t="s">
        <v>841</v>
      </c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6" t="s">
        <v>875</v>
      </c>
      <c r="B402" s="66" t="s">
        <v>876</v>
      </c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7" t="s">
        <v>877</v>
      </c>
      <c r="B403" s="67" t="s">
        <v>766</v>
      </c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6" t="s">
        <v>878</v>
      </c>
      <c r="B404" s="66" t="s">
        <v>854</v>
      </c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7" t="s">
        <v>879</v>
      </c>
      <c r="B405" s="67" t="s">
        <v>880</v>
      </c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6" t="s">
        <v>881</v>
      </c>
      <c r="B406" s="66" t="s">
        <v>882</v>
      </c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7" t="s">
        <v>883</v>
      </c>
      <c r="B407" s="67" t="s">
        <v>85</v>
      </c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6" t="s">
        <v>884</v>
      </c>
      <c r="B408" s="66" t="s">
        <v>797</v>
      </c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7" t="s">
        <v>885</v>
      </c>
      <c r="B409" s="67" t="s">
        <v>880</v>
      </c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6" t="s">
        <v>886</v>
      </c>
      <c r="B410" s="66" t="s">
        <v>880</v>
      </c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7" t="s">
        <v>887</v>
      </c>
      <c r="B411" s="67" t="s">
        <v>31</v>
      </c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6" t="s">
        <v>888</v>
      </c>
      <c r="B412" s="66" t="s">
        <v>13</v>
      </c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7" t="s">
        <v>889</v>
      </c>
      <c r="B413" s="67" t="s">
        <v>890</v>
      </c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6" t="s">
        <v>891</v>
      </c>
      <c r="B414" s="66" t="s">
        <v>892</v>
      </c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7" t="s">
        <v>893</v>
      </c>
      <c r="B415" s="67" t="s">
        <v>760</v>
      </c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6" t="s">
        <v>894</v>
      </c>
      <c r="B416" s="66" t="s">
        <v>722</v>
      </c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7" t="s">
        <v>895</v>
      </c>
      <c r="B417" s="67" t="s">
        <v>773</v>
      </c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6" t="s">
        <v>896</v>
      </c>
      <c r="B418" s="66" t="s">
        <v>892</v>
      </c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7" t="s">
        <v>897</v>
      </c>
      <c r="B419" s="67" t="s">
        <v>898</v>
      </c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6" t="s">
        <v>899</v>
      </c>
      <c r="B420" s="66" t="s">
        <v>420</v>
      </c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7" t="s">
        <v>900</v>
      </c>
      <c r="B421" s="67" t="s">
        <v>882</v>
      </c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6" t="s">
        <v>901</v>
      </c>
      <c r="B422" s="66" t="s">
        <v>797</v>
      </c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7" t="s">
        <v>902</v>
      </c>
      <c r="B423" s="67" t="s">
        <v>903</v>
      </c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6" t="s">
        <v>904</v>
      </c>
      <c r="B424" s="66" t="s">
        <v>905</v>
      </c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7" t="s">
        <v>906</v>
      </c>
      <c r="B425" s="67" t="s">
        <v>905</v>
      </c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6" t="s">
        <v>907</v>
      </c>
      <c r="B426" s="66" t="s">
        <v>858</v>
      </c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7" t="s">
        <v>908</v>
      </c>
      <c r="B427" s="67" t="s">
        <v>696</v>
      </c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6" t="s">
        <v>909</v>
      </c>
      <c r="B428" s="66" t="s">
        <v>910</v>
      </c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7" t="s">
        <v>911</v>
      </c>
      <c r="B429" s="67" t="s">
        <v>912</v>
      </c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6" t="s">
        <v>913</v>
      </c>
      <c r="B430" s="66" t="s">
        <v>797</v>
      </c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7" t="s">
        <v>914</v>
      </c>
      <c r="B431" s="67" t="s">
        <v>915</v>
      </c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6" t="s">
        <v>916</v>
      </c>
      <c r="B432" s="66" t="s">
        <v>917</v>
      </c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7" t="s">
        <v>918</v>
      </c>
      <c r="B433" s="67" t="s">
        <v>797</v>
      </c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6" t="s">
        <v>919</v>
      </c>
      <c r="B434" s="66" t="s">
        <v>920</v>
      </c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7" t="s">
        <v>921</v>
      </c>
      <c r="B435" s="67" t="s">
        <v>922</v>
      </c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6" t="s">
        <v>923</v>
      </c>
      <c r="B436" s="66" t="s">
        <v>747</v>
      </c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7" t="s">
        <v>924</v>
      </c>
      <c r="B437" s="67" t="s">
        <v>925</v>
      </c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6" t="s">
        <v>926</v>
      </c>
      <c r="B438" s="66" t="s">
        <v>925</v>
      </c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7" t="s">
        <v>927</v>
      </c>
      <c r="B439" s="67" t="s">
        <v>858</v>
      </c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6" t="s">
        <v>928</v>
      </c>
      <c r="B440" s="66" t="s">
        <v>928</v>
      </c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7" t="s">
        <v>929</v>
      </c>
      <c r="B441" s="67" t="s">
        <v>870</v>
      </c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6" t="s">
        <v>930</v>
      </c>
      <c r="B442" s="66" t="s">
        <v>775</v>
      </c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7" t="s">
        <v>931</v>
      </c>
      <c r="B443" s="67" t="s">
        <v>932</v>
      </c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6" t="s">
        <v>933</v>
      </c>
      <c r="B444" s="66" t="s">
        <v>934</v>
      </c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7" t="s">
        <v>935</v>
      </c>
      <c r="B445" s="67" t="s">
        <v>704</v>
      </c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6" t="s">
        <v>936</v>
      </c>
      <c r="B446" s="66" t="s">
        <v>834</v>
      </c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7" t="s">
        <v>937</v>
      </c>
      <c r="B447" s="67" t="s">
        <v>938</v>
      </c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6" t="s">
        <v>939</v>
      </c>
      <c r="B448" s="66" t="s">
        <v>690</v>
      </c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7" t="s">
        <v>940</v>
      </c>
      <c r="B449" s="67" t="s">
        <v>941</v>
      </c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6" t="s">
        <v>942</v>
      </c>
      <c r="B450" s="66" t="s">
        <v>942</v>
      </c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7" t="s">
        <v>943</v>
      </c>
      <c r="B451" s="67" t="s">
        <v>944</v>
      </c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6" t="s">
        <v>945</v>
      </c>
      <c r="B452" s="66" t="s">
        <v>946</v>
      </c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7" t="s">
        <v>947</v>
      </c>
      <c r="B453" s="67" t="s">
        <v>948</v>
      </c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6" t="s">
        <v>949</v>
      </c>
      <c r="B454" s="66" t="s">
        <v>950</v>
      </c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7" t="s">
        <v>951</v>
      </c>
      <c r="B455" s="67" t="s">
        <v>952</v>
      </c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6" t="s">
        <v>953</v>
      </c>
      <c r="B456" s="66" t="s">
        <v>953</v>
      </c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7" t="s">
        <v>954</v>
      </c>
      <c r="B457" s="67" t="s">
        <v>954</v>
      </c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6" t="s">
        <v>955</v>
      </c>
      <c r="B458" s="66" t="s">
        <v>946</v>
      </c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7" t="s">
        <v>956</v>
      </c>
      <c r="B459" s="67" t="s">
        <v>957</v>
      </c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6" t="s">
        <v>958</v>
      </c>
      <c r="B460" s="66" t="s">
        <v>959</v>
      </c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7" t="s">
        <v>960</v>
      </c>
      <c r="B461" s="67" t="s">
        <v>961</v>
      </c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6" t="s">
        <v>962</v>
      </c>
      <c r="B462" s="66" t="s">
        <v>961</v>
      </c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7" t="s">
        <v>963</v>
      </c>
      <c r="B463" s="67" t="s">
        <v>964</v>
      </c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6" t="s">
        <v>965</v>
      </c>
      <c r="B464" s="66" t="s">
        <v>964</v>
      </c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7" t="s">
        <v>966</v>
      </c>
      <c r="B465" s="67" t="s">
        <v>967</v>
      </c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6" t="s">
        <v>968</v>
      </c>
      <c r="B466" s="66" t="s">
        <v>969</v>
      </c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7" t="s">
        <v>970</v>
      </c>
      <c r="B467" s="67" t="s">
        <v>969</v>
      </c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6" t="s">
        <v>971</v>
      </c>
      <c r="B468" s="66" t="s">
        <v>967</v>
      </c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7" t="s">
        <v>972</v>
      </c>
      <c r="B469" s="67" t="s">
        <v>972</v>
      </c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6" t="s">
        <v>973</v>
      </c>
      <c r="B470" s="66" t="s">
        <v>974</v>
      </c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7" t="s">
        <v>975</v>
      </c>
      <c r="B471" s="67" t="s">
        <v>976</v>
      </c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6" t="s">
        <v>977</v>
      </c>
      <c r="B472" s="66" t="s">
        <v>976</v>
      </c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7" t="s">
        <v>978</v>
      </c>
      <c r="B473" s="67" t="s">
        <v>938</v>
      </c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6" t="s">
        <v>979</v>
      </c>
      <c r="B474" s="66" t="s">
        <v>979</v>
      </c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7" t="s">
        <v>980</v>
      </c>
      <c r="B475" s="67" t="s">
        <v>518</v>
      </c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6" t="s">
        <v>981</v>
      </c>
      <c r="B476" s="66" t="s">
        <v>982</v>
      </c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7" t="s">
        <v>983</v>
      </c>
      <c r="B477" s="67" t="s">
        <v>983</v>
      </c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6" t="s">
        <v>984</v>
      </c>
      <c r="B478" s="66" t="s">
        <v>802</v>
      </c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7" t="s">
        <v>985</v>
      </c>
      <c r="B479" s="67" t="s">
        <v>813</v>
      </c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6" t="s">
        <v>986</v>
      </c>
      <c r="B480" s="66" t="s">
        <v>987</v>
      </c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7" t="s">
        <v>988</v>
      </c>
      <c r="B481" s="67" t="s">
        <v>989</v>
      </c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6" t="s">
        <v>990</v>
      </c>
      <c r="B482" s="66" t="s">
        <v>989</v>
      </c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7" t="s">
        <v>991</v>
      </c>
      <c r="B483" s="67" t="s">
        <v>992</v>
      </c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6" t="s">
        <v>993</v>
      </c>
      <c r="B484" s="66" t="s">
        <v>992</v>
      </c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7" t="s">
        <v>994</v>
      </c>
      <c r="B485" s="67" t="s">
        <v>994</v>
      </c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6" t="s">
        <v>995</v>
      </c>
      <c r="B486" s="66" t="s">
        <v>892</v>
      </c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7" t="s">
        <v>996</v>
      </c>
      <c r="B487" s="67" t="s">
        <v>997</v>
      </c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6" t="s">
        <v>998</v>
      </c>
      <c r="B488" s="66" t="s">
        <v>997</v>
      </c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7" t="s">
        <v>999</v>
      </c>
      <c r="B489" s="67" t="s">
        <v>997</v>
      </c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6" t="s">
        <v>1000</v>
      </c>
      <c r="B490" s="66" t="s">
        <v>1001</v>
      </c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7" t="s">
        <v>1002</v>
      </c>
      <c r="B491" s="67" t="s">
        <v>1003</v>
      </c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6" t="s">
        <v>1004</v>
      </c>
      <c r="B492" s="66" t="s">
        <v>1005</v>
      </c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7" t="s">
        <v>1006</v>
      </c>
      <c r="B493" s="67" t="s">
        <v>1001</v>
      </c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6" t="s">
        <v>1007</v>
      </c>
      <c r="B494" s="66" t="s">
        <v>1008</v>
      </c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7" t="s">
        <v>1009</v>
      </c>
      <c r="B495" s="67" t="s">
        <v>1010</v>
      </c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6" t="s">
        <v>1011</v>
      </c>
      <c r="B496" s="66" t="s">
        <v>1010</v>
      </c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7" t="s">
        <v>1012</v>
      </c>
      <c r="B497" s="67" t="s">
        <v>1013</v>
      </c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6" t="s">
        <v>1014</v>
      </c>
      <c r="B498" s="66" t="s">
        <v>1014</v>
      </c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7" t="s">
        <v>1015</v>
      </c>
      <c r="B499" s="67" t="s">
        <v>1015</v>
      </c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6" t="s">
        <v>1016</v>
      </c>
      <c r="B500" s="66" t="s">
        <v>1016</v>
      </c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7" t="s">
        <v>1017</v>
      </c>
      <c r="B501" s="67" t="s">
        <v>1017</v>
      </c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6" t="s">
        <v>1018</v>
      </c>
      <c r="B502" s="66" t="s">
        <v>1018</v>
      </c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7" t="s">
        <v>1019</v>
      </c>
      <c r="B503" s="67" t="s">
        <v>1020</v>
      </c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6" t="s">
        <v>1021</v>
      </c>
      <c r="B504" s="66" t="s">
        <v>1021</v>
      </c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7" t="s">
        <v>1022</v>
      </c>
      <c r="B505" s="67" t="s">
        <v>1022</v>
      </c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6" t="s">
        <v>1023</v>
      </c>
      <c r="B506" s="66" t="s">
        <v>1023</v>
      </c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7" t="s">
        <v>1024</v>
      </c>
      <c r="B507" s="67" t="s">
        <v>516</v>
      </c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6" t="s">
        <v>1025</v>
      </c>
      <c r="B508" s="66" t="s">
        <v>621</v>
      </c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7" t="s">
        <v>1026</v>
      </c>
      <c r="B509" s="67" t="s">
        <v>1026</v>
      </c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6" t="s">
        <v>1027</v>
      </c>
      <c r="B510" s="66" t="s">
        <v>1028</v>
      </c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7" t="s">
        <v>1029</v>
      </c>
      <c r="B511" s="67" t="s">
        <v>1029</v>
      </c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6" t="s">
        <v>1030</v>
      </c>
      <c r="B512" s="66" t="s">
        <v>1030</v>
      </c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7" t="s">
        <v>1031</v>
      </c>
      <c r="B513" s="67" t="s">
        <v>1031</v>
      </c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6" t="s">
        <v>1032</v>
      </c>
      <c r="B514" s="66" t="s">
        <v>1033</v>
      </c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7" t="s">
        <v>1034</v>
      </c>
      <c r="B515" s="67" t="s">
        <v>1035</v>
      </c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6" t="s">
        <v>1036</v>
      </c>
      <c r="B516" s="66" t="s">
        <v>1037</v>
      </c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7" t="s">
        <v>1038</v>
      </c>
      <c r="B517" s="67" t="s">
        <v>1038</v>
      </c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6" t="s">
        <v>1039</v>
      </c>
      <c r="B518" s="66" t="s">
        <v>1040</v>
      </c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7" t="s">
        <v>1041</v>
      </c>
      <c r="B519" s="67" t="s">
        <v>1040</v>
      </c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6" t="s">
        <v>1042</v>
      </c>
      <c r="B520" s="66" t="s">
        <v>1043</v>
      </c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7" t="s">
        <v>1044</v>
      </c>
      <c r="B521" s="67" t="s">
        <v>967</v>
      </c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6" t="s">
        <v>1045</v>
      </c>
      <c r="B522" s="66" t="s">
        <v>876</v>
      </c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7" t="s">
        <v>1046</v>
      </c>
      <c r="B523" s="67" t="s">
        <v>637</v>
      </c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6" t="s">
        <v>1047</v>
      </c>
      <c r="B524" s="66" t="s">
        <v>952</v>
      </c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7" t="s">
        <v>1048</v>
      </c>
      <c r="B525" s="67" t="s">
        <v>745</v>
      </c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6" t="s">
        <v>1049</v>
      </c>
      <c r="B526" s="66" t="s">
        <v>1050</v>
      </c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7" t="s">
        <v>1051</v>
      </c>
      <c r="B527" s="67" t="s">
        <v>1052</v>
      </c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6" t="s">
        <v>1053</v>
      </c>
      <c r="B528" s="66" t="s">
        <v>1054</v>
      </c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7" t="s">
        <v>1055</v>
      </c>
      <c r="B529" s="67" t="s">
        <v>974</v>
      </c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6" t="s">
        <v>1056</v>
      </c>
      <c r="B530" s="66" t="s">
        <v>982</v>
      </c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7" t="s">
        <v>1057</v>
      </c>
      <c r="B531" s="67" t="s">
        <v>865</v>
      </c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6" t="s">
        <v>1058</v>
      </c>
      <c r="B532" s="66" t="s">
        <v>827</v>
      </c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7" t="s">
        <v>1059</v>
      </c>
      <c r="B533" s="67" t="s">
        <v>704</v>
      </c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6" t="s">
        <v>1060</v>
      </c>
      <c r="B534" s="66" t="s">
        <v>795</v>
      </c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7" t="s">
        <v>1061</v>
      </c>
      <c r="B535" s="67" t="s">
        <v>628</v>
      </c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6" t="s">
        <v>1062</v>
      </c>
      <c r="B536" s="66" t="s">
        <v>1063</v>
      </c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25"/>
      <c r="B537" s="2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25"/>
      <c r="B538" s="2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25"/>
      <c r="B539" s="2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25"/>
      <c r="B540" s="2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25"/>
      <c r="B541" s="2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25"/>
      <c r="B542" s="2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25"/>
      <c r="B543" s="2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25"/>
      <c r="B544" s="2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25"/>
      <c r="B545" s="2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25"/>
      <c r="B546" s="2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25"/>
      <c r="B547" s="2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25"/>
      <c r="B548" s="2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25"/>
      <c r="B549" s="2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25"/>
      <c r="B550" s="2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25"/>
      <c r="B551" s="2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25"/>
      <c r="B552" s="2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25"/>
      <c r="B553" s="2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25"/>
      <c r="B554" s="2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25"/>
      <c r="B555" s="2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25"/>
      <c r="B556" s="2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25"/>
      <c r="B557" s="2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25"/>
      <c r="B558" s="2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25"/>
      <c r="B559" s="2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25"/>
      <c r="B560" s="2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25"/>
      <c r="B561" s="2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25"/>
      <c r="B562" s="2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25"/>
      <c r="B563" s="2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25"/>
      <c r="B564" s="2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25"/>
      <c r="B565" s="2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25"/>
      <c r="B566" s="2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25"/>
      <c r="B567" s="2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25"/>
      <c r="B568" s="2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25"/>
      <c r="B569" s="2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25"/>
      <c r="B570" s="2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25"/>
      <c r="B571" s="2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25"/>
      <c r="B572" s="2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25"/>
      <c r="B573" s="2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25"/>
      <c r="B574" s="2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25"/>
      <c r="B575" s="2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25"/>
      <c r="B576" s="2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25"/>
      <c r="B577" s="2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25"/>
      <c r="B578" s="2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25"/>
      <c r="B579" s="2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25"/>
      <c r="B580" s="2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25"/>
      <c r="B581" s="2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25"/>
      <c r="B582" s="2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25"/>
      <c r="B583" s="2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25"/>
      <c r="B584" s="2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25"/>
      <c r="B585" s="2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25"/>
      <c r="B586" s="2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25"/>
      <c r="B587" s="2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25"/>
      <c r="B588" s="2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25"/>
      <c r="B589" s="2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25"/>
      <c r="B590" s="2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25"/>
      <c r="B591" s="2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25"/>
      <c r="B592" s="2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25"/>
      <c r="B593" s="2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25"/>
      <c r="B594" s="2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25"/>
      <c r="B595" s="2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25"/>
      <c r="B596" s="2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25"/>
      <c r="B597" s="2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25"/>
      <c r="B598" s="2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25"/>
      <c r="B599" s="2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25"/>
      <c r="B600" s="2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25"/>
      <c r="B601" s="2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25"/>
      <c r="B602" s="2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25"/>
      <c r="B603" s="2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25"/>
      <c r="B604" s="2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25"/>
      <c r="B605" s="2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25"/>
      <c r="B606" s="2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25"/>
      <c r="B607" s="2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25"/>
      <c r="B608" s="2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25"/>
      <c r="B609" s="2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25"/>
      <c r="B610" s="2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25"/>
      <c r="B611" s="2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25"/>
      <c r="B612" s="2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25"/>
      <c r="B613" s="2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25"/>
      <c r="B614" s="2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25"/>
      <c r="B615" s="2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25"/>
      <c r="B616" s="2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25"/>
      <c r="B617" s="2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25"/>
      <c r="B618" s="2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25"/>
      <c r="B619" s="2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25"/>
      <c r="B620" s="2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25"/>
      <c r="B621" s="2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25"/>
      <c r="B622" s="2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25"/>
      <c r="B623" s="2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25"/>
      <c r="B624" s="2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25"/>
      <c r="B625" s="2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25"/>
      <c r="B626" s="2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25"/>
      <c r="B627" s="2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25"/>
      <c r="B628" s="2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25"/>
      <c r="B629" s="2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25"/>
      <c r="B630" s="2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25"/>
      <c r="B631" s="2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25"/>
      <c r="B632" s="2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25"/>
      <c r="B633" s="2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25"/>
      <c r="B634" s="2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25"/>
      <c r="B635" s="2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25"/>
      <c r="B636" s="2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25"/>
      <c r="B637" s="2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25"/>
      <c r="B638" s="2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25"/>
      <c r="B639" s="2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25"/>
      <c r="B640" s="2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25"/>
      <c r="B641" s="2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25"/>
      <c r="B642" s="2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25"/>
      <c r="B643" s="2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25"/>
      <c r="B644" s="2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25"/>
      <c r="B645" s="2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25"/>
      <c r="B646" s="2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25"/>
      <c r="B647" s="2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25"/>
      <c r="B648" s="2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25"/>
      <c r="B649" s="2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25"/>
      <c r="B650" s="2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25"/>
      <c r="B651" s="2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25"/>
      <c r="B652" s="2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25"/>
      <c r="B653" s="2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25"/>
      <c r="B654" s="2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25"/>
      <c r="B655" s="2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25"/>
      <c r="B656" s="2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25"/>
      <c r="B657" s="2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25"/>
      <c r="B658" s="2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25"/>
      <c r="B659" s="2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25"/>
      <c r="B660" s="2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25"/>
      <c r="B661" s="2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25"/>
      <c r="B662" s="2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25"/>
      <c r="B663" s="2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25"/>
      <c r="B664" s="2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25"/>
      <c r="B665" s="2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25"/>
      <c r="B666" s="2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25"/>
      <c r="B667" s="2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25"/>
      <c r="B668" s="2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25"/>
      <c r="B669" s="2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25"/>
      <c r="B670" s="2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25"/>
      <c r="B671" s="2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25"/>
      <c r="B672" s="2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25"/>
      <c r="B673" s="2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25"/>
      <c r="B674" s="2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25"/>
      <c r="B675" s="2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25"/>
      <c r="B676" s="2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25"/>
      <c r="B677" s="2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25"/>
      <c r="B678" s="2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25"/>
      <c r="B679" s="2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25"/>
      <c r="B680" s="2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25"/>
      <c r="B681" s="2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25"/>
      <c r="B682" s="2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25"/>
      <c r="B683" s="2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25"/>
      <c r="B684" s="2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25"/>
      <c r="B685" s="2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25"/>
      <c r="B686" s="2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25"/>
      <c r="B687" s="2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25"/>
      <c r="B688" s="2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25"/>
      <c r="B689" s="2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25"/>
      <c r="B690" s="2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25"/>
      <c r="B691" s="2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25"/>
      <c r="B692" s="2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25"/>
      <c r="B693" s="2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25"/>
      <c r="B694" s="2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25"/>
      <c r="B695" s="2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25"/>
      <c r="B696" s="2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25"/>
      <c r="B697" s="2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25"/>
      <c r="B698" s="2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25"/>
      <c r="B699" s="2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25"/>
      <c r="B700" s="2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25"/>
      <c r="B701" s="2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25"/>
      <c r="B702" s="2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25"/>
      <c r="B703" s="2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25"/>
      <c r="B704" s="2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25"/>
      <c r="B705" s="2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25"/>
      <c r="B706" s="2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25"/>
      <c r="B707" s="2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25"/>
      <c r="B708" s="2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25"/>
      <c r="B709" s="2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25"/>
      <c r="B710" s="2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25"/>
      <c r="B711" s="2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25"/>
      <c r="B712" s="2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25"/>
      <c r="B713" s="2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25"/>
      <c r="B714" s="2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25"/>
      <c r="B715" s="2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25"/>
      <c r="B716" s="2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25"/>
      <c r="B717" s="2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25"/>
      <c r="B718" s="2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25"/>
      <c r="B719" s="2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25"/>
      <c r="B720" s="2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25"/>
      <c r="B721" s="2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25"/>
      <c r="B722" s="2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25"/>
      <c r="B723" s="2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25"/>
      <c r="B724" s="2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25"/>
      <c r="B725" s="2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25"/>
      <c r="B726" s="2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25"/>
      <c r="B727" s="2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25"/>
      <c r="B728" s="2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25"/>
      <c r="B729" s="2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25"/>
      <c r="B730" s="2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25"/>
      <c r="B731" s="2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25"/>
      <c r="B732" s="2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25"/>
      <c r="B733" s="2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25"/>
      <c r="B734" s="2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25"/>
      <c r="B735" s="2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25"/>
      <c r="B736" s="2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25"/>
      <c r="B737" s="2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25"/>
      <c r="B738" s="2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25"/>
      <c r="B739" s="2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25"/>
      <c r="B740" s="2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25"/>
      <c r="B741" s="2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25"/>
      <c r="B742" s="2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25"/>
      <c r="B743" s="2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25"/>
      <c r="B744" s="2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25"/>
      <c r="B745" s="2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25"/>
      <c r="B746" s="2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25"/>
      <c r="B747" s="2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25"/>
      <c r="B748" s="2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25"/>
      <c r="B749" s="2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25"/>
      <c r="B750" s="2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25"/>
      <c r="B751" s="2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25"/>
      <c r="B752" s="2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25"/>
      <c r="B753" s="2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25"/>
      <c r="B754" s="2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25"/>
      <c r="B755" s="2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25"/>
      <c r="B756" s="2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25"/>
      <c r="B757" s="2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25"/>
      <c r="B758" s="2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25"/>
      <c r="B759" s="2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25"/>
      <c r="B760" s="2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25"/>
      <c r="B761" s="2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25"/>
      <c r="B762" s="2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25"/>
      <c r="B763" s="2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25"/>
      <c r="B764" s="2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25"/>
      <c r="B765" s="2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25"/>
      <c r="B766" s="2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25"/>
      <c r="B767" s="2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25"/>
      <c r="B768" s="2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25"/>
      <c r="B769" s="2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25"/>
      <c r="B770" s="2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25"/>
      <c r="B771" s="2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25"/>
      <c r="B772" s="2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25"/>
      <c r="B773" s="2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25"/>
      <c r="B774" s="2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25"/>
      <c r="B775" s="2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25"/>
      <c r="B776" s="2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25"/>
      <c r="B777" s="2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25"/>
      <c r="B778" s="2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25"/>
      <c r="B779" s="2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25"/>
      <c r="B780" s="2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25"/>
      <c r="B781" s="2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25"/>
      <c r="B782" s="2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25"/>
      <c r="B783" s="2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25"/>
      <c r="B784" s="2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25"/>
      <c r="B785" s="2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25"/>
      <c r="B786" s="2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25"/>
      <c r="B787" s="2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25"/>
      <c r="B788" s="2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25"/>
      <c r="B789" s="2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25"/>
      <c r="B790" s="2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25"/>
      <c r="B791" s="2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25"/>
      <c r="B792" s="2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25"/>
      <c r="B793" s="2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25"/>
      <c r="B794" s="2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25"/>
      <c r="B795" s="2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25"/>
      <c r="B796" s="2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25"/>
      <c r="B797" s="2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25"/>
      <c r="B798" s="2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25"/>
      <c r="B799" s="2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25"/>
      <c r="B800" s="2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25"/>
      <c r="B801" s="2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25"/>
      <c r="B802" s="2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25"/>
      <c r="B803" s="2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25"/>
      <c r="B804" s="2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25"/>
      <c r="B805" s="2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25"/>
      <c r="B806" s="2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25"/>
      <c r="B807" s="2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25"/>
      <c r="B808" s="2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25"/>
      <c r="B809" s="2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25"/>
      <c r="B810" s="2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25"/>
      <c r="B811" s="2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25"/>
      <c r="B812" s="2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25"/>
      <c r="B813" s="2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25"/>
      <c r="B814" s="2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25"/>
      <c r="B815" s="2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25"/>
      <c r="B816" s="2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25"/>
      <c r="B817" s="2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25"/>
      <c r="B818" s="2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25"/>
      <c r="B819" s="2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25"/>
      <c r="B820" s="2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25"/>
      <c r="B821" s="2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25"/>
      <c r="B822" s="2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25"/>
      <c r="B823" s="2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25"/>
      <c r="B824" s="2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25"/>
      <c r="B825" s="2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25"/>
      <c r="B826" s="2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25"/>
      <c r="B827" s="2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25"/>
      <c r="B828" s="2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25"/>
      <c r="B829" s="2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25"/>
      <c r="B830" s="2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25"/>
      <c r="B831" s="2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25"/>
      <c r="B832" s="2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25"/>
      <c r="B833" s="2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25"/>
      <c r="B834" s="2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25"/>
      <c r="B835" s="2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25"/>
      <c r="B836" s="2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25"/>
      <c r="B837" s="2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25"/>
      <c r="B838" s="2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25"/>
      <c r="B839" s="2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25"/>
      <c r="B840" s="2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25"/>
      <c r="B841" s="2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25"/>
      <c r="B842" s="2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25"/>
      <c r="B843" s="2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25"/>
      <c r="B844" s="2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25"/>
      <c r="B845" s="2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25"/>
      <c r="B846" s="2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25"/>
      <c r="B847" s="2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25"/>
      <c r="B848" s="2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25"/>
      <c r="B849" s="2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25"/>
      <c r="B850" s="2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25"/>
      <c r="B851" s="2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25"/>
      <c r="B852" s="2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25"/>
      <c r="B853" s="2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25"/>
      <c r="B854" s="2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25"/>
      <c r="B855" s="2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25"/>
      <c r="B856" s="2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25"/>
      <c r="B857" s="2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25"/>
      <c r="B858" s="2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25"/>
      <c r="B859" s="2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25"/>
      <c r="B860" s="2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25"/>
      <c r="B861" s="2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25"/>
      <c r="B862" s="2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25"/>
      <c r="B863" s="2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25"/>
      <c r="B864" s="2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25"/>
      <c r="B865" s="2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25"/>
      <c r="B866" s="2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25"/>
      <c r="B867" s="2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25"/>
      <c r="B868" s="2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25"/>
      <c r="B869" s="2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25"/>
      <c r="B870" s="2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25"/>
      <c r="B871" s="2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25"/>
      <c r="B872" s="2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25"/>
      <c r="B873" s="2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25"/>
      <c r="B874" s="2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25"/>
      <c r="B875" s="2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25"/>
      <c r="B876" s="2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25"/>
      <c r="B877" s="2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25"/>
      <c r="B878" s="2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25"/>
      <c r="B879" s="2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25"/>
      <c r="B880" s="2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25"/>
      <c r="B881" s="2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25"/>
      <c r="B882" s="2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25"/>
      <c r="B883" s="2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25"/>
      <c r="B884" s="2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25"/>
      <c r="B885" s="2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25"/>
      <c r="B886" s="2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25"/>
      <c r="B887" s="2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25"/>
      <c r="B888" s="2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25"/>
      <c r="B889" s="2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25"/>
      <c r="B890" s="2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25"/>
      <c r="B891" s="2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25"/>
      <c r="B892" s="2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25"/>
      <c r="B893" s="2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25"/>
      <c r="B894" s="2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25"/>
      <c r="B895" s="2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25"/>
      <c r="B896" s="2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25"/>
      <c r="B897" s="2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25"/>
      <c r="B898" s="2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25"/>
      <c r="B899" s="2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25"/>
      <c r="B900" s="2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25"/>
      <c r="B901" s="2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25"/>
      <c r="B902" s="2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25"/>
      <c r="B903" s="2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25"/>
      <c r="B904" s="2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25"/>
      <c r="B905" s="2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25"/>
      <c r="B906" s="2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25"/>
      <c r="B907" s="2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25"/>
      <c r="B908" s="2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25"/>
      <c r="B909" s="2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25"/>
      <c r="B910" s="2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25"/>
      <c r="B911" s="2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25"/>
      <c r="B912" s="2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25"/>
      <c r="B913" s="2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25"/>
      <c r="B914" s="2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25"/>
      <c r="B915" s="2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25"/>
      <c r="B916" s="2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25"/>
      <c r="B917" s="2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25"/>
      <c r="B918" s="2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25"/>
      <c r="B919" s="2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25"/>
      <c r="B920" s="2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25"/>
      <c r="B921" s="2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25"/>
      <c r="B922" s="2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25"/>
      <c r="B923" s="2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25"/>
      <c r="B924" s="2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25"/>
      <c r="B925" s="2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25"/>
      <c r="B926" s="2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25"/>
      <c r="B927" s="2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25"/>
      <c r="B928" s="2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25"/>
      <c r="B929" s="2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25"/>
      <c r="B930" s="2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25"/>
      <c r="B931" s="2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25"/>
      <c r="B932" s="2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25"/>
      <c r="B933" s="2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25"/>
      <c r="B934" s="2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25"/>
      <c r="B935" s="2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25"/>
      <c r="B936" s="2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25"/>
      <c r="B937" s="2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25"/>
      <c r="B938" s="2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25"/>
      <c r="B939" s="2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25"/>
      <c r="B940" s="2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25"/>
      <c r="B941" s="2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25"/>
      <c r="B942" s="2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25"/>
      <c r="B943" s="2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25"/>
      <c r="B944" s="2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25"/>
      <c r="B945" s="2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25"/>
      <c r="B946" s="2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25"/>
      <c r="B947" s="2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25"/>
      <c r="B948" s="2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25"/>
      <c r="B949" s="2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25"/>
      <c r="B950" s="2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25"/>
      <c r="B951" s="2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25"/>
      <c r="B952" s="2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25"/>
      <c r="B953" s="2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25"/>
      <c r="B954" s="2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25"/>
      <c r="B955" s="2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25"/>
      <c r="B956" s="2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25"/>
      <c r="B957" s="2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25"/>
      <c r="B958" s="2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25"/>
      <c r="B959" s="2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25"/>
      <c r="B960" s="2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25"/>
      <c r="B961" s="2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25"/>
      <c r="B962" s="2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25"/>
      <c r="B963" s="2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25"/>
      <c r="B964" s="2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25"/>
      <c r="B965" s="2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25"/>
      <c r="B966" s="2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25"/>
      <c r="B967" s="2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25"/>
      <c r="B968" s="2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25"/>
      <c r="B969" s="2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25"/>
      <c r="B970" s="2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25"/>
      <c r="B971" s="2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25"/>
      <c r="B972" s="2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25"/>
      <c r="B973" s="2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25"/>
      <c r="B974" s="2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25"/>
      <c r="B975" s="2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25"/>
      <c r="B976" s="2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25"/>
      <c r="B977" s="2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25"/>
      <c r="B978" s="2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25"/>
      <c r="B979" s="2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25"/>
      <c r="B980" s="2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25"/>
      <c r="B981" s="2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25"/>
      <c r="B982" s="2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25"/>
      <c r="B983" s="2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25"/>
      <c r="B984" s="2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25"/>
      <c r="B985" s="2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25"/>
      <c r="B986" s="2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25"/>
      <c r="B987" s="2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25"/>
      <c r="B988" s="2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25"/>
      <c r="B989" s="2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25"/>
      <c r="B990" s="2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25"/>
      <c r="B991" s="2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25"/>
      <c r="B992" s="2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25"/>
      <c r="B993" s="2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25"/>
      <c r="B994" s="2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25"/>
      <c r="B995" s="2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25"/>
      <c r="B996" s="2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25"/>
      <c r="B997" s="2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25"/>
      <c r="B998" s="2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25"/>
      <c r="B999" s="2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25"/>
      <c r="B1000" s="2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drawing r:id="rId1"/>
</worksheet>
</file>