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6A6A809-736A-4379-9253-62FDE7FD792E}" xr6:coauthVersionLast="47" xr6:coauthVersionMax="47" xr10:uidLastSave="{00000000-0000-0000-0000-000000000000}"/>
  <bookViews>
    <workbookView xWindow="810" yWindow="-120" windowWidth="28110" windowHeight="16440" activeTab="1" xr2:uid="{208DBF5D-B5AF-43C3-A658-D8041BCD0FFA}"/>
  </bookViews>
  <sheets>
    <sheet name="Verbas" sheetId="2" r:id="rId1"/>
    <sheet name="Relatorio" sheetId="1" r:id="rId2"/>
    <sheet name="importação" sheetId="3" r:id="rId3"/>
  </sheets>
  <definedNames>
    <definedName name="_xlnm.Print_Area" localSheetId="1">Relatorio!$A$1:$K$71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2" l="1"/>
  <c r="A20" i="1" s="1"/>
  <c r="B20" i="1" s="1"/>
  <c r="B18" i="2"/>
  <c r="A19" i="1" s="1"/>
  <c r="B19" i="1" s="1"/>
  <c r="B17" i="2"/>
  <c r="A18" i="1" s="1"/>
  <c r="B18" i="1" s="1"/>
  <c r="B16" i="2" l="1"/>
  <c r="A17" i="1" s="1"/>
  <c r="B17" i="1" s="1"/>
  <c r="B4" i="2"/>
  <c r="B5" i="2"/>
  <c r="A6" i="1" s="1"/>
  <c r="B6" i="1" s="1"/>
  <c r="B6" i="2"/>
  <c r="B7" i="2"/>
  <c r="B8" i="2"/>
  <c r="B9" i="2"/>
  <c r="B10" i="2"/>
  <c r="B11" i="2"/>
  <c r="B12" i="2"/>
  <c r="A13" i="1" s="1"/>
  <c r="B13" i="2"/>
  <c r="B14" i="2"/>
  <c r="B15" i="2"/>
  <c r="A8" i="1" l="1"/>
  <c r="B8" i="1" s="1"/>
  <c r="A12" i="1"/>
  <c r="B12" i="1" s="1"/>
  <c r="A16" i="1"/>
  <c r="B16" i="1" s="1"/>
  <c r="A15" i="1"/>
  <c r="B15" i="1" s="1"/>
  <c r="A14" i="1"/>
  <c r="B14" i="1" s="1"/>
  <c r="B13" i="1"/>
  <c r="A11" i="1"/>
  <c r="B11" i="1" s="1"/>
  <c r="A10" i="1"/>
  <c r="B10" i="1" s="1"/>
  <c r="A9" i="1"/>
  <c r="B9" i="1" s="1"/>
  <c r="A7" i="1"/>
  <c r="B7" i="1" s="1"/>
  <c r="A5" i="1"/>
  <c r="B5" i="1" s="1"/>
  <c r="B88" i="1"/>
  <c r="B34" i="1" s="1"/>
  <c r="B1" i="2"/>
  <c r="A1" i="1" s="1"/>
  <c r="B2" i="2"/>
  <c r="A2" i="1" s="1"/>
  <c r="B3" i="2" l="1"/>
  <c r="C4" i="2" l="1"/>
  <c r="B4" i="1" l="1"/>
  <c r="B26" i="1" l="1"/>
  <c r="B25" i="1"/>
  <c r="B24" i="1"/>
  <c r="B27" i="1" l="1"/>
  <c r="B30" i="1" s="1"/>
  <c r="B78" i="1" l="1"/>
  <c r="B83" i="1"/>
  <c r="B86" i="1" s="1"/>
  <c r="B79" i="1" l="1"/>
  <c r="B82" i="1" s="1"/>
  <c r="B85" i="1"/>
  <c r="B84" i="1"/>
  <c r="B80" i="1" l="1"/>
  <c r="B81" i="1"/>
  <c r="B87" i="1" s="1"/>
  <c r="B33" i="1" s="1"/>
  <c r="B32" i="1"/>
  <c r="B31" i="1" l="1"/>
  <c r="B35" i="1" s="1"/>
  <c r="B89" i="1"/>
  <c r="B91" i="1" s="1"/>
</calcChain>
</file>

<file path=xl/sharedStrings.xml><?xml version="1.0" encoding="utf-8"?>
<sst xmlns="http://schemas.openxmlformats.org/spreadsheetml/2006/main" count="102" uniqueCount="90">
  <si>
    <t>Nome</t>
  </si>
  <si>
    <t>Folha de Pagamento - julho/2021 (Cálculo Mensal)</t>
  </si>
  <si>
    <t>Pág:1/1</t>
  </si>
  <si>
    <t>Origem: Cálculos</t>
  </si>
  <si>
    <t>P R O V E N T O S</t>
  </si>
  <si>
    <t>D E S C O N T O S</t>
  </si>
  <si>
    <t>1001 - Salario</t>
  </si>
  <si>
    <t>30,00</t>
  </si>
  <si>
    <t>2030 - Adiantamento salarial</t>
  </si>
  <si>
    <t>40,00</t>
  </si>
  <si>
    <t>1008 - Adicional Noturno</t>
  </si>
  <si>
    <t>2080 - INSS</t>
  </si>
  <si>
    <t>1009 - Hora extra - 50%</t>
  </si>
  <si>
    <t>1010 - Intra Jornada - 50%</t>
  </si>
  <si>
    <t>1011 - Hora extra - 100%</t>
  </si>
  <si>
    <t>1012 - DSR - Hora extra</t>
  </si>
  <si>
    <t>5,00</t>
  </si>
  <si>
    <t>1082 - Bienio</t>
  </si>
  <si>
    <t>0,00</t>
  </si>
  <si>
    <t>1088 - DSR - Adicional Noturno</t>
  </si>
  <si>
    <t>1502 - Intra jornada 100%</t>
  </si>
  <si>
    <t xml:space="preserve">Total </t>
  </si>
  <si>
    <t>Total</t>
  </si>
  <si>
    <t xml:space="preserve"> LÍQUIDO:</t>
  </si>
  <si>
    <t>1644 - Td Domingo Trabalhado100%</t>
  </si>
  <si>
    <t>1081 - Anuenio</t>
  </si>
  <si>
    <t>1501 - Acumulo de Função 20%</t>
  </si>
  <si>
    <t>1541 - Hora 50% art 66</t>
  </si>
  <si>
    <t>Condominio</t>
  </si>
  <si>
    <t>Custo mensal</t>
  </si>
  <si>
    <t>FGTS 8%</t>
  </si>
  <si>
    <t>1/12 FERIAS</t>
  </si>
  <si>
    <t>1/3 FERIAS</t>
  </si>
  <si>
    <t>1/12 13º SALARIO</t>
  </si>
  <si>
    <t>PPRA/PCMSO 1/12</t>
  </si>
  <si>
    <t>Total:</t>
  </si>
  <si>
    <t>Custo Total :</t>
  </si>
  <si>
    <r>
      <t>Dep. SF:</t>
    </r>
    <r>
      <rPr>
        <sz val="8"/>
        <color indexed="8"/>
        <rFont val="Arial"/>
        <family val="2"/>
      </rPr>
      <t xml:space="preserve"> 0</t>
    </r>
  </si>
  <si>
    <r>
      <t>Demissão:</t>
    </r>
    <r>
      <rPr>
        <sz val="8"/>
        <color indexed="8"/>
        <rFont val="Arial"/>
        <family val="2"/>
      </rPr>
      <t xml:space="preserve"> -</t>
    </r>
  </si>
  <si>
    <t>Demissão (Multa FGTS + Lei12506)</t>
  </si>
  <si>
    <t>INSS 27% (Férias)</t>
  </si>
  <si>
    <t>FGTS 8% (Férias)</t>
  </si>
  <si>
    <t>INSS 27% (13ºSalario)</t>
  </si>
  <si>
    <t>FGTS 8% (13ºSalario)</t>
  </si>
  <si>
    <t>Férias proporcional</t>
  </si>
  <si>
    <t xml:space="preserve">INSS 27% </t>
  </si>
  <si>
    <t>Provisões</t>
  </si>
  <si>
    <t>Cesta Básica</t>
  </si>
  <si>
    <t>Custo total</t>
  </si>
  <si>
    <t>PIS 1%</t>
  </si>
  <si>
    <t>Seguro de Vida</t>
  </si>
  <si>
    <t>PIS 1% (13ºSalario)</t>
  </si>
  <si>
    <t>PIS 1% (Férias)</t>
  </si>
  <si>
    <t xml:space="preserve">Encargos </t>
  </si>
  <si>
    <t>Custo efetivo mênsal</t>
  </si>
  <si>
    <t>1500 - Acúmulo de Funcao 20% p/hora</t>
  </si>
  <si>
    <t>Salário</t>
  </si>
  <si>
    <t>Vale combustível</t>
  </si>
  <si>
    <t>Benefícios</t>
  </si>
  <si>
    <t>Custo Mensal - Funcionário</t>
  </si>
  <si>
    <t>1020 - Gratificacoes</t>
  </si>
  <si>
    <t>1653 - Acumulo função 50%</t>
  </si>
  <si>
    <t>1782 - Premio</t>
  </si>
  <si>
    <r>
      <t xml:space="preserve">Cargo: </t>
    </r>
    <r>
      <rPr>
        <sz val="8"/>
        <color indexed="8"/>
        <rFont val="Arial"/>
        <family val="2"/>
      </rPr>
      <t>517410 -</t>
    </r>
    <r>
      <rPr>
        <b/>
        <sz val="8"/>
        <color indexed="8"/>
        <rFont val="Arial"/>
        <family val="2"/>
      </rPr>
      <t xml:space="preserve"> </t>
    </r>
    <r>
      <rPr>
        <sz val="8"/>
        <color indexed="8"/>
        <rFont val="Arial"/>
        <family val="2"/>
      </rPr>
      <t>Porteiro(a) de Edifícios</t>
    </r>
  </si>
  <si>
    <r>
      <t>Dep. IRRF:</t>
    </r>
    <r>
      <rPr>
        <sz val="8"/>
        <color indexed="8"/>
        <rFont val="Arial"/>
        <family val="2"/>
      </rPr>
      <t xml:space="preserve"> 0</t>
    </r>
  </si>
  <si>
    <t>Laudos trabalhistas</t>
  </si>
  <si>
    <t>Fundo para demissão</t>
  </si>
  <si>
    <t>14,00</t>
  </si>
  <si>
    <t>2090 - IRRF</t>
  </si>
  <si>
    <t>15,00</t>
  </si>
  <si>
    <t>09:00</t>
  </si>
  <si>
    <t>58.389.941/0001-49</t>
  </si>
  <si>
    <t>13/08/2021 16:49:57</t>
  </si>
  <si>
    <r>
      <t>Admissão:</t>
    </r>
    <r>
      <rPr>
        <sz val="8"/>
        <color indexed="8"/>
        <rFont val="Arial"/>
        <family val="2"/>
      </rPr>
      <t xml:space="preserve"> 01/05/1993</t>
    </r>
  </si>
  <si>
    <r>
      <t>Salário:</t>
    </r>
    <r>
      <rPr>
        <sz val="8"/>
        <color indexed="8"/>
        <rFont val="Arial"/>
        <family val="2"/>
      </rPr>
      <t xml:space="preserve"> 1.622,27</t>
    </r>
  </si>
  <si>
    <t>261:00</t>
  </si>
  <si>
    <t>43:00</t>
  </si>
  <si>
    <t>2525 - Vale Transporte 3%</t>
  </si>
  <si>
    <t>3,00</t>
  </si>
  <si>
    <t>26:00</t>
  </si>
  <si>
    <t>03:00</t>
  </si>
  <si>
    <t>1523 - Vale Transporte Campinas</t>
  </si>
  <si>
    <t>28,00</t>
  </si>
  <si>
    <t>38:00</t>
  </si>
  <si>
    <t>18:00</t>
  </si>
  <si>
    <t xml:space="preserve">  4.051,16</t>
  </si>
  <si>
    <t>13º Salário proporcional</t>
  </si>
  <si>
    <t>CONDOMINIO EDIFICIO A</t>
  </si>
  <si>
    <r>
      <t>Funcionário:</t>
    </r>
    <r>
      <rPr>
        <sz val="8"/>
        <color indexed="8"/>
        <rFont val="Arial"/>
        <family val="2"/>
      </rPr>
      <t xml:space="preserve"> 00001 - Igor Couto</t>
    </r>
  </si>
  <si>
    <r>
      <t xml:space="preserve">PIS/ PASEP: </t>
    </r>
    <r>
      <rPr>
        <sz val="8"/>
        <color indexed="8"/>
        <rFont val="Arial"/>
        <family val="2"/>
      </rPr>
      <t>123.12345.12-1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</si>
</sst>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 &quot;#,##0.00"/>
    <numFmt numFmtId="165" formatCode="&quot;R$&quot;\ #,##0.00"/>
  </numFmts>
  <fonts count="14" x14ac:knownFonts="1">
    <font>
      <sz val="11"/>
      <color theme="1"/>
      <name val="Calibri"/>
      <family val="2"/>
      <scheme val="minor"/>
    </font>
    <font>
      <sz val="8"/>
      <color indexed="8"/>
      <name val="ARIAL"/>
      <charset val="1"/>
    </font>
    <font>
      <sz val="11"/>
      <color theme="1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sz val="18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0"/>
      <name val="Calibri Light"/>
      <family val="2"/>
      <scheme val="major"/>
    </font>
    <font>
      <sz val="20"/>
      <name val="Calibri"/>
      <family val="2"/>
      <scheme val="minor"/>
    </font>
    <font>
      <b/>
      <sz val="20"/>
      <name val="Calibri Light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top" wrapText="1" readingOrder="1"/>
    </xf>
    <xf numFmtId="0" fontId="6" fillId="0" borderId="0" xfId="0" applyFont="1"/>
    <xf numFmtId="0" fontId="6" fillId="0" borderId="0" xfId="0" applyFont="1" applyAlignment="1">
      <alignment vertical="center"/>
    </xf>
    <xf numFmtId="0" fontId="9" fillId="0" borderId="0" xfId="0" applyFont="1"/>
    <xf numFmtId="2" fontId="9" fillId="0" borderId="0" xfId="0" applyNumberFormat="1" applyFont="1"/>
    <xf numFmtId="0" fontId="8" fillId="0" borderId="1" xfId="0" applyFont="1" applyBorder="1" applyAlignment="1">
      <alignment horizontal="center"/>
    </xf>
    <xf numFmtId="44" fontId="9" fillId="0" borderId="2" xfId="1" applyFont="1" applyBorder="1"/>
    <xf numFmtId="0" fontId="8" fillId="4" borderId="3" xfId="0" applyFont="1" applyFill="1" applyBorder="1" applyAlignment="1">
      <alignment horizontal="center"/>
    </xf>
    <xf numFmtId="44" fontId="8" fillId="4" borderId="4" xfId="0" applyNumberFormat="1" applyFont="1" applyFill="1" applyBorder="1"/>
    <xf numFmtId="0" fontId="11" fillId="0" borderId="1" xfId="0" applyFont="1" applyBorder="1"/>
    <xf numFmtId="164" fontId="11" fillId="0" borderId="2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0" fontId="11" fillId="3" borderId="1" xfId="0" applyFont="1" applyFill="1" applyBorder="1"/>
    <xf numFmtId="0" fontId="11" fillId="3" borderId="2" xfId="0" applyFont="1" applyFill="1" applyBorder="1"/>
    <xf numFmtId="0" fontId="13" fillId="0" borderId="3" xfId="0" applyFont="1" applyBorder="1" applyAlignment="1">
      <alignment horizontal="center"/>
    </xf>
    <xf numFmtId="164" fontId="13" fillId="0" borderId="4" xfId="0" applyNumberFormat="1" applyFont="1" applyBorder="1" applyAlignment="1">
      <alignment horizontal="center"/>
    </xf>
    <xf numFmtId="0" fontId="8" fillId="0" borderId="1" xfId="0" applyFont="1" applyBorder="1" applyAlignment="1" applyProtection="1">
      <alignment horizontal="center" vertical="center"/>
    </xf>
    <xf numFmtId="44" fontId="9" fillId="0" borderId="2" xfId="1" applyFont="1" applyBorder="1" applyAlignment="1">
      <alignment horizontal="left" vertical="center"/>
    </xf>
    <xf numFmtId="0" fontId="10" fillId="7" borderId="1" xfId="0" applyFont="1" applyFill="1" applyBorder="1" applyAlignment="1" applyProtection="1">
      <alignment horizontal="center" vertical="center"/>
    </xf>
    <xf numFmtId="44" fontId="11" fillId="7" borderId="2" xfId="1" applyFont="1" applyFill="1" applyBorder="1" applyAlignment="1" applyProtection="1">
      <alignment horizontal="center" vertical="center"/>
      <protection locked="0"/>
    </xf>
    <xf numFmtId="44" fontId="12" fillId="7" borderId="2" xfId="1" applyFont="1" applyFill="1" applyBorder="1" applyAlignment="1" applyProtection="1">
      <alignment horizontal="left" vertical="center"/>
      <protection locked="0"/>
    </xf>
    <xf numFmtId="165" fontId="10" fillId="6" borderId="1" xfId="0" applyNumberFormat="1" applyFont="1" applyFill="1" applyBorder="1" applyAlignment="1" applyProtection="1">
      <alignment horizontal="center" vertical="center"/>
    </xf>
    <xf numFmtId="44" fontId="12" fillId="6" borderId="2" xfId="1" applyFont="1" applyFill="1" applyBorder="1" applyAlignment="1">
      <alignment horizontal="left" vertical="center"/>
    </xf>
    <xf numFmtId="0" fontId="8" fillId="4" borderId="3" xfId="0" applyFont="1" applyFill="1" applyBorder="1" applyAlignment="1" applyProtection="1">
      <alignment horizontal="center" vertical="center"/>
    </xf>
    <xf numFmtId="44" fontId="9" fillId="4" borderId="4" xfId="1" applyFont="1" applyFill="1" applyBorder="1" applyAlignment="1">
      <alignment horizontal="left" vertical="center"/>
    </xf>
    <xf numFmtId="0" fontId="4" fillId="0" borderId="0" xfId="0" applyFont="1" applyAlignment="1">
      <alignment horizontal="left" vertical="top" wrapText="1" readingOrder="1"/>
    </xf>
    <xf numFmtId="0" fontId="0" fillId="0" borderId="0" xfId="0" applyAlignment="1">
      <alignment vertical="top"/>
    </xf>
    <xf numFmtId="0" fontId="8" fillId="5" borderId="1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4" fillId="0" borderId="0" xfId="0" applyFont="1" applyAlignment="1">
      <alignment horizontal="left" vertical="top" wrapText="1" readingOrder="1"/>
    </xf>
    <xf numFmtId="4" fontId="4" fillId="0" borderId="0" xfId="0" applyNumberFormat="1" applyFont="1" applyAlignment="1">
      <alignment horizontal="right" vertical="top"/>
    </xf>
    <xf numFmtId="0" fontId="3" fillId="0" borderId="0" xfId="0" applyFont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3" fillId="0" borderId="0" xfId="0" applyFont="1" applyAlignment="1">
      <alignment horizontal="left" vertical="top" wrapText="1" readingOrder="1"/>
    </xf>
    <xf numFmtId="0" fontId="0" fillId="0" borderId="0" xfId="0" applyAlignment="1">
      <alignment vertical="top"/>
    </xf>
    <xf numFmtId="0" fontId="4" fillId="2" borderId="0" xfId="0" applyFont="1" applyFill="1" applyAlignment="1">
      <alignment horizontal="center" vertical="top" wrapText="1" readingOrder="1"/>
    </xf>
    <xf numFmtId="0" fontId="4" fillId="0" borderId="0" xfId="0" applyFont="1" applyAlignment="1">
      <alignment horizontal="center" vertical="top"/>
    </xf>
    <xf numFmtId="0" fontId="3" fillId="0" borderId="0" xfId="0" applyFont="1" applyAlignment="1">
      <alignment horizontal="right" vertical="top" wrapText="1" readingOrder="1"/>
    </xf>
    <xf numFmtId="0" fontId="3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5" fillId="0" borderId="0" xfId="0" applyFont="1" applyAlignment="1">
      <alignment horizontal="right" vertical="top" wrapText="1" readingOrder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2286"/>
      <color rgb="FF3333CC"/>
      <color rgb="FF245D90"/>
      <color rgb="FF7EB0DE"/>
      <color rgb="FFEAF2FA"/>
      <color rgb="FF6059E9"/>
      <color rgb="FF00CC00"/>
      <color rgb="FF54CC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480212706838757E-3"/>
          <c:y val="0"/>
          <c:w val="0.97273129551331239"/>
          <c:h val="0.88056014709858954"/>
        </c:manualLayout>
      </c:layout>
      <c:ofPieChart>
        <c:ofPieType val="bar"/>
        <c:varyColors val="1"/>
        <c:ser>
          <c:idx val="0"/>
          <c:order val="0"/>
          <c:explosion val="5"/>
          <c:dPt>
            <c:idx val="0"/>
            <c:bubble3D val="0"/>
            <c:explosion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7D8-431F-BD88-9593015318EA}"/>
              </c:ext>
            </c:extLst>
          </c:dPt>
          <c:dPt>
            <c:idx val="1"/>
            <c:bubble3D val="0"/>
            <c:explosion val="26"/>
            <c:spPr>
              <a:solidFill>
                <a:srgbClr val="EAF2FA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7D8-431F-BD88-9593015318EA}"/>
              </c:ext>
            </c:extLst>
          </c:dPt>
          <c:dPt>
            <c:idx val="2"/>
            <c:bubble3D val="0"/>
            <c:spPr>
              <a:solidFill>
                <a:srgbClr val="7EB0DE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7D8-431F-BD88-9593015318EA}"/>
              </c:ext>
            </c:extLst>
          </c:dPt>
          <c:dPt>
            <c:idx val="3"/>
            <c:bubble3D val="0"/>
            <c:spPr>
              <a:solidFill>
                <a:srgbClr val="245D90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7D8-431F-BD88-9593015318EA}"/>
              </c:ext>
            </c:extLst>
          </c:dPt>
          <c:dPt>
            <c:idx val="4"/>
            <c:bubble3D val="0"/>
            <c:spPr>
              <a:solidFill>
                <a:srgbClr val="222286"/>
              </a:solidFill>
              <a:ln w="9525"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6AB-4F53-8421-0428E61EA89E}"/>
              </c:ext>
            </c:extLst>
          </c:dPt>
          <c:dPt>
            <c:idx val="5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D8-431F-BD88-9593015318EA}"/>
              </c:ext>
            </c:extLst>
          </c:dPt>
          <c:dLbls>
            <c:dLbl>
              <c:idx val="5"/>
              <c:tx>
                <c:rich>
                  <a:bodyPr/>
                  <a:lstStyle/>
                  <a:p>
                    <a:r>
                      <a:rPr lang="en-US" baseline="0"/>
                      <a:t>Outros; </a:t>
                    </a:r>
                    <a:fld id="{B20DD573-6EC0-4EA8-B79B-2ECD11E3C269}" type="VALUE">
                      <a:rPr lang="en-US" baseline="0"/>
                      <a:pPr/>
                      <a:t>[VALOR]</a:t>
                    </a:fld>
                    <a:r>
                      <a:rPr lang="en-US" baseline="0"/>
                      <a:t>; </a:t>
                    </a:r>
                    <a:fld id="{A6D76390-DAE0-4AE8-9DA8-1E2428DF3B4A}" type="PERCENTAGE">
                      <a:rPr lang="en-US" baseline="0"/>
                      <a:pPr/>
                      <a:t>[PORCENTAGEM]</a:t>
                    </a:fld>
                    <a:endParaRPr lang="en-US" baseline="0"/>
                  </a:p>
                </c:rich>
              </c:tx>
              <c:dLblPos val="in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7D8-431F-BD88-9593015318E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Relatorio!$A$30:$A$34</c:f>
              <c:strCache>
                <c:ptCount val="5"/>
                <c:pt idx="0">
                  <c:v>Custo mensal</c:v>
                </c:pt>
                <c:pt idx="1">
                  <c:v>Férias proporcional</c:v>
                </c:pt>
                <c:pt idx="2">
                  <c:v>13º Salário proporcional</c:v>
                </c:pt>
                <c:pt idx="3">
                  <c:v>Fundo para demissão</c:v>
                </c:pt>
                <c:pt idx="4">
                  <c:v>Laudos trabalhistas</c:v>
                </c:pt>
              </c:strCache>
            </c:strRef>
          </c:cat>
          <c:val>
            <c:numRef>
              <c:f>Relatorio!$B$30:$B$34</c:f>
              <c:numCache>
                <c:formatCode>_("R$"* #,##0.00_);_("R$"* \(#,##0.00\);_("R$"* "-"??_);_(@_)</c:formatCode>
                <c:ptCount val="5"/>
                <c:pt idx="0">
                  <c:v>7491.1747999999998</c:v>
                </c:pt>
                <c:pt idx="1">
                  <c:v>778.49724444444462</c:v>
                </c:pt>
                <c:pt idx="2">
                  <c:v>583.87293333333332</c:v>
                </c:pt>
                <c:pt idx="3">
                  <c:v>224.73736222222226</c:v>
                </c:pt>
                <c:pt idx="4">
                  <c:v>7.166666666666667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8-431F-BD88-9593015318E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3"/>
        <c:splitType val="pos"/>
        <c:splitPos val="4"/>
        <c:secondPieSize val="91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7981294541455126E-2"/>
          <c:y val="0.79270209667135771"/>
          <c:w val="0.73498655703209237"/>
          <c:h val="0.197959044410829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2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171450</xdr:colOff>
          <xdr:row>23</xdr:row>
          <xdr:rowOff>95250</xdr:rowOff>
        </xdr:from>
        <xdr:to>
          <xdr:col>38</xdr:col>
          <xdr:colOff>400050</xdr:colOff>
          <xdr:row>26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2166</xdr:colOff>
      <xdr:row>35</xdr:row>
      <xdr:rowOff>103475</xdr:rowOff>
    </xdr:from>
    <xdr:to>
      <xdr:col>10</xdr:col>
      <xdr:colOff>36801</xdr:colOff>
      <xdr:row>67</xdr:row>
      <xdr:rowOff>242454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0</xdr:row>
          <xdr:rowOff>219075</xdr:rowOff>
        </xdr:from>
        <xdr:to>
          <xdr:col>15</xdr:col>
          <xdr:colOff>581025</xdr:colOff>
          <xdr:row>3</xdr:row>
          <xdr:rowOff>200025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fechamento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121228</xdr:colOff>
      <xdr:row>20</xdr:row>
      <xdr:rowOff>95250</xdr:rowOff>
    </xdr:from>
    <xdr:to>
      <xdr:col>3</xdr:col>
      <xdr:colOff>291354</xdr:colOff>
      <xdr:row>22</xdr:row>
      <xdr:rowOff>219075</xdr:rowOff>
    </xdr:to>
    <xdr:sp macro="" textlink="">
      <xdr:nvSpPr>
        <xdr:cNvPr id="2" name="Chave Direita 1" descr="Benefícios&#10;">
          <a:extLst>
            <a:ext uri="{FF2B5EF4-FFF2-40B4-BE49-F238E27FC236}">
              <a16:creationId xmlns:a16="http://schemas.microsoft.com/office/drawing/2014/main" id="{00000000-0008-0000-01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6463757" y="4924985"/>
          <a:ext cx="775244" cy="796178"/>
        </a:xfrm>
        <a:prstGeom prst="rightBrace">
          <a:avLst>
            <a:gd name="adj1" fmla="val 8333"/>
            <a:gd name="adj2" fmla="val 50000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121228</xdr:colOff>
      <xdr:row>23</xdr:row>
      <xdr:rowOff>104775</xdr:rowOff>
    </xdr:from>
    <xdr:to>
      <xdr:col>3</xdr:col>
      <xdr:colOff>280148</xdr:colOff>
      <xdr:row>25</xdr:row>
      <xdr:rowOff>266700</xdr:rowOff>
    </xdr:to>
    <xdr:sp macro="" textlink="">
      <xdr:nvSpPr>
        <xdr:cNvPr id="12" name="Chave Direita 11" descr="Benefícios&#10;">
          <a:extLst>
            <a:ext uri="{FF2B5EF4-FFF2-40B4-BE49-F238E27FC236}">
              <a16:creationId xmlns:a16="http://schemas.microsoft.com/office/drawing/2014/main" id="{00000000-0008-0000-01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6463757" y="5875804"/>
          <a:ext cx="764038" cy="834278"/>
        </a:xfrm>
        <a:prstGeom prst="rightBrace">
          <a:avLst>
            <a:gd name="adj1" fmla="val 8333"/>
            <a:gd name="adj2" fmla="val 51343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3490B-AD89-4E8A-99A9-BBCB2C263212}">
  <sheetPr codeName="Planilha2"/>
  <dimension ref="A1:C19"/>
  <sheetViews>
    <sheetView view="pageLayout" zoomScaleNormal="100" workbookViewId="0">
      <selection activeCell="A19" sqref="A19"/>
    </sheetView>
  </sheetViews>
  <sheetFormatPr defaultRowHeight="15" x14ac:dyDescent="0.25"/>
  <cols>
    <col min="1" max="1" width="35.140625" bestFit="1" customWidth="1"/>
    <col min="2" max="2" width="38.28515625" bestFit="1" customWidth="1"/>
  </cols>
  <sheetData>
    <row r="1" spans="1:3" x14ac:dyDescent="0.25">
      <c r="A1" t="s">
        <v>28</v>
      </c>
      <c r="B1" t="str">
        <f>importação!B2</f>
        <v>CONDOMINIO EDIFICIO A</v>
      </c>
    </row>
    <row r="2" spans="1:3" x14ac:dyDescent="0.25">
      <c r="A2" t="s">
        <v>0</v>
      </c>
      <c r="B2" t="str">
        <f>importação!C8</f>
        <v>Funcionário: 00001 - Igor Couto</v>
      </c>
    </row>
    <row r="3" spans="1:3" x14ac:dyDescent="0.25">
      <c r="A3" t="s">
        <v>6</v>
      </c>
      <c r="B3" s="2">
        <f>VLOOKUP(A3,importação!$C$12:$N$30,10,0)</f>
        <v>1622.27</v>
      </c>
    </row>
    <row r="4" spans="1:3" x14ac:dyDescent="0.25">
      <c r="A4" t="s">
        <v>26</v>
      </c>
      <c r="B4" s="2" t="e">
        <f>VLOOKUP(A4,importação!$C$12:$N$30,10,0)</f>
        <v>#N/A</v>
      </c>
      <c r="C4">
        <f>IFERROR(B4,1)</f>
        <v>1</v>
      </c>
    </row>
    <row r="5" spans="1:3" x14ac:dyDescent="0.25">
      <c r="A5" t="s">
        <v>17</v>
      </c>
      <c r="B5" s="2">
        <f>VLOOKUP(A5,importação!$C$12:$N$30,10,0)</f>
        <v>243.34</v>
      </c>
    </row>
    <row r="6" spans="1:3" x14ac:dyDescent="0.25">
      <c r="A6" t="s">
        <v>25</v>
      </c>
      <c r="B6" s="2" t="e">
        <f>VLOOKUP(A6,importação!$C$12:$N$30,10,0)</f>
        <v>#N/A</v>
      </c>
    </row>
    <row r="7" spans="1:3" x14ac:dyDescent="0.25">
      <c r="A7" s="3" t="s">
        <v>10</v>
      </c>
      <c r="B7" s="2">
        <f>VLOOKUP(A7,importação!$C$12:$N$30,10,0)</f>
        <v>442.66</v>
      </c>
    </row>
    <row r="8" spans="1:3" x14ac:dyDescent="0.25">
      <c r="A8" t="s">
        <v>12</v>
      </c>
      <c r="B8" s="2">
        <f>VLOOKUP(A8,importação!$C$12:$N$30,10,0)</f>
        <v>676.74</v>
      </c>
    </row>
    <row r="9" spans="1:3" x14ac:dyDescent="0.25">
      <c r="A9" t="s">
        <v>13</v>
      </c>
      <c r="B9" s="2">
        <f>VLOOKUP(A9,importação!$C$12:$N$30,10,0)</f>
        <v>409.19</v>
      </c>
    </row>
    <row r="10" spans="1:3" x14ac:dyDescent="0.25">
      <c r="A10" t="s">
        <v>15</v>
      </c>
      <c r="B10" s="2">
        <f>VLOOKUP(A10,importação!$C$12:$N$30,10,0)</f>
        <v>444.91</v>
      </c>
    </row>
    <row r="11" spans="1:3" x14ac:dyDescent="0.25">
      <c r="A11" t="s">
        <v>14</v>
      </c>
      <c r="B11" s="2">
        <f>VLOOKUP(A11,importação!$C$12:$N$30,10,0)</f>
        <v>188.86</v>
      </c>
    </row>
    <row r="12" spans="1:3" x14ac:dyDescent="0.25">
      <c r="A12" t="s">
        <v>19</v>
      </c>
      <c r="B12" s="2">
        <f>VLOOKUP(A12,importação!$C$12:$N$30,10,0)</f>
        <v>85.13</v>
      </c>
    </row>
    <row r="13" spans="1:3" x14ac:dyDescent="0.25">
      <c r="A13" t="s">
        <v>20</v>
      </c>
      <c r="B13" s="2">
        <f>VLOOKUP(A13,importação!$C$12:$N$30,10,0)</f>
        <v>62.95</v>
      </c>
    </row>
    <row r="14" spans="1:3" x14ac:dyDescent="0.25">
      <c r="A14" t="s">
        <v>24</v>
      </c>
      <c r="B14" s="2">
        <f>VLOOKUP(A14,importação!$C$12:$N$30,10,0)</f>
        <v>377.72</v>
      </c>
    </row>
    <row r="15" spans="1:3" x14ac:dyDescent="0.25">
      <c r="A15" t="s">
        <v>27</v>
      </c>
      <c r="B15" s="2">
        <f>VLOOKUP(A15,importação!$C$12:$N$30,10,0)</f>
        <v>598.04999999999995</v>
      </c>
    </row>
    <row r="16" spans="1:3" x14ac:dyDescent="0.25">
      <c r="A16" t="s">
        <v>55</v>
      </c>
      <c r="B16" s="2" t="e">
        <f>VLOOKUP(A16,importação!$C$12:$N$30,10,0)</f>
        <v>#N/A</v>
      </c>
    </row>
    <row r="17" spans="1:2" x14ac:dyDescent="0.25">
      <c r="A17" t="s">
        <v>60</v>
      </c>
      <c r="B17" s="2" t="e">
        <f>VLOOKUP(A17,importação!$C$12:$N$30,10,0)</f>
        <v>#N/A</v>
      </c>
    </row>
    <row r="18" spans="1:2" x14ac:dyDescent="0.25">
      <c r="A18" t="s">
        <v>61</v>
      </c>
      <c r="B18" s="2" t="e">
        <f>VLOOKUP(A18,importação!$C$12:$N$30,10,0)</f>
        <v>#N/A</v>
      </c>
    </row>
    <row r="19" spans="1:2" x14ac:dyDescent="0.25">
      <c r="A19" t="s">
        <v>62</v>
      </c>
      <c r="B19" s="2" t="e">
        <f>VLOOKUP(A19,importação!$C$12:$N$30,10,0)</f>
        <v>#N/A</v>
      </c>
    </row>
  </sheetData>
  <sheetProtection algorithmName="SHA-512" hashValue="r+UtPsvZWzFs0g530x7VcMWIPVP+kBjs1x5JGoeMUaHNQRGf6MC/t9EQKY2qCjSrZ6jmnYlL7GXzaPlmYd/dTQ==" saltValue="z9i/tf40/+PmPhuIzLv/hg==" spinCount="100000" sheet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43A4-41C4-4620-AE26-C097A254B75C}">
  <sheetPr codeName="Planilha1">
    <pageSetUpPr fitToPage="1"/>
  </sheetPr>
  <dimension ref="A1:E91"/>
  <sheetViews>
    <sheetView tabSelected="1" zoomScale="70" zoomScaleNormal="70" zoomScaleSheetLayoutView="40" zoomScalePageLayoutView="70" workbookViewId="0">
      <selection activeCell="J24" sqref="J24"/>
    </sheetView>
  </sheetViews>
  <sheetFormatPr defaultRowHeight="26.25" x14ac:dyDescent="0.4"/>
  <cols>
    <col min="1" max="2" width="47.5703125" style="6" customWidth="1"/>
    <col min="4" max="4" width="6.140625" customWidth="1"/>
    <col min="5" max="5" width="16.85546875" bestFit="1" customWidth="1"/>
  </cols>
  <sheetData>
    <row r="1" spans="1:2" x14ac:dyDescent="0.4">
      <c r="A1" s="33" t="str">
        <f>Verbas!B1</f>
        <v>CONDOMINIO EDIFICIO A</v>
      </c>
      <c r="B1" s="34"/>
    </row>
    <row r="2" spans="1:2" x14ac:dyDescent="0.4">
      <c r="A2" s="31" t="str">
        <f>Verbas!B2</f>
        <v>Funcionário: 00001 - Igor Couto</v>
      </c>
      <c r="B2" s="32"/>
    </row>
    <row r="3" spans="1:2" x14ac:dyDescent="0.4">
      <c r="A3" s="35" t="s">
        <v>59</v>
      </c>
      <c r="B3" s="36"/>
    </row>
    <row r="4" spans="1:2" ht="27" customHeight="1" x14ac:dyDescent="0.25">
      <c r="A4" s="20" t="s">
        <v>56</v>
      </c>
      <c r="B4" s="21">
        <f>Verbas!B3</f>
        <v>1622.27</v>
      </c>
    </row>
    <row r="5" spans="1:2" ht="27" hidden="1" customHeight="1" x14ac:dyDescent="0.25">
      <c r="A5" s="20">
        <f>IF(IFERROR(Verbas!B4,1)=1,0,"Acumulo de função 20%")</f>
        <v>0</v>
      </c>
      <c r="B5" s="21">
        <f>IF(A5="Acumulo de Função 20%",Verbas!B4,0)</f>
        <v>0</v>
      </c>
    </row>
    <row r="6" spans="1:2" ht="27" customHeight="1" x14ac:dyDescent="0.25">
      <c r="A6" s="20" t="str">
        <f>IF(IFERROR(Verbas!B5,1)=1,0,"Biênio")</f>
        <v>Biênio</v>
      </c>
      <c r="B6" s="21">
        <f>IF(A6="Biênio",Verbas!B5,0)</f>
        <v>243.34</v>
      </c>
    </row>
    <row r="7" spans="1:2" ht="27" hidden="1" customHeight="1" x14ac:dyDescent="0.25">
      <c r="A7" s="20">
        <f>IF(IFERROR(Verbas!B6,1)=1,0,"Anuenio")</f>
        <v>0</v>
      </c>
      <c r="B7" s="21">
        <f>IF(A7="Anuenio",Verbas!B6,0)</f>
        <v>0</v>
      </c>
    </row>
    <row r="8" spans="1:2" ht="27" customHeight="1" x14ac:dyDescent="0.25">
      <c r="A8" s="20" t="str">
        <f>IF(IFERROR(Verbas!B7,1)=1,0,"Adicional Noturno")</f>
        <v>Adicional Noturno</v>
      </c>
      <c r="B8" s="21">
        <f>IF(A8="Adicional Noturno",Verbas!B7,0)</f>
        <v>442.66</v>
      </c>
    </row>
    <row r="9" spans="1:2" ht="27" customHeight="1" x14ac:dyDescent="0.25">
      <c r="A9" s="20" t="str">
        <f>IF(IFERROR(Verbas!B8,1)=1,0,"Hora extra - 50%")</f>
        <v>Hora extra - 50%</v>
      </c>
      <c r="B9" s="21">
        <f>IF(A9="Hora extra - 50%",Verbas!B8,0)</f>
        <v>676.74</v>
      </c>
    </row>
    <row r="10" spans="1:2" ht="27" customHeight="1" x14ac:dyDescent="0.25">
      <c r="A10" s="20" t="str">
        <f>IF(IFERROR(Verbas!B9,1)=1,0,"Intrajornada - 50%")</f>
        <v>Intrajornada - 50%</v>
      </c>
      <c r="B10" s="21">
        <f>IF(A10="Intrajornada - 50%",Verbas!B9,0)</f>
        <v>409.19</v>
      </c>
    </row>
    <row r="11" spans="1:2" ht="27" customHeight="1" x14ac:dyDescent="0.25">
      <c r="A11" s="20" t="str">
        <f>IF(IFERROR(Verbas!B10,1)=1,0,"DSR - Horas Extras")</f>
        <v>DSR - Horas Extras</v>
      </c>
      <c r="B11" s="21">
        <f>IF(A11="DSR - Horas Extras",Verbas!B10,0)</f>
        <v>444.91</v>
      </c>
    </row>
    <row r="12" spans="1:2" ht="27" customHeight="1" x14ac:dyDescent="0.25">
      <c r="A12" s="20" t="str">
        <f>IF(IFERROR(Verbas!B11,1)=1,0,"Hora extra - 100%")</f>
        <v>Hora extra - 100%</v>
      </c>
      <c r="B12" s="21">
        <f>IF(A12="Hora extra - 100%",Verbas!B11,0)</f>
        <v>188.86</v>
      </c>
    </row>
    <row r="13" spans="1:2" ht="27" customHeight="1" x14ac:dyDescent="0.25">
      <c r="A13" s="20" t="str">
        <f>IF(IFERROR(Verbas!B12,1)=1,0,"DSR - Adicional Noturno")</f>
        <v>DSR - Adicional Noturno</v>
      </c>
      <c r="B13" s="21">
        <f>IF(A13="DSR - Adicional Noturno",Verbas!B12,0)</f>
        <v>85.13</v>
      </c>
    </row>
    <row r="14" spans="1:2" ht="27" customHeight="1" x14ac:dyDescent="0.25">
      <c r="A14" s="20" t="str">
        <f>IF(IFERROR(Verbas!B13,1)=1,0,"Intrajornada - 100%")</f>
        <v>Intrajornada - 100%</v>
      </c>
      <c r="B14" s="21">
        <f>IF(A14="Intrajornada - 100%",Verbas!B13,0)</f>
        <v>62.95</v>
      </c>
    </row>
    <row r="15" spans="1:2" ht="27" customHeight="1" x14ac:dyDescent="0.25">
      <c r="A15" s="20" t="str">
        <f>IF(IFERROR(Verbas!B14,1)=1,0,"Domingo trabalhado - HE 100%")</f>
        <v>Domingo trabalhado - HE 100%</v>
      </c>
      <c r="B15" s="21">
        <f>IF(A15="Domingo trabalhado - HE 100%",Verbas!B14,0)</f>
        <v>377.72</v>
      </c>
    </row>
    <row r="16" spans="1:2" ht="27" customHeight="1" x14ac:dyDescent="0.25">
      <c r="A16" s="20" t="str">
        <f>IF(IFERROR(Verbas!B15,1)=1,0,"ART 66. - HE50%")</f>
        <v>ART 66. - HE50%</v>
      </c>
      <c r="B16" s="21">
        <f>IF(A16="ART 66. - HE50%",Verbas!B15,0)</f>
        <v>598.04999999999995</v>
      </c>
    </row>
    <row r="17" spans="1:5" ht="27" hidden="1" customHeight="1" x14ac:dyDescent="0.25">
      <c r="A17" s="20">
        <f>IF(IFERROR(Verbas!B16,1)=1,0,"Acumulo de função p/h")</f>
        <v>0</v>
      </c>
      <c r="B17" s="21">
        <f>IF(A17="Acumulo de função p/h",Verbas!B16,0)</f>
        <v>0</v>
      </c>
    </row>
    <row r="18" spans="1:5" ht="27" hidden="1" customHeight="1" x14ac:dyDescent="0.25">
      <c r="A18" s="20">
        <f>IF(IFERROR(Verbas!B17,1)=1,0,"Gratificacoes")</f>
        <v>0</v>
      </c>
      <c r="B18" s="21">
        <f>IF(A18="Gratificacoes",Verbas!B17,0)</f>
        <v>0</v>
      </c>
    </row>
    <row r="19" spans="1:5" ht="27" hidden="1" customHeight="1" x14ac:dyDescent="0.25">
      <c r="A19" s="20">
        <f>IF(IFERROR(Verbas!B18,1)=1,0,"Acumulo de Função - 50%")</f>
        <v>0</v>
      </c>
      <c r="B19" s="21">
        <f>IF(A19="Acumulo de Função - 50%",Verbas!B18,0)</f>
        <v>0</v>
      </c>
    </row>
    <row r="20" spans="1:5" ht="27" hidden="1" customHeight="1" x14ac:dyDescent="0.25">
      <c r="A20" s="20">
        <f>IF(IFERROR(Verbas!B19,1)=1,0,"Prêmio")</f>
        <v>0</v>
      </c>
      <c r="B20" s="21">
        <f>IF(A20="Prêmio",Verbas!B19,0)</f>
        <v>0</v>
      </c>
    </row>
    <row r="21" spans="1:5" x14ac:dyDescent="0.25">
      <c r="A21" s="22" t="s">
        <v>50</v>
      </c>
      <c r="B21" s="23">
        <v>16.899999999999999</v>
      </c>
    </row>
    <row r="22" spans="1:5" x14ac:dyDescent="0.25">
      <c r="A22" s="22" t="s">
        <v>57</v>
      </c>
      <c r="B22" s="24">
        <v>270.27</v>
      </c>
      <c r="E22" s="5" t="s">
        <v>58</v>
      </c>
    </row>
    <row r="23" spans="1:5" ht="21" customHeight="1" x14ac:dyDescent="0.25">
      <c r="A23" s="22" t="s">
        <v>47</v>
      </c>
      <c r="B23" s="24">
        <v>367.5</v>
      </c>
      <c r="E23" s="5"/>
    </row>
    <row r="24" spans="1:5" x14ac:dyDescent="0.25">
      <c r="A24" s="25" t="s">
        <v>45</v>
      </c>
      <c r="B24" s="26">
        <f>(B$4+B$5+B$6+B$7+B$8+B$9+B$11+B$12+B$13+B$15+B$16+B$17+B$18+B$19)*27/100</f>
        <v>1263.5136000000002</v>
      </c>
    </row>
    <row r="25" spans="1:5" x14ac:dyDescent="0.35">
      <c r="A25" s="25" t="s">
        <v>30</v>
      </c>
      <c r="B25" s="26">
        <f>(B$4+B$5+B$6+B$7+B$8+B$9+B$11+B$12+B$13+B$15+B$16+B$17+B$18+B$19)*8/100</f>
        <v>374.37440000000004</v>
      </c>
      <c r="E25" s="4" t="s">
        <v>53</v>
      </c>
    </row>
    <row r="26" spans="1:5" x14ac:dyDescent="0.25">
      <c r="A26" s="25" t="s">
        <v>49</v>
      </c>
      <c r="B26" s="26">
        <f>(B$4+B$5+B$6+B$7+B$8+B$9+B$11+B$12+B$13+B$15+B$16+B$17+B$18+B$19)*1/100</f>
        <v>46.796800000000005</v>
      </c>
    </row>
    <row r="27" spans="1:5" ht="27" thickBot="1" x14ac:dyDescent="0.3">
      <c r="A27" s="27" t="s">
        <v>54</v>
      </c>
      <c r="B27" s="28">
        <f>SUM(B4:B26)</f>
        <v>7491.1747999999998</v>
      </c>
    </row>
    <row r="28" spans="1:5" ht="27" thickBot="1" x14ac:dyDescent="0.45">
      <c r="B28" s="7"/>
    </row>
    <row r="29" spans="1:5" x14ac:dyDescent="0.4">
      <c r="A29" s="33" t="s">
        <v>46</v>
      </c>
      <c r="B29" s="34"/>
    </row>
    <row r="30" spans="1:5" x14ac:dyDescent="0.4">
      <c r="A30" s="8" t="s">
        <v>29</v>
      </c>
      <c r="B30" s="9">
        <f>B27</f>
        <v>7491.1747999999998</v>
      </c>
    </row>
    <row r="31" spans="1:5" x14ac:dyDescent="0.4">
      <c r="A31" s="8" t="s">
        <v>44</v>
      </c>
      <c r="B31" s="9">
        <f>B78+B79+B80+B81+B82</f>
        <v>778.49724444444462</v>
      </c>
    </row>
    <row r="32" spans="1:5" x14ac:dyDescent="0.4">
      <c r="A32" s="8" t="s">
        <v>86</v>
      </c>
      <c r="B32" s="9">
        <f>B83+B84+B85+B86</f>
        <v>583.87293333333332</v>
      </c>
    </row>
    <row r="33" spans="1:2" x14ac:dyDescent="0.4">
      <c r="A33" s="8" t="s">
        <v>66</v>
      </c>
      <c r="B33" s="9">
        <f>B87</f>
        <v>224.73736222222226</v>
      </c>
    </row>
    <row r="34" spans="1:2" x14ac:dyDescent="0.4">
      <c r="A34" s="8" t="s">
        <v>65</v>
      </c>
      <c r="B34" s="9">
        <f>B88</f>
        <v>7.166666666666667</v>
      </c>
    </row>
    <row r="35" spans="1:2" ht="27" thickBot="1" x14ac:dyDescent="0.45">
      <c r="A35" s="10" t="s">
        <v>48</v>
      </c>
      <c r="B35" s="11">
        <f>SUM(B30:B34)</f>
        <v>9085.4490066666658</v>
      </c>
    </row>
    <row r="78" spans="1:2" x14ac:dyDescent="0.4">
      <c r="A78" s="12" t="s">
        <v>31</v>
      </c>
      <c r="B78" s="13">
        <f>(B27-B26-B25-B24-B23-B22-B21-B$20)/12</f>
        <v>429.31833333333333</v>
      </c>
    </row>
    <row r="79" spans="1:2" x14ac:dyDescent="0.4">
      <c r="A79" s="12" t="s">
        <v>32</v>
      </c>
      <c r="B79" s="13">
        <f>B78/3</f>
        <v>143.10611111111112</v>
      </c>
    </row>
    <row r="80" spans="1:2" x14ac:dyDescent="0.4">
      <c r="A80" s="12" t="s">
        <v>40</v>
      </c>
      <c r="B80" s="13">
        <f>(B$78+B$79)*27/100</f>
        <v>154.55460000000002</v>
      </c>
    </row>
    <row r="81" spans="1:2" x14ac:dyDescent="0.4">
      <c r="A81" s="12" t="s">
        <v>41</v>
      </c>
      <c r="B81" s="13">
        <f>(B$78+B$79)*8/100</f>
        <v>45.793955555555556</v>
      </c>
    </row>
    <row r="82" spans="1:2" x14ac:dyDescent="0.4">
      <c r="A82" s="12" t="s">
        <v>52</v>
      </c>
      <c r="B82" s="13">
        <f>(B79+B78)/100</f>
        <v>5.7242444444444445</v>
      </c>
    </row>
    <row r="83" spans="1:2" x14ac:dyDescent="0.4">
      <c r="A83" s="12" t="s">
        <v>33</v>
      </c>
      <c r="B83" s="13">
        <f>(B27-B26-B25-B24-B23-B22-B21-B$20)/12</f>
        <v>429.31833333333333</v>
      </c>
    </row>
    <row r="84" spans="1:2" x14ac:dyDescent="0.4">
      <c r="A84" s="12" t="s">
        <v>42</v>
      </c>
      <c r="B84" s="13">
        <f>(B83)*27/100</f>
        <v>115.91595</v>
      </c>
    </row>
    <row r="85" spans="1:2" x14ac:dyDescent="0.4">
      <c r="A85" s="12" t="s">
        <v>43</v>
      </c>
      <c r="B85" s="13">
        <f>(B83)*8/100</f>
        <v>34.345466666666667</v>
      </c>
    </row>
    <row r="86" spans="1:2" x14ac:dyDescent="0.4">
      <c r="A86" s="12" t="s">
        <v>51</v>
      </c>
      <c r="B86" s="13">
        <f>B83/100</f>
        <v>4.2931833333333334</v>
      </c>
    </row>
    <row r="87" spans="1:2" x14ac:dyDescent="0.4">
      <c r="A87" s="12" t="s">
        <v>39</v>
      </c>
      <c r="B87" s="13">
        <f>((B85+B81+B25)*40/100)+(B27-B26-B25-B24-B23-B22-B21-B$20)/30*3/12</f>
        <v>224.73736222222226</v>
      </c>
    </row>
    <row r="88" spans="1:2" x14ac:dyDescent="0.4">
      <c r="A88" s="12" t="s">
        <v>34</v>
      </c>
      <c r="B88" s="13">
        <f>86/12</f>
        <v>7.166666666666667</v>
      </c>
    </row>
    <row r="89" spans="1:2" x14ac:dyDescent="0.4">
      <c r="A89" s="14" t="s">
        <v>35</v>
      </c>
      <c r="B89" s="15">
        <f>SUM(B78:B88)</f>
        <v>1594.2742066666672</v>
      </c>
    </row>
    <row r="90" spans="1:2" x14ac:dyDescent="0.4">
      <c r="A90" s="16"/>
      <c r="B90" s="17"/>
    </row>
    <row r="91" spans="1:2" ht="27" thickBot="1" x14ac:dyDescent="0.45">
      <c r="A91" s="18" t="s">
        <v>36</v>
      </c>
      <c r="B91" s="19">
        <f>B89+B27</f>
        <v>9085.4490066666676</v>
      </c>
    </row>
  </sheetData>
  <sheetProtection algorithmName="SHA-512" hashValue="YTXCLQDlF+lzhJ9fDjDlqOGDRmDUl096TFTPIPX67bUhhU9Y3M/NH3CnOIHzDOxglge2PCP8Kr2eB1oknUo4vA==" saltValue="EBcl5/ov21UKs+wMlIa0Vg==" spinCount="100000" sheet="1" formatRows="0"/>
  <mergeCells count="4">
    <mergeCell ref="A2:B2"/>
    <mergeCell ref="A1:B1"/>
    <mergeCell ref="A3:B3"/>
    <mergeCell ref="A29:B29"/>
  </mergeCells>
  <pageMargins left="0.7" right="0.7" top="0.75" bottom="0.75" header="0.3" footer="0.3"/>
  <pageSetup paperSize="9" scale="44" orientation="portrait" r:id="rId1"/>
  <headerFooter>
    <oddHeader>&amp;R&amp;G</oddHeader>
    <oddFooter xml:space="preserve">&amp;CRua Ferreira Penteado, 1.121 – Cambuí – Campinas/SP – CEP 13010-041
(19) 3737-5555
www.zelocondominios.com.br
</oddFooter>
  </headerFooter>
  <rowBreaks count="1" manualBreakCount="1">
    <brk id="72" max="16383" man="1"/>
  </rowBreaks>
  <colBreaks count="1" manualBreakCount="1">
    <brk id="5" max="1048575" man="1"/>
  </colBreaks>
  <drawing r:id="rId2"/>
  <legacyDrawing r:id="rId3"/>
  <legacyDrawingHF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34</xdr:col>
                <xdr:colOff>171450</xdr:colOff>
                <xdr:row>23</xdr:row>
                <xdr:rowOff>95250</xdr:rowOff>
              </from>
              <to>
                <xdr:col>38</xdr:col>
                <xdr:colOff>400050</xdr:colOff>
                <xdr:row>26</xdr:row>
                <xdr:rowOff>171450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48" r:id="rId7" name="Button 24">
          <controlPr defaultSize="0" print="0" autoFill="0" autoPict="0" macro="[0]!importarArquivo">
            <anchor moveWithCells="1" sizeWithCells="1">
              <from>
                <xdr:col>11</xdr:col>
                <xdr:colOff>342900</xdr:colOff>
                <xdr:row>0</xdr:row>
                <xdr:rowOff>219075</xdr:rowOff>
              </from>
              <to>
                <xdr:col>15</xdr:col>
                <xdr:colOff>581025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7DE23-E548-4E0E-AD59-0329F51E5D34}">
  <sheetPr codeName="Planilha3"/>
  <dimension ref="A1:BA100"/>
  <sheetViews>
    <sheetView workbookViewId="0">
      <selection activeCell="T9" sqref="T9:W9"/>
    </sheetView>
  </sheetViews>
  <sheetFormatPr defaultRowHeight="15" x14ac:dyDescent="0.25"/>
  <cols>
    <col min="1" max="1" width="38.28515625" bestFit="1" customWidth="1"/>
    <col min="2" max="2" width="22.42578125" customWidth="1"/>
  </cols>
  <sheetData>
    <row r="1" spans="1:53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1"/>
    </row>
    <row r="2" spans="1:53" x14ac:dyDescent="0.25">
      <c r="A2" s="30"/>
      <c r="B2" s="46" t="s">
        <v>87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9" t="s">
        <v>71</v>
      </c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1"/>
    </row>
    <row r="3" spans="1:53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1"/>
    </row>
    <row r="4" spans="1:53" ht="15" customHeight="1" x14ac:dyDescent="0.25">
      <c r="A4" s="30"/>
      <c r="B4" s="41" t="s">
        <v>72</v>
      </c>
      <c r="C4" s="41"/>
      <c r="D4" s="41"/>
      <c r="E4" s="30"/>
      <c r="F4" s="30"/>
      <c r="G4" s="30"/>
      <c r="H4" s="30"/>
      <c r="I4" s="30"/>
      <c r="J4" s="44" t="s">
        <v>1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5" t="s">
        <v>2</v>
      </c>
      <c r="AK4" s="45"/>
      <c r="AL4" s="45"/>
      <c r="AM4" s="45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1"/>
    </row>
    <row r="5" spans="1:53" ht="15" customHeight="1" x14ac:dyDescent="0.25">
      <c r="A5" s="30"/>
      <c r="B5" s="41" t="s">
        <v>3</v>
      </c>
      <c r="C5" s="41"/>
      <c r="D5" s="41"/>
      <c r="E5" s="41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1"/>
    </row>
    <row r="6" spans="1:53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1"/>
    </row>
    <row r="7" spans="1:53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1"/>
    </row>
    <row r="8" spans="1:53" ht="15" customHeight="1" x14ac:dyDescent="0.25">
      <c r="A8" s="30"/>
      <c r="B8" s="30"/>
      <c r="C8" s="37" t="s">
        <v>88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0"/>
      <c r="Q8" s="30"/>
      <c r="R8" s="30"/>
      <c r="S8" s="30"/>
      <c r="T8" s="37" t="s">
        <v>89</v>
      </c>
      <c r="U8" s="37"/>
      <c r="V8" s="37"/>
      <c r="W8" s="37"/>
      <c r="X8" s="37"/>
      <c r="Y8" s="37"/>
      <c r="Z8" s="37"/>
      <c r="AA8" s="37"/>
      <c r="AB8" s="37"/>
      <c r="AC8" s="30"/>
      <c r="AD8" s="37" t="s">
        <v>73</v>
      </c>
      <c r="AE8" s="37"/>
      <c r="AF8" s="37"/>
      <c r="AG8" s="37"/>
      <c r="AH8" s="37"/>
      <c r="AI8" s="37"/>
      <c r="AJ8" s="37"/>
      <c r="AK8" s="37"/>
      <c r="AL8" s="37"/>
      <c r="AM8" s="37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1"/>
    </row>
    <row r="9" spans="1:53" ht="15" customHeight="1" x14ac:dyDescent="0.25">
      <c r="A9" s="30"/>
      <c r="B9" s="30"/>
      <c r="C9" s="37" t="s">
        <v>63</v>
      </c>
      <c r="D9" s="37"/>
      <c r="E9" s="37"/>
      <c r="F9" s="37"/>
      <c r="G9" s="37"/>
      <c r="H9" s="37"/>
      <c r="I9" s="37"/>
      <c r="J9" s="37"/>
      <c r="K9" s="37"/>
      <c r="L9" s="30"/>
      <c r="M9" s="37" t="s">
        <v>74</v>
      </c>
      <c r="N9" s="37"/>
      <c r="O9" s="37"/>
      <c r="P9" s="37"/>
      <c r="Q9" s="37"/>
      <c r="R9" s="37"/>
      <c r="S9" s="30"/>
      <c r="T9" s="37" t="s">
        <v>37</v>
      </c>
      <c r="U9" s="37"/>
      <c r="V9" s="37"/>
      <c r="W9" s="37"/>
      <c r="X9" s="30"/>
      <c r="Y9" s="37" t="s">
        <v>64</v>
      </c>
      <c r="Z9" s="37"/>
      <c r="AA9" s="37"/>
      <c r="AB9" s="37"/>
      <c r="AC9" s="30"/>
      <c r="AD9" s="37" t="s">
        <v>38</v>
      </c>
      <c r="AE9" s="37"/>
      <c r="AF9" s="37"/>
      <c r="AG9" s="37"/>
      <c r="AH9" s="37"/>
      <c r="AI9" s="37"/>
      <c r="AJ9" s="37"/>
      <c r="AK9" s="37"/>
      <c r="AL9" s="37"/>
      <c r="AM9" s="37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1"/>
    </row>
    <row r="10" spans="1:53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1"/>
    </row>
    <row r="11" spans="1:53" ht="15" customHeight="1" x14ac:dyDescent="0.25">
      <c r="A11" s="30"/>
      <c r="B11" s="43" t="s">
        <v>4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30"/>
      <c r="P11" s="43" t="s">
        <v>5</v>
      </c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1"/>
    </row>
    <row r="12" spans="1:53" ht="15" customHeight="1" x14ac:dyDescent="0.25">
      <c r="A12" s="30"/>
      <c r="B12" s="30"/>
      <c r="C12" s="41" t="s">
        <v>6</v>
      </c>
      <c r="D12" s="41"/>
      <c r="E12" s="41"/>
      <c r="F12" s="41"/>
      <c r="G12" s="41"/>
      <c r="H12" s="41"/>
      <c r="I12" s="39" t="s">
        <v>7</v>
      </c>
      <c r="J12" s="39"/>
      <c r="K12" s="30"/>
      <c r="L12" s="40">
        <v>1622.27</v>
      </c>
      <c r="M12" s="40"/>
      <c r="N12" s="30"/>
      <c r="O12" s="30"/>
      <c r="P12" s="30"/>
      <c r="Q12" s="41" t="s">
        <v>8</v>
      </c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39" t="s">
        <v>9</v>
      </c>
      <c r="AF12" s="39"/>
      <c r="AG12" s="39"/>
      <c r="AH12" s="39"/>
      <c r="AI12" s="39"/>
      <c r="AJ12" s="40">
        <v>648.91</v>
      </c>
      <c r="AK12" s="40"/>
      <c r="AL12" s="4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1"/>
    </row>
    <row r="13" spans="1:53" ht="15" customHeight="1" x14ac:dyDescent="0.25">
      <c r="A13" s="30"/>
      <c r="B13" s="30"/>
      <c r="C13" s="41" t="s">
        <v>10</v>
      </c>
      <c r="D13" s="41"/>
      <c r="E13" s="41"/>
      <c r="F13" s="41"/>
      <c r="G13" s="41"/>
      <c r="H13" s="41"/>
      <c r="I13" s="39" t="s">
        <v>75</v>
      </c>
      <c r="J13" s="39"/>
      <c r="K13" s="30"/>
      <c r="L13" s="40">
        <v>442.66</v>
      </c>
      <c r="M13" s="40"/>
      <c r="N13" s="30"/>
      <c r="O13" s="30"/>
      <c r="P13" s="30"/>
      <c r="Q13" s="41" t="s">
        <v>11</v>
      </c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39" t="s">
        <v>67</v>
      </c>
      <c r="AF13" s="39"/>
      <c r="AG13" s="39"/>
      <c r="AH13" s="39"/>
      <c r="AI13" s="39"/>
      <c r="AJ13" s="40">
        <v>506.43</v>
      </c>
      <c r="AK13" s="40"/>
      <c r="AL13" s="4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1"/>
    </row>
    <row r="14" spans="1:53" ht="15" customHeight="1" x14ac:dyDescent="0.25">
      <c r="A14" s="30"/>
      <c r="B14" s="30"/>
      <c r="C14" s="41" t="s">
        <v>12</v>
      </c>
      <c r="D14" s="41"/>
      <c r="E14" s="41"/>
      <c r="F14" s="41"/>
      <c r="G14" s="41"/>
      <c r="H14" s="41"/>
      <c r="I14" s="39" t="s">
        <v>76</v>
      </c>
      <c r="J14" s="39"/>
      <c r="K14" s="30"/>
      <c r="L14" s="40">
        <v>676.74</v>
      </c>
      <c r="M14" s="40"/>
      <c r="N14" s="30"/>
      <c r="O14" s="30"/>
      <c r="P14" s="30"/>
      <c r="Q14" s="41" t="s">
        <v>68</v>
      </c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39" t="s">
        <v>69</v>
      </c>
      <c r="AF14" s="39"/>
      <c r="AG14" s="39"/>
      <c r="AH14" s="39"/>
      <c r="AI14" s="39"/>
      <c r="AJ14" s="40">
        <v>173.85</v>
      </c>
      <c r="AK14" s="40"/>
      <c r="AL14" s="4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1"/>
    </row>
    <row r="15" spans="1:53" x14ac:dyDescent="0.25">
      <c r="A15" s="30"/>
      <c r="B15" s="30"/>
      <c r="C15" s="41"/>
      <c r="D15" s="41"/>
      <c r="E15" s="41"/>
      <c r="F15" s="41"/>
      <c r="G15" s="41"/>
      <c r="H15" s="41"/>
      <c r="I15" s="39"/>
      <c r="J15" s="39"/>
      <c r="K15" s="30"/>
      <c r="L15" s="40"/>
      <c r="M15" s="40"/>
      <c r="N15" s="30"/>
      <c r="O15" s="30"/>
      <c r="P15" s="30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1"/>
    </row>
    <row r="16" spans="1:53" ht="15" customHeight="1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41" t="s">
        <v>77</v>
      </c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39" t="s">
        <v>78</v>
      </c>
      <c r="AF16" s="39"/>
      <c r="AG16" s="39"/>
      <c r="AH16" s="39"/>
      <c r="AI16" s="39"/>
      <c r="AJ16" s="40">
        <v>48.67</v>
      </c>
      <c r="AK16" s="40"/>
      <c r="AL16" s="4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1"/>
    </row>
    <row r="17" spans="1:53" ht="15" customHeight="1" x14ac:dyDescent="0.25">
      <c r="A17" s="30"/>
      <c r="B17" s="30"/>
      <c r="C17" s="41" t="s">
        <v>13</v>
      </c>
      <c r="D17" s="41"/>
      <c r="E17" s="41"/>
      <c r="F17" s="41"/>
      <c r="G17" s="41"/>
      <c r="H17" s="41"/>
      <c r="I17" s="39" t="s">
        <v>79</v>
      </c>
      <c r="J17" s="39"/>
      <c r="K17" s="30"/>
      <c r="L17" s="40">
        <v>409.19</v>
      </c>
      <c r="M17" s="4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1"/>
    </row>
    <row r="18" spans="1:53" ht="15" customHeight="1" x14ac:dyDescent="0.25">
      <c r="A18" s="30"/>
      <c r="B18" s="30"/>
      <c r="C18" s="41"/>
      <c r="D18" s="41"/>
      <c r="E18" s="41"/>
      <c r="F18" s="41"/>
      <c r="G18" s="41"/>
      <c r="H18" s="41"/>
      <c r="I18" s="39"/>
      <c r="J18" s="39"/>
      <c r="K18" s="30"/>
      <c r="L18" s="40"/>
      <c r="M18" s="4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1"/>
    </row>
    <row r="19" spans="1:53" ht="15" customHeight="1" x14ac:dyDescent="0.25">
      <c r="A19" s="30"/>
      <c r="B19" s="30"/>
      <c r="C19" s="41" t="s">
        <v>14</v>
      </c>
      <c r="D19" s="41"/>
      <c r="E19" s="41"/>
      <c r="F19" s="41"/>
      <c r="G19" s="41"/>
      <c r="H19" s="41"/>
      <c r="I19" s="39" t="s">
        <v>70</v>
      </c>
      <c r="J19" s="39"/>
      <c r="K19" s="30"/>
      <c r="L19" s="40">
        <v>188.86</v>
      </c>
      <c r="M19" s="4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1"/>
    </row>
    <row r="20" spans="1:53" ht="15" customHeight="1" x14ac:dyDescent="0.25">
      <c r="A20" s="30"/>
      <c r="B20" s="30"/>
      <c r="C20" s="41" t="s">
        <v>15</v>
      </c>
      <c r="D20" s="41"/>
      <c r="E20" s="41"/>
      <c r="F20" s="41"/>
      <c r="G20" s="41"/>
      <c r="H20" s="41"/>
      <c r="I20" s="39" t="s">
        <v>16</v>
      </c>
      <c r="J20" s="39"/>
      <c r="K20" s="30"/>
      <c r="L20" s="40">
        <v>444.91</v>
      </c>
      <c r="M20" s="4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1"/>
    </row>
    <row r="21" spans="1:53" ht="15" customHeight="1" x14ac:dyDescent="0.25">
      <c r="A21" s="30"/>
      <c r="B21" s="30"/>
      <c r="C21" s="41" t="s">
        <v>17</v>
      </c>
      <c r="D21" s="41"/>
      <c r="E21" s="41"/>
      <c r="F21" s="41"/>
      <c r="G21" s="41"/>
      <c r="H21" s="41"/>
      <c r="I21" s="39" t="s">
        <v>18</v>
      </c>
      <c r="J21" s="39"/>
      <c r="K21" s="30"/>
      <c r="L21" s="40">
        <v>243.34</v>
      </c>
      <c r="M21" s="4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1"/>
    </row>
    <row r="22" spans="1:53" ht="15" customHeight="1" x14ac:dyDescent="0.25">
      <c r="A22" s="30"/>
      <c r="B22" s="30"/>
      <c r="C22" s="41" t="s">
        <v>19</v>
      </c>
      <c r="D22" s="41"/>
      <c r="E22" s="41"/>
      <c r="F22" s="41"/>
      <c r="G22" s="41"/>
      <c r="H22" s="41"/>
      <c r="I22" s="39" t="s">
        <v>16</v>
      </c>
      <c r="J22" s="39"/>
      <c r="K22" s="30"/>
      <c r="L22" s="40">
        <v>85.13</v>
      </c>
      <c r="M22" s="4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1"/>
    </row>
    <row r="23" spans="1:53" ht="15" customHeight="1" x14ac:dyDescent="0.25">
      <c r="A23" s="30"/>
      <c r="B23" s="30"/>
      <c r="C23" s="41" t="s">
        <v>20</v>
      </c>
      <c r="D23" s="41"/>
      <c r="E23" s="41"/>
      <c r="F23" s="41"/>
      <c r="G23" s="41"/>
      <c r="H23" s="41"/>
      <c r="I23" s="39" t="s">
        <v>80</v>
      </c>
      <c r="J23" s="39"/>
      <c r="K23" s="30"/>
      <c r="L23" s="40">
        <v>62.95</v>
      </c>
      <c r="M23" s="4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1"/>
    </row>
    <row r="24" spans="1:53" ht="15" customHeight="1" x14ac:dyDescent="0.25">
      <c r="A24" s="30"/>
      <c r="B24" s="30"/>
      <c r="C24" s="41" t="s">
        <v>81</v>
      </c>
      <c r="D24" s="41"/>
      <c r="E24" s="41"/>
      <c r="F24" s="41"/>
      <c r="G24" s="41"/>
      <c r="H24" s="41"/>
      <c r="I24" s="39" t="s">
        <v>82</v>
      </c>
      <c r="J24" s="39"/>
      <c r="K24" s="30"/>
      <c r="L24" s="40">
        <v>277.2</v>
      </c>
      <c r="M24" s="4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1"/>
    </row>
    <row r="25" spans="1:53" ht="15" customHeight="1" x14ac:dyDescent="0.25">
      <c r="A25" s="30"/>
      <c r="B25" s="30"/>
      <c r="C25" s="41" t="s">
        <v>27</v>
      </c>
      <c r="D25" s="41"/>
      <c r="E25" s="41"/>
      <c r="F25" s="41"/>
      <c r="G25" s="41"/>
      <c r="H25" s="41"/>
      <c r="I25" s="39" t="s">
        <v>83</v>
      </c>
      <c r="J25" s="39"/>
      <c r="K25" s="30"/>
      <c r="L25" s="40">
        <v>598.04999999999995</v>
      </c>
      <c r="M25" s="4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1"/>
    </row>
    <row r="26" spans="1:53" ht="15" customHeight="1" x14ac:dyDescent="0.25">
      <c r="A26" s="30"/>
      <c r="B26" s="30"/>
      <c r="C26" s="41" t="s">
        <v>24</v>
      </c>
      <c r="D26" s="41"/>
      <c r="E26" s="41"/>
      <c r="F26" s="41"/>
      <c r="G26" s="41"/>
      <c r="H26" s="41"/>
      <c r="I26" s="39" t="s">
        <v>84</v>
      </c>
      <c r="J26" s="39"/>
      <c r="K26" s="30"/>
      <c r="L26" s="40">
        <v>377.72</v>
      </c>
      <c r="M26" s="4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1"/>
    </row>
    <row r="27" spans="1:53" ht="15" customHeight="1" x14ac:dyDescent="0.25">
      <c r="A27" s="30"/>
      <c r="B27" s="30"/>
      <c r="C27" s="29" t="s">
        <v>21</v>
      </c>
      <c r="D27" s="30"/>
      <c r="E27" s="30"/>
      <c r="F27" s="30"/>
      <c r="G27" s="30"/>
      <c r="H27" s="30"/>
      <c r="I27" s="30"/>
      <c r="J27" s="30"/>
      <c r="K27" s="38">
        <v>5429.02</v>
      </c>
      <c r="L27" s="38"/>
      <c r="M27" s="38"/>
      <c r="N27" s="38"/>
      <c r="O27" s="30"/>
      <c r="P27" s="30"/>
      <c r="Q27" s="37" t="s">
        <v>22</v>
      </c>
      <c r="R27" s="37"/>
      <c r="S27" s="37"/>
      <c r="T27" s="37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8">
        <v>1377.86</v>
      </c>
      <c r="AK27" s="38"/>
      <c r="AL27" s="38"/>
      <c r="AM27" s="38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1"/>
    </row>
    <row r="28" spans="1:53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1"/>
    </row>
    <row r="29" spans="1:53" ht="15" customHeight="1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48" t="s">
        <v>23</v>
      </c>
      <c r="AB29" s="48"/>
      <c r="AC29" s="48"/>
      <c r="AD29" s="48"/>
      <c r="AE29" s="48"/>
      <c r="AF29" s="48"/>
      <c r="AG29" s="48"/>
      <c r="AH29" s="30"/>
      <c r="AI29" s="48" t="s">
        <v>85</v>
      </c>
      <c r="AJ29" s="48"/>
      <c r="AK29" s="48"/>
      <c r="AL29" s="48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1"/>
    </row>
    <row r="30" spans="1:53" x14ac:dyDescent="0.25">
      <c r="A30" s="1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1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5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53" x14ac:dyDescent="0.25">
      <c r="A32" s="1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1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1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1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1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1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1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1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1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1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1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1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1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1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1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1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1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1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1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1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1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1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1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1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1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1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1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1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1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1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1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1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1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1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</sheetData>
  <mergeCells count="141">
    <mergeCell ref="AA29:AG29"/>
    <mergeCell ref="AI29:AL29"/>
    <mergeCell ref="B88:M88"/>
    <mergeCell ref="O88:Z88"/>
    <mergeCell ref="B90:M90"/>
    <mergeCell ref="O90:Z90"/>
    <mergeCell ref="B98:M98"/>
    <mergeCell ref="O98:Z98"/>
    <mergeCell ref="B100:M100"/>
    <mergeCell ref="O100:Z100"/>
    <mergeCell ref="B92:M92"/>
    <mergeCell ref="O92:Z92"/>
    <mergeCell ref="B94:M94"/>
    <mergeCell ref="O94:Z94"/>
    <mergeCell ref="B96:M96"/>
    <mergeCell ref="O96:Z96"/>
    <mergeCell ref="B78:M78"/>
    <mergeCell ref="O78:Z78"/>
    <mergeCell ref="B80:M80"/>
    <mergeCell ref="O80:Z80"/>
    <mergeCell ref="B82:M82"/>
    <mergeCell ref="O82:Z82"/>
    <mergeCell ref="B84:M84"/>
    <mergeCell ref="O84:Z84"/>
    <mergeCell ref="B86:M86"/>
    <mergeCell ref="O86:Z86"/>
    <mergeCell ref="B68:M68"/>
    <mergeCell ref="O68:Z68"/>
    <mergeCell ref="B70:M70"/>
    <mergeCell ref="O70:Z70"/>
    <mergeCell ref="B72:M72"/>
    <mergeCell ref="O72:Z72"/>
    <mergeCell ref="B74:M74"/>
    <mergeCell ref="O74:Z74"/>
    <mergeCell ref="B76:M76"/>
    <mergeCell ref="O76:Z76"/>
    <mergeCell ref="B58:M58"/>
    <mergeCell ref="O58:Z58"/>
    <mergeCell ref="B60:M60"/>
    <mergeCell ref="O60:Z60"/>
    <mergeCell ref="B62:M62"/>
    <mergeCell ref="O62:Z62"/>
    <mergeCell ref="B64:M64"/>
    <mergeCell ref="O64:Z64"/>
    <mergeCell ref="B66:M66"/>
    <mergeCell ref="O66:Z66"/>
    <mergeCell ref="B48:M48"/>
    <mergeCell ref="O48:Z48"/>
    <mergeCell ref="B50:M50"/>
    <mergeCell ref="O50:Z50"/>
    <mergeCell ref="B52:M52"/>
    <mergeCell ref="O52:Z52"/>
    <mergeCell ref="B54:M54"/>
    <mergeCell ref="O54:Z54"/>
    <mergeCell ref="B56:M56"/>
    <mergeCell ref="O56:Z56"/>
    <mergeCell ref="B38:M38"/>
    <mergeCell ref="O38:Z38"/>
    <mergeCell ref="B40:M40"/>
    <mergeCell ref="O40:Z40"/>
    <mergeCell ref="B42:M42"/>
    <mergeCell ref="O42:Z42"/>
    <mergeCell ref="B44:M44"/>
    <mergeCell ref="O44:Z44"/>
    <mergeCell ref="B46:M46"/>
    <mergeCell ref="O46:Z46"/>
    <mergeCell ref="L14:M15"/>
    <mergeCell ref="Q14:AD15"/>
    <mergeCell ref="B30:M30"/>
    <mergeCell ref="O30:Z30"/>
    <mergeCell ref="B32:M32"/>
    <mergeCell ref="O32:Z32"/>
    <mergeCell ref="B34:M34"/>
    <mergeCell ref="O34:Z34"/>
    <mergeCell ref="B36:M36"/>
    <mergeCell ref="O36:Z36"/>
    <mergeCell ref="C20:H20"/>
    <mergeCell ref="I20:J20"/>
    <mergeCell ref="L20:M20"/>
    <mergeCell ref="C17:H18"/>
    <mergeCell ref="I17:J18"/>
    <mergeCell ref="L17:M18"/>
    <mergeCell ref="C21:H21"/>
    <mergeCell ref="I21:J21"/>
    <mergeCell ref="L21:M21"/>
    <mergeCell ref="C22:H22"/>
    <mergeCell ref="C26:H26"/>
    <mergeCell ref="I26:J26"/>
    <mergeCell ref="L26:M26"/>
    <mergeCell ref="K27:N27"/>
    <mergeCell ref="Z2:AN2"/>
    <mergeCell ref="B4:D4"/>
    <mergeCell ref="J4:AI4"/>
    <mergeCell ref="AJ4:AM4"/>
    <mergeCell ref="B5:E5"/>
    <mergeCell ref="C8:O8"/>
    <mergeCell ref="T8:AB8"/>
    <mergeCell ref="AD8:AM8"/>
    <mergeCell ref="C9:K9"/>
    <mergeCell ref="M9:R9"/>
    <mergeCell ref="T9:W9"/>
    <mergeCell ref="Y9:AB9"/>
    <mergeCell ref="AD9:AM9"/>
    <mergeCell ref="B2:M2"/>
    <mergeCell ref="AE14:AI15"/>
    <mergeCell ref="AJ14:AL15"/>
    <mergeCell ref="C19:H19"/>
    <mergeCell ref="I19:J19"/>
    <mergeCell ref="L19:M19"/>
    <mergeCell ref="B11:N11"/>
    <mergeCell ref="P11:AL11"/>
    <mergeCell ref="C12:H12"/>
    <mergeCell ref="I12:J12"/>
    <mergeCell ref="L12:M12"/>
    <mergeCell ref="Q12:AD12"/>
    <mergeCell ref="AE12:AI12"/>
    <mergeCell ref="AJ12:AL12"/>
    <mergeCell ref="C13:H13"/>
    <mergeCell ref="I13:J13"/>
    <mergeCell ref="L13:M13"/>
    <mergeCell ref="Q13:AD13"/>
    <mergeCell ref="AE13:AI13"/>
    <mergeCell ref="AJ13:AL13"/>
    <mergeCell ref="C14:H15"/>
    <mergeCell ref="I14:J15"/>
    <mergeCell ref="Q16:AD16"/>
    <mergeCell ref="AE16:AI16"/>
    <mergeCell ref="AJ16:AL16"/>
    <mergeCell ref="Q27:T27"/>
    <mergeCell ref="AJ27:AM27"/>
    <mergeCell ref="I22:J22"/>
    <mergeCell ref="L22:M22"/>
    <mergeCell ref="C23:H23"/>
    <mergeCell ref="I23:J23"/>
    <mergeCell ref="L23:M23"/>
    <mergeCell ref="C24:H24"/>
    <mergeCell ref="I24:J24"/>
    <mergeCell ref="L24:M24"/>
    <mergeCell ref="C25:H25"/>
    <mergeCell ref="I25:J25"/>
    <mergeCell ref="L25:M2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Verbas</vt:lpstr>
      <vt:lpstr>Relatorio</vt:lpstr>
      <vt:lpstr>importação</vt:lpstr>
      <vt:lpstr>Relatorio!Area_de_impressao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Rh5</dc:creator>
  <cp:lastModifiedBy>User</cp:lastModifiedBy>
  <cp:lastPrinted>2021-08-13T20:11:31Z</cp:lastPrinted>
  <dcterms:created xsi:type="dcterms:W3CDTF">2021-08-13T11:45:11Z</dcterms:created>
  <dcterms:modified xsi:type="dcterms:W3CDTF">2022-04-20T12:48:36Z</dcterms:modified>
</cp:coreProperties>
</file>