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 filterPrivacy="1"/>
  <xr:revisionPtr revIDLastSave="0" documentId="13_ncr:1_{FE1630F3-2A20-4B9F-8CBC-737BB36EAD34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dane, 1, 2" sheetId="1" r:id="rId1"/>
    <sheet name="3" sheetId="4" r:id="rId2"/>
    <sheet name="4" sheetId="3" r:id="rId3"/>
    <sheet name="wzory" sheetId="2" r:id="rId4"/>
  </sheets>
  <definedNames>
    <definedName name="DaneZewnętrzne_1" localSheetId="1" hidden="1">'3'!$A$1:$G$11</definedName>
    <definedName name="DaneZewnętrzne_1" localSheetId="2" hidden="1">'4'!$A$1:$G$11</definedName>
    <definedName name="DaneZewnętrzne_1" localSheetId="0" hidden="1">'dane, 1, 2'!$A$1:$G$11</definedName>
    <definedName name="DaneZewnętrzne_2" localSheetId="1" hidden="1">'3'!$A$14:$E$19</definedName>
    <definedName name="DaneZewnętrzne_2" localSheetId="2" hidden="1">'4'!$A$14:$E$19</definedName>
    <definedName name="DaneZewnętrzne_2" localSheetId="0" hidden="1">'dane, 1, 2'!$A$14:$E$19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3" l="1"/>
  <c r="I19" i="3"/>
  <c r="H19" i="3"/>
  <c r="G19" i="3"/>
  <c r="F19" i="3"/>
  <c r="J9" i="3" s="1"/>
  <c r="J18" i="3"/>
  <c r="I18" i="3"/>
  <c r="H18" i="3"/>
  <c r="G18" i="3"/>
  <c r="F18" i="3"/>
  <c r="J17" i="3"/>
  <c r="I17" i="3"/>
  <c r="H17" i="3"/>
  <c r="G17" i="3"/>
  <c r="F17" i="3"/>
  <c r="J16" i="3"/>
  <c r="I16" i="3"/>
  <c r="H16" i="3"/>
  <c r="I3" i="3" s="1"/>
  <c r="G16" i="3"/>
  <c r="F16" i="3"/>
  <c r="J7" i="3" s="1"/>
  <c r="J15" i="3"/>
  <c r="I15" i="3"/>
  <c r="H15" i="3"/>
  <c r="J2" i="3" s="1"/>
  <c r="G15" i="3"/>
  <c r="F15" i="3"/>
  <c r="R11" i="3"/>
  <c r="L11" i="3"/>
  <c r="K11" i="3"/>
  <c r="I11" i="3"/>
  <c r="H11" i="3"/>
  <c r="R10" i="3"/>
  <c r="L10" i="3"/>
  <c r="K10" i="3"/>
  <c r="I10" i="3"/>
  <c r="H10" i="3"/>
  <c r="R9" i="3"/>
  <c r="L9" i="3"/>
  <c r="K9" i="3"/>
  <c r="H9" i="3"/>
  <c r="R8" i="3"/>
  <c r="L8" i="3"/>
  <c r="K8" i="3"/>
  <c r="J8" i="3"/>
  <c r="H8" i="3"/>
  <c r="R7" i="3"/>
  <c r="L7" i="3"/>
  <c r="K7" i="3"/>
  <c r="I7" i="3"/>
  <c r="H7" i="3"/>
  <c r="R6" i="3"/>
  <c r="L6" i="3"/>
  <c r="K6" i="3"/>
  <c r="J6" i="3"/>
  <c r="H6" i="3"/>
  <c r="R5" i="3"/>
  <c r="L5" i="3"/>
  <c r="K5" i="3"/>
  <c r="J5" i="3"/>
  <c r="H5" i="3"/>
  <c r="R4" i="3"/>
  <c r="L4" i="3"/>
  <c r="K4" i="3"/>
  <c r="J4" i="3"/>
  <c r="I4" i="3"/>
  <c r="M4" i="3" s="1"/>
  <c r="H4" i="3"/>
  <c r="R3" i="3"/>
  <c r="L3" i="3"/>
  <c r="K3" i="3"/>
  <c r="H3" i="3"/>
  <c r="R2" i="3"/>
  <c r="L2" i="3"/>
  <c r="K2" i="3"/>
  <c r="I2" i="3"/>
  <c r="H2" i="3"/>
  <c r="T5" i="4"/>
  <c r="T8" i="4"/>
  <c r="T2" i="4"/>
  <c r="J19" i="4"/>
  <c r="I19" i="4"/>
  <c r="H19" i="4"/>
  <c r="G19" i="4"/>
  <c r="F19" i="4"/>
  <c r="J18" i="4"/>
  <c r="I18" i="4"/>
  <c r="H18" i="4"/>
  <c r="G18" i="4"/>
  <c r="F18" i="4"/>
  <c r="I8" i="4" s="1"/>
  <c r="J17" i="4"/>
  <c r="I17" i="4"/>
  <c r="H17" i="4"/>
  <c r="G17" i="4"/>
  <c r="F17" i="4"/>
  <c r="J16" i="4"/>
  <c r="I16" i="4"/>
  <c r="H16" i="4"/>
  <c r="G16" i="4"/>
  <c r="F16" i="4"/>
  <c r="J15" i="4"/>
  <c r="I15" i="4"/>
  <c r="H15" i="4"/>
  <c r="J2" i="4" s="1"/>
  <c r="G15" i="4"/>
  <c r="F15" i="4"/>
  <c r="J5" i="4" s="1"/>
  <c r="R11" i="4"/>
  <c r="L11" i="4"/>
  <c r="K11" i="4"/>
  <c r="J11" i="4"/>
  <c r="H11" i="4"/>
  <c r="R10" i="4"/>
  <c r="L10" i="4"/>
  <c r="K10" i="4"/>
  <c r="J10" i="4"/>
  <c r="H10" i="4"/>
  <c r="R9" i="4"/>
  <c r="L9" i="4"/>
  <c r="K9" i="4"/>
  <c r="H9" i="4"/>
  <c r="R8" i="4"/>
  <c r="L8" i="4"/>
  <c r="K8" i="4"/>
  <c r="H8" i="4"/>
  <c r="R7" i="4"/>
  <c r="L7" i="4"/>
  <c r="K7" i="4"/>
  <c r="H7" i="4"/>
  <c r="R6" i="4"/>
  <c r="L6" i="4"/>
  <c r="K6" i="4"/>
  <c r="H6" i="4"/>
  <c r="R5" i="4"/>
  <c r="L5" i="4"/>
  <c r="K5" i="4"/>
  <c r="H5" i="4"/>
  <c r="R4" i="4"/>
  <c r="L4" i="4"/>
  <c r="K4" i="4"/>
  <c r="I4" i="4"/>
  <c r="H4" i="4"/>
  <c r="R3" i="4"/>
  <c r="L3" i="4"/>
  <c r="K3" i="4"/>
  <c r="I3" i="4"/>
  <c r="H3" i="4"/>
  <c r="R2" i="4"/>
  <c r="L2" i="4"/>
  <c r="K2" i="4"/>
  <c r="H2" i="4"/>
  <c r="T8" i="1"/>
  <c r="V8" i="1"/>
  <c r="V5" i="1"/>
  <c r="V2" i="1"/>
  <c r="S2" i="1"/>
  <c r="S3" i="1"/>
  <c r="S4" i="1"/>
  <c r="S5" i="1"/>
  <c r="S6" i="1"/>
  <c r="S7" i="1"/>
  <c r="S8" i="1"/>
  <c r="S9" i="1"/>
  <c r="S10" i="1"/>
  <c r="S11" i="1"/>
  <c r="L6" i="1"/>
  <c r="L2" i="1"/>
  <c r="L3" i="1"/>
  <c r="L4" i="1"/>
  <c r="L5" i="1"/>
  <c r="L7" i="1"/>
  <c r="L8" i="1"/>
  <c r="L9" i="1"/>
  <c r="L10" i="1"/>
  <c r="L11" i="1"/>
  <c r="K4" i="1"/>
  <c r="J2" i="1"/>
  <c r="K2" i="1"/>
  <c r="K3" i="1"/>
  <c r="K5" i="1"/>
  <c r="K6" i="1"/>
  <c r="K7" i="1"/>
  <c r="K8" i="1"/>
  <c r="K9" i="1"/>
  <c r="K10" i="1"/>
  <c r="K11" i="1"/>
  <c r="J15" i="1"/>
  <c r="J16" i="1"/>
  <c r="J17" i="1"/>
  <c r="J18" i="1"/>
  <c r="J19" i="1"/>
  <c r="I15" i="1"/>
  <c r="I16" i="1"/>
  <c r="I17" i="1"/>
  <c r="I18" i="1"/>
  <c r="I19" i="1"/>
  <c r="H15" i="1"/>
  <c r="H16" i="1"/>
  <c r="H17" i="1"/>
  <c r="H18" i="1"/>
  <c r="H19" i="1"/>
  <c r="G15" i="1"/>
  <c r="G16" i="1"/>
  <c r="G17" i="1"/>
  <c r="G18" i="1"/>
  <c r="G19" i="1"/>
  <c r="F15" i="1"/>
  <c r="J8" i="1" s="1"/>
  <c r="F16" i="1"/>
  <c r="I4" i="1" s="1"/>
  <c r="F17" i="1"/>
  <c r="F18" i="1"/>
  <c r="F19" i="1"/>
  <c r="H2" i="1"/>
  <c r="H3" i="1"/>
  <c r="H4" i="1"/>
  <c r="H5" i="1"/>
  <c r="H6" i="1"/>
  <c r="H7" i="1"/>
  <c r="H8" i="1"/>
  <c r="H9" i="1"/>
  <c r="H10" i="1"/>
  <c r="H11" i="1"/>
  <c r="N4" i="3" l="1"/>
  <c r="O4" i="3"/>
  <c r="M2" i="3"/>
  <c r="M7" i="3"/>
  <c r="J3" i="3"/>
  <c r="M3" i="3" s="1"/>
  <c r="J11" i="3"/>
  <c r="M11" i="3" s="1"/>
  <c r="I8" i="3"/>
  <c r="M8" i="3" s="1"/>
  <c r="I9" i="3"/>
  <c r="M9" i="3" s="1"/>
  <c r="J10" i="3"/>
  <c r="M10" i="3" s="1"/>
  <c r="I5" i="3"/>
  <c r="M5" i="3" s="1"/>
  <c r="I6" i="3"/>
  <c r="M6" i="3" s="1"/>
  <c r="I5" i="4"/>
  <c r="M5" i="4" s="1"/>
  <c r="J9" i="4"/>
  <c r="J3" i="4"/>
  <c r="M3" i="4" s="1"/>
  <c r="J4" i="4"/>
  <c r="M4" i="4" s="1"/>
  <c r="O4" i="4" s="1"/>
  <c r="J8" i="4"/>
  <c r="M8" i="4" s="1"/>
  <c r="I11" i="4"/>
  <c r="M11" i="4" s="1"/>
  <c r="I2" i="4"/>
  <c r="M2" i="4" s="1"/>
  <c r="J6" i="4"/>
  <c r="J7" i="4"/>
  <c r="I9" i="4"/>
  <c r="M9" i="4" s="1"/>
  <c r="I10" i="4"/>
  <c r="M10" i="4" s="1"/>
  <c r="I6" i="4"/>
  <c r="I7" i="4"/>
  <c r="J9" i="1"/>
  <c r="J3" i="1"/>
  <c r="I6" i="1"/>
  <c r="J11" i="1"/>
  <c r="J5" i="1"/>
  <c r="I7" i="1"/>
  <c r="M7" i="1" s="1"/>
  <c r="J6" i="1"/>
  <c r="M6" i="1" s="1"/>
  <c r="I11" i="1"/>
  <c r="M11" i="1" s="1"/>
  <c r="I5" i="1"/>
  <c r="J10" i="1"/>
  <c r="I9" i="1"/>
  <c r="J4" i="1"/>
  <c r="M4" i="1" s="1"/>
  <c r="I3" i="1"/>
  <c r="M3" i="1" s="1"/>
  <c r="I8" i="1"/>
  <c r="M8" i="1" s="1"/>
  <c r="J7" i="1"/>
  <c r="I2" i="1"/>
  <c r="I10" i="1"/>
  <c r="M10" i="1" s="1"/>
  <c r="M5" i="1"/>
  <c r="N5" i="1" s="1"/>
  <c r="O5" i="1"/>
  <c r="P5" i="1" s="1"/>
  <c r="Q5" i="1" s="1"/>
  <c r="T5" i="1" s="1"/>
  <c r="M2" i="1"/>
  <c r="M9" i="1"/>
  <c r="N11" i="3" l="1"/>
  <c r="O11" i="3"/>
  <c r="O6" i="3"/>
  <c r="N6" i="3"/>
  <c r="P6" i="3" s="1"/>
  <c r="Q6" i="3" s="1"/>
  <c r="O5" i="3"/>
  <c r="N5" i="3"/>
  <c r="N3" i="3"/>
  <c r="O3" i="3"/>
  <c r="O8" i="3"/>
  <c r="N8" i="3"/>
  <c r="N2" i="3"/>
  <c r="P2" i="3" s="1"/>
  <c r="Q2" i="3" s="1"/>
  <c r="O2" i="3"/>
  <c r="P4" i="3"/>
  <c r="Q4" i="3" s="1"/>
  <c r="O10" i="3"/>
  <c r="N10" i="3"/>
  <c r="O9" i="3"/>
  <c r="N9" i="3"/>
  <c r="P9" i="3" s="1"/>
  <c r="Q9" i="3" s="1"/>
  <c r="O7" i="3"/>
  <c r="N7" i="3"/>
  <c r="P7" i="3" s="1"/>
  <c r="Q7" i="3" s="1"/>
  <c r="O8" i="4"/>
  <c r="N8" i="4"/>
  <c r="P8" i="4" s="1"/>
  <c r="Q8" i="4" s="1"/>
  <c r="M6" i="4"/>
  <c r="N11" i="4"/>
  <c r="O11" i="4"/>
  <c r="P11" i="4" s="1"/>
  <c r="Q11" i="4" s="1"/>
  <c r="O5" i="4"/>
  <c r="N5" i="4"/>
  <c r="N3" i="4"/>
  <c r="P3" i="4" s="1"/>
  <c r="Q3" i="4" s="1"/>
  <c r="O3" i="4"/>
  <c r="N4" i="4"/>
  <c r="N10" i="4"/>
  <c r="O10" i="4"/>
  <c r="N9" i="4"/>
  <c r="O9" i="4"/>
  <c r="O6" i="4"/>
  <c r="N6" i="4"/>
  <c r="P4" i="4"/>
  <c r="Q4" i="4" s="1"/>
  <c r="M7" i="4"/>
  <c r="O2" i="4"/>
  <c r="N2" i="4"/>
  <c r="O9" i="1"/>
  <c r="N9" i="1"/>
  <c r="P9" i="1" s="1"/>
  <c r="Q9" i="1" s="1"/>
  <c r="T9" i="1" s="1"/>
  <c r="O2" i="1"/>
  <c r="N2" i="1"/>
  <c r="N6" i="1"/>
  <c r="O6" i="1"/>
  <c r="N3" i="1"/>
  <c r="O3" i="1"/>
  <c r="O11" i="1"/>
  <c r="N11" i="1"/>
  <c r="O7" i="1"/>
  <c r="N7" i="1"/>
  <c r="O10" i="1"/>
  <c r="N10" i="1"/>
  <c r="P10" i="1" s="1"/>
  <c r="Q10" i="1" s="1"/>
  <c r="T10" i="1" s="1"/>
  <c r="O8" i="1"/>
  <c r="N8" i="1"/>
  <c r="O4" i="1"/>
  <c r="N4" i="1"/>
  <c r="P8" i="3" l="1"/>
  <c r="Q8" i="3" s="1"/>
  <c r="P10" i="3"/>
  <c r="Q10" i="3" s="1"/>
  <c r="P3" i="3"/>
  <c r="Q3" i="3" s="1"/>
  <c r="T2" i="3" s="1"/>
  <c r="P11" i="3"/>
  <c r="Q11" i="3" s="1"/>
  <c r="P5" i="3"/>
  <c r="Q5" i="3" s="1"/>
  <c r="T5" i="3" s="1"/>
  <c r="P5" i="4"/>
  <c r="Q5" i="4" s="1"/>
  <c r="P2" i="4"/>
  <c r="Q2" i="4" s="1"/>
  <c r="P6" i="4"/>
  <c r="Q6" i="4" s="1"/>
  <c r="P9" i="4"/>
  <c r="Q9" i="4" s="1"/>
  <c r="O7" i="4"/>
  <c r="N7" i="4"/>
  <c r="P7" i="4" s="1"/>
  <c r="Q7" i="4" s="1"/>
  <c r="P10" i="4"/>
  <c r="Q10" i="4" s="1"/>
  <c r="P6" i="1"/>
  <c r="Q6" i="1" s="1"/>
  <c r="T6" i="1" s="1"/>
  <c r="P3" i="1"/>
  <c r="Q3" i="1" s="1"/>
  <c r="T3" i="1" s="1"/>
  <c r="P4" i="1"/>
  <c r="Q4" i="1" s="1"/>
  <c r="T4" i="1" s="1"/>
  <c r="P7" i="1"/>
  <c r="Q7" i="1" s="1"/>
  <c r="T7" i="1" s="1"/>
  <c r="P8" i="1"/>
  <c r="Q8" i="1" s="1"/>
  <c r="P11" i="1"/>
  <c r="Q11" i="1" s="1"/>
  <c r="T11" i="1" s="1"/>
  <c r="P2" i="1"/>
  <c r="Q2" i="1" s="1"/>
  <c r="T2" i="1" s="1"/>
  <c r="T8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EF7439-1767-4594-9941-093A18694E72}" keepAlive="1" name="Zapytanie — Zadanie1-Zalacznik1-projekty" description="Połączenie z zapytaniem „Zadanie1-Zalacznik1-projekty” w skoroszycie." type="5" refreshedVersion="6" background="1" saveData="1">
    <dbPr connection="Provider=Microsoft.Mashup.OleDb.1;Data Source=$Workbook$;Location=Zadanie1-Zalacznik1-projekty;Extended Properties=&quot;&quot;" command="SELECT * FROM [Zadanie1-Zalacznik1-projekty]"/>
  </connection>
  <connection id="2" xr16:uid="{675714C8-5DAA-4E6B-9023-47B5D012D9F2}" keepAlive="1" name="Zapytanie — Zadanie1-Zalacznik1-projekty (2)" description="Połączenie z zapytaniem „Zadanie1-Zalacznik1-projekty (2)” w skoroszycie." type="5" refreshedVersion="6" background="1" saveData="1">
    <dbPr connection="Provider=Microsoft.Mashup.OleDb.1;Data Source=$Workbook$;Location=&quot;Zadanie1-Zalacznik1-projekty (2)&quot;;Extended Properties=&quot;&quot;" command="SELECT * FROM [Zadanie1-Zalacznik1-projekty (2)]"/>
  </connection>
  <connection id="3" xr16:uid="{74BC7503-1D92-4C4A-A423-5C91BB18E14A}" keepAlive="1" name="Zapytanie — Zadanie1-Zalacznik1-projekty (3)" description="Połączenie z zapytaniem „Zadanie1-Zalacznik1-projekty (3)” w skoroszycie." type="5" refreshedVersion="6" background="1" saveData="1">
    <dbPr connection="Provider=Microsoft.Mashup.OleDb.1;Data Source=$Workbook$;Location=&quot;Zadanie1-Zalacznik1-projekty (3)&quot;;Extended Properties=&quot;&quot;" command="SELECT * FROM [Zadanie1-Zalacznik1-projekty (3)]"/>
  </connection>
  <connection id="4" xr16:uid="{EDEDDC3B-10B3-4873-8EE8-C9C9ADFF1F1F}" keepAlive="1" name="Zapytanie — Zadanie1-Zalacznik1-projekty (4)" description="Połączenie z zapytaniem „Zadanie1-Zalacznik1-projekty (4)” w skoroszycie." type="5" refreshedVersion="6" background="1" saveData="1">
    <dbPr connection="Provider=Microsoft.Mashup.OleDb.1;Data Source=$Workbook$;Location=&quot;Zadanie1-Zalacznik1-projekty (4)&quot;;Extended Properties=&quot;&quot;" command="SELECT * FROM [Zadanie1-Zalacznik1-projekty (4)]"/>
  </connection>
  <connection id="5" xr16:uid="{6725E255-B0CB-473C-8B13-232828F50721}" keepAlive="1" name="Zapytanie — Zadanie1-Zalacznik1-wspolczynniki" description="Połączenie z zapytaniem „Zadanie1-Zalacznik1-wspolczynniki” w skoroszycie." type="5" refreshedVersion="6" background="1" saveData="1">
    <dbPr connection="Provider=Microsoft.Mashup.OleDb.1;Data Source=$Workbook$;Location=Zadanie1-Zalacznik1-wspolczynniki;Extended Properties=&quot;&quot;" command="SELECT * FROM [Zadanie1-Zalacznik1-wspolczynniki]"/>
  </connection>
  <connection id="6" xr16:uid="{DDAC0F9B-6B7E-44CB-B459-847C680032E9}" keepAlive="1" name="Zapytanie — Zadanie1-Zalacznik1-wspolczynniki (2)" description="Połączenie z zapytaniem „Zadanie1-Zalacznik1-wspolczynniki (2)” w skoroszycie." type="5" refreshedVersion="6" background="1" saveData="1">
    <dbPr connection="Provider=Microsoft.Mashup.OleDb.1;Data Source=$Workbook$;Location=&quot;Zadanie1-Zalacznik1-wspolczynniki (2)&quot;;Extended Properties=&quot;&quot;" command="SELECT * FROM [Zadanie1-Zalacznik1-wspolczynniki (2)]"/>
  </connection>
  <connection id="7" xr16:uid="{A89E9A64-CFF2-4E9A-B125-AF43D52AA30D}" keepAlive="1" name="Zapytanie — Zadanie1-Zalacznik1-wspolczynniki (3)" description="Połączenie z zapytaniem „Zadanie1-Zalacznik1-wspolczynniki (3)” w skoroszycie." type="5" refreshedVersion="6" background="1" saveData="1">
    <dbPr connection="Provider=Microsoft.Mashup.OleDb.1;Data Source=$Workbook$;Location=&quot;Zadanie1-Zalacznik1-wspolczynniki (3)&quot;;Extended Properties=&quot;&quot;" command="SELECT * FROM [Zadanie1-Zalacznik1-wspolczynniki (3)]"/>
  </connection>
  <connection id="8" xr16:uid="{9F579BB7-DB30-4AB4-97AC-5AFCB4D97075}" keepAlive="1" name="Zapytanie — Zadanie1-Zalacznik1-wspolczynniki (4)" description="Połączenie z zapytaniem „Zadanie1-Zalacznik1-wspolczynniki (4)” w skoroszycie." type="5" refreshedVersion="6" background="1" saveData="1">
    <dbPr connection="Provider=Microsoft.Mashup.OleDb.1;Data Source=$Workbook$;Location=&quot;Zadanie1-Zalacznik1-wspolczynniki (4)&quot;;Extended Properties=&quot;&quot;" command="SELECT * FROM [Zadanie1-Zalacznik1-wspolczynniki (4)]"/>
  </connection>
</connections>
</file>

<file path=xl/sharedStrings.xml><?xml version="1.0" encoding="utf-8"?>
<sst xmlns="http://schemas.openxmlformats.org/spreadsheetml/2006/main" count="154" uniqueCount="57">
  <si>
    <t>K (kosztochłonność)</t>
  </si>
  <si>
    <t>a*(DK)^E</t>
  </si>
  <si>
    <t>DK - długość kodu</t>
  </si>
  <si>
    <t>a - stała</t>
  </si>
  <si>
    <t>E=b+0.01*(W1+W2+W3+W4)</t>
  </si>
  <si>
    <t>b - stała</t>
  </si>
  <si>
    <t>W1 - typowość</t>
  </si>
  <si>
    <t>W2 - elastyczność</t>
  </si>
  <si>
    <t>W3 - zarządzanie ryzykiem</t>
  </si>
  <si>
    <t>W1 - spójność zespołu</t>
  </si>
  <si>
    <t>P (minimalna liczba osób do realizacji projektu)</t>
  </si>
  <si>
    <t>K/(2,5*K^c)</t>
  </si>
  <si>
    <t>c - stała</t>
  </si>
  <si>
    <t>K - kosztochłonność</t>
  </si>
  <si>
    <t>Nr_projektu</t>
  </si>
  <si>
    <t>Minimalna_długość_kodu</t>
  </si>
  <si>
    <t>Maksymalna_długość_kodu</t>
  </si>
  <si>
    <t>Typowość</t>
  </si>
  <si>
    <t>Elastyczność</t>
  </si>
  <si>
    <t>Zarz_ryzykiem</t>
  </si>
  <si>
    <t>Spoj_zespołu</t>
  </si>
  <si>
    <t>1</t>
  </si>
  <si>
    <t>2</t>
  </si>
  <si>
    <t>3</t>
  </si>
  <si>
    <t>4l5</t>
  </si>
  <si>
    <t>4</t>
  </si>
  <si>
    <t>5</t>
  </si>
  <si>
    <t>3l4</t>
  </si>
  <si>
    <t>Kategoria</t>
  </si>
  <si>
    <t>Zarządzanie ryzykiem</t>
  </si>
  <si>
    <t>Spójność zespołu</t>
  </si>
  <si>
    <t>stałe</t>
  </si>
  <si>
    <t>a</t>
  </si>
  <si>
    <t>b</t>
  </si>
  <si>
    <t>c</t>
  </si>
  <si>
    <t>typowość - wartość</t>
  </si>
  <si>
    <t>elastyczność1 - wartość</t>
  </si>
  <si>
    <t>kategoria napis</t>
  </si>
  <si>
    <t>typowość 2</t>
  </si>
  <si>
    <t>elastyczność 2</t>
  </si>
  <si>
    <t>ryzyko 2</t>
  </si>
  <si>
    <t>spójność 2</t>
  </si>
  <si>
    <t>elastyczność 2 - wartość</t>
  </si>
  <si>
    <t>zarządzanie - wartość</t>
  </si>
  <si>
    <t>spójność wartość</t>
  </si>
  <si>
    <t>E</t>
  </si>
  <si>
    <t>K1</t>
  </si>
  <si>
    <t>K2</t>
  </si>
  <si>
    <t>K ostateczne</t>
  </si>
  <si>
    <t>P (minimalna liczba pracowników)</t>
  </si>
  <si>
    <t>liczba pracowników</t>
  </si>
  <si>
    <t>brakujących pracowników</t>
  </si>
  <si>
    <t>projekt id</t>
  </si>
  <si>
    <t>1 transza</t>
  </si>
  <si>
    <t>2 transza</t>
  </si>
  <si>
    <t>3 transza</t>
  </si>
  <si>
    <t>transze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</si>
</sst>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sz val="20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NumberFormat="1"/>
    <xf numFmtId="0" fontId="1" fillId="0" borderId="0" xfId="0" applyFont="1"/>
    <xf numFmtId="49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ny" xfId="0" builtinId="0"/>
  </cellStyles>
  <dxfs count="5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 </a:t>
            </a:r>
            <a:r>
              <a:rPr lang="en-US"/>
              <a:t>brakujących pracowników</a:t>
            </a:r>
            <a:r>
              <a:rPr lang="pl-PL"/>
              <a:t> do poszczególnych projektów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'dane, 1, 2'!$T$1</c:f>
              <c:strCache>
                <c:ptCount val="1"/>
                <c:pt idx="0">
                  <c:v>brakujących pracowników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'dane, 1, 2'!$S$2:$S$11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'dane, 1, 2'!$T$2:$T$11</c:f>
              <c:numCache>
                <c:formatCode>General</c:formatCode>
                <c:ptCount val="10"/>
                <c:pt idx="0">
                  <c:v>2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00-406C-A902-949D69067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6453424"/>
        <c:axId val="407660448"/>
      </c:barChart>
      <c:catAx>
        <c:axId val="40645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projekt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7660448"/>
        <c:crosses val="autoZero"/>
        <c:auto val="1"/>
        <c:lblAlgn val="ctr"/>
        <c:lblOffset val="100"/>
        <c:noMultiLvlLbl val="0"/>
      </c:catAx>
      <c:valAx>
        <c:axId val="40766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pracowników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645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655320</xdr:colOff>
      <xdr:row>12</xdr:row>
      <xdr:rowOff>45720</xdr:rowOff>
    </xdr:from>
    <xdr:to>
      <xdr:col>18</xdr:col>
      <xdr:colOff>190500</xdr:colOff>
      <xdr:row>40</xdr:row>
      <xdr:rowOff>15240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A570D01-92BC-4061-86CC-6BD45C91B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21A37D4A-0FCA-48BC-8EB3-53D7EE5A1427}" autoFormatId="16" applyNumberFormats="0" applyBorderFormats="0" applyFontFormats="0" applyPatternFormats="0" applyAlignmentFormats="0" applyWidthHeightFormats="0">
  <queryTableRefresh nextId="21" unboundColumnsRight="13">
    <queryTableFields count="20">
      <queryTableField id="1" name="Nr_projektu" tableColumnId="1"/>
      <queryTableField id="2" name="Minimalna_długość_kodu" tableColumnId="2"/>
      <queryTableField id="3" name="Maksymalna_długość_kodu" tableColumnId="3"/>
      <queryTableField id="4" name="Typowość" tableColumnId="4"/>
      <queryTableField id="5" name="Elastyczność" tableColumnId="5"/>
      <queryTableField id="6" name="Zarz_ryzykiem" tableColumnId="6"/>
      <queryTableField id="7" name="Spoj_zespołu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  <queryTableField id="20" dataBound="0" tableColumnId="20"/>
      <queryTableField id="19" dataBound="0" tableColumnId="1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5" xr16:uid="{2218E597-D333-49BB-9FC9-DE4DD1856676}" autoFormatId="16" applyNumberFormats="0" applyBorderFormats="0" applyFontFormats="0" applyPatternFormats="0" applyAlignmentFormats="0" applyWidthHeightFormats="0">
  <queryTableRefresh nextId="11" unboundColumnsRight="5">
    <queryTableFields count="10">
      <queryTableField id="1" name="Kategoria" tableColumnId="1"/>
      <queryTableField id="2" name="Typowość" tableColumnId="2"/>
      <queryTableField id="3" name="Elastyczność" tableColumnId="3"/>
      <queryTableField id="4" name="Zarządzanie ryzykiem" tableColumnId="4"/>
      <queryTableField id="5" name="Spójność zespołu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63FF16BA-275D-41EC-8549-9548FAD8BB4E}" autoFormatId="16" applyNumberFormats="0" applyBorderFormats="0" applyFontFormats="0" applyPatternFormats="0" applyAlignmentFormats="0" applyWidthHeightFormats="0">
  <queryTableRefresh nextId="21" unboundColumnsRight="11">
    <queryTableFields count="18">
      <queryTableField id="1" name="Nr_projektu" tableColumnId="1"/>
      <queryTableField id="2" name="Minimalna_długość_kodu" tableColumnId="2"/>
      <queryTableField id="3" name="Maksymalna_długość_kodu" tableColumnId="3"/>
      <queryTableField id="4" name="Typowość" tableColumnId="4"/>
      <queryTableField id="5" name="Elastyczność" tableColumnId="5"/>
      <queryTableField id="6" name="Zarz_ryzykiem" tableColumnId="6"/>
      <queryTableField id="7" name="Spoj_zespołu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20" dataBound="0" tableColumnId="2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7" xr16:uid="{CFAD2930-B34C-49DF-92CB-3FE7BA77FFB9}" autoFormatId="16" applyNumberFormats="0" applyBorderFormats="0" applyFontFormats="0" applyPatternFormats="0" applyAlignmentFormats="0" applyWidthHeightFormats="0">
  <queryTableRefresh nextId="11" unboundColumnsRight="5">
    <queryTableFields count="10">
      <queryTableField id="1" name="Kategoria" tableColumnId="1"/>
      <queryTableField id="2" name="Typowość" tableColumnId="2"/>
      <queryTableField id="3" name="Elastyczność" tableColumnId="3"/>
      <queryTableField id="4" name="Zarządzanie ryzykiem" tableColumnId="4"/>
      <queryTableField id="5" name="Spójność zespołu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4" xr16:uid="{3332382B-77BB-4B4D-B160-B4572E868C39}" autoFormatId="16" applyNumberFormats="0" applyBorderFormats="0" applyFontFormats="0" applyPatternFormats="0" applyAlignmentFormats="0" applyWidthHeightFormats="0">
  <queryTableRefresh nextId="21" unboundColumnsRight="11">
    <queryTableFields count="18">
      <queryTableField id="1" name="Nr_projektu" tableColumnId="1"/>
      <queryTableField id="2" name="Minimalna_długość_kodu" tableColumnId="2"/>
      <queryTableField id="3" name="Maksymalna_długość_kodu" tableColumnId="3"/>
      <queryTableField id="4" name="Typowość" tableColumnId="4"/>
      <queryTableField id="5" name="Elastyczność" tableColumnId="5"/>
      <queryTableField id="6" name="Zarz_ryzykiem" tableColumnId="6"/>
      <queryTableField id="7" name="Spoj_zespołu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20" dataBound="0" tableColumnId="2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8" xr16:uid="{630CC022-9992-4556-8DE0-5FA35FF53F75}" autoFormatId="16" applyNumberFormats="0" applyBorderFormats="0" applyFontFormats="0" applyPatternFormats="0" applyAlignmentFormats="0" applyWidthHeightFormats="0">
  <queryTableRefresh nextId="11" unboundColumnsRight="5">
    <queryTableFields count="10">
      <queryTableField id="1" name="Kategoria" tableColumnId="1"/>
      <queryTableField id="2" name="Typowość" tableColumnId="2"/>
      <queryTableField id="3" name="Elastyczność" tableColumnId="3"/>
      <queryTableField id="4" name="Zarządzanie ryzykiem" tableColumnId="4"/>
      <queryTableField id="5" name="Spójność zespołu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58F89C-11A3-441B-ACA7-B6ECFFE0E475}" name="Zadanie1_Zalacznik1_projekty" displayName="Zadanie1_Zalacznik1_projekty" ref="A1:T11" tableType="queryTable" totalsRowShown="0">
  <autoFilter ref="A1:T11" xr:uid="{A262E65F-BB21-400B-ABCA-2EE77138B7AC}"/>
  <tableColumns count="20">
    <tableColumn id="1" xr3:uid="{87E335B1-9100-4281-9D31-FAFD60A38735}" uniqueName="1" name="Nr_projektu" queryTableFieldId="1"/>
    <tableColumn id="2" xr3:uid="{C58589BB-C06B-48AE-918D-AEF33246A099}" uniqueName="2" name="Minimalna_długość_kodu" queryTableFieldId="2"/>
    <tableColumn id="3" xr3:uid="{20D4D98F-6C99-4DE8-B205-9D78331AC57B}" uniqueName="3" name="Maksymalna_długość_kodu" queryTableFieldId="3"/>
    <tableColumn id="4" xr3:uid="{37102493-BC94-4D31-8F01-49F74771B6CA}" uniqueName="4" name="Typowość" queryTableFieldId="4"/>
    <tableColumn id="5" xr3:uid="{8522F17A-FBC0-410B-BF7C-4C2E87612BB3}" uniqueName="5" name="Elastyczność" queryTableFieldId="5" dataDxfId="52"/>
    <tableColumn id="6" xr3:uid="{E9D1308F-CE16-4E94-BD8A-4C2F4DAE4D41}" uniqueName="6" name="Zarz_ryzykiem" queryTableFieldId="6"/>
    <tableColumn id="7" xr3:uid="{37A8787B-6814-432E-9B73-62219FAC204A}" uniqueName="7" name="Spoj_zespołu" queryTableFieldId="7"/>
    <tableColumn id="8" xr3:uid="{F10015CF-797F-4951-A70E-53FDBB460120}" uniqueName="8" name="typowość - wartość" queryTableFieldId="8" dataDxfId="51">
      <calculatedColumnFormula>VLOOKUP(Zadanie1_Zalacznik1_projekty[[#This Row],[Typowość]],Zadanie1_Zalacznik1_wspolczynniki[[#All],[Kategoria]:[Typowość]],2,FALSE)</calculatedColumnFormula>
    </tableColumn>
    <tableColumn id="9" xr3:uid="{663C1886-5681-42C6-BE2F-43055DF9E2CF}" uniqueName="9" name="elastyczność1 - wartość" queryTableFieldId="9" dataDxfId="50">
      <calculatedColumnFormula>VLOOKUP(1,Zadanie1_Zalacznik1_wspolczynniki[[#All],[kategoria napis]:[elastyczność 2]],3,FALSE)</calculatedColumnFormula>
    </tableColumn>
    <tableColumn id="10" xr3:uid="{12A8F5CA-8A4C-46CE-9B76-FB134CF21A46}" uniqueName="10" name="elastyczność 2 - wartość" queryTableFieldId="10" dataDxfId="49">
      <calculatedColumnFormula>VLOOKUP(1,Zadanie1_Zalacznik1_wspolczynniki[[#All],[kategoria napis]:[elastyczność 2]],3,FALSE)</calculatedColumnFormula>
    </tableColumn>
    <tableColumn id="11" xr3:uid="{7CD10F60-5DC2-4BF2-AF15-5F51CA85DB83}" uniqueName="11" name="zarządzanie - wartość" queryTableFieldId="11" dataDxfId="48">
      <calculatedColumnFormula>VLOOKUP(Zadanie1_Zalacznik1_projekty[[#This Row],[Zarz_ryzykiem]],Zadanie1_Zalacznik1_wspolczynniki[[#All],[Kategoria]:[Zarządzanie ryzykiem]],4,FALSE)</calculatedColumnFormula>
    </tableColumn>
    <tableColumn id="12" xr3:uid="{EF4785E7-CC51-4F3A-90BB-B95999A258CD}" uniqueName="12" name="spójność wartość" queryTableFieldId="12" dataDxfId="47">
      <calculatedColumnFormula>VLOOKUP(Zadanie1_Zalacznik1_projekty[[#This Row],[Spoj_zespołu]],Zadanie1_Zalacznik1_wspolczynniki[[#All],[Kategoria]:[Spójność zespołu]],5,FALSE)</calculatedColumnFormula>
    </tableColumn>
    <tableColumn id="13" xr3:uid="{5E611AAE-382D-4AF5-90D7-8B0BC1E9D9A6}" uniqueName="13" name="E" queryTableFieldId="13" dataDxfId="46">
      <calculatedColumnFormula>$B$23+0.01*(Zadanie1_Zalacznik1_projekty[[#This Row],[typowość - wartość]]+AVERAGE(Zadanie1_Zalacznik1_projekty[[#This Row],[elastyczność1 - wartość]],Zadanie1_Zalacznik1_projekty[[#This Row],[elastyczność 2 - wartość]])+Zadanie1_Zalacznik1_projekty[[#This Row],[zarządzanie - wartość]]+Zadanie1_Zalacznik1_projekty[[#This Row],[spójność wartość]])</calculatedColumnFormula>
    </tableColumn>
    <tableColumn id="14" xr3:uid="{6FF75853-951E-45DF-AEFC-917A43C89591}" uniqueName="14" name="K1" queryTableFieldId="14" dataDxfId="45">
      <calculatedColumnFormula>$A$23*POWER(Zadanie1_Zalacznik1_projekty[[#This Row],[Minimalna_długość_kodu]],Zadanie1_Zalacznik1_projekty[[#This Row],[E]])</calculatedColumnFormula>
    </tableColumn>
    <tableColumn id="15" xr3:uid="{C9E547BE-280D-4358-A419-777E445A3B64}" uniqueName="15" name="K2" queryTableFieldId="15" dataDxfId="44">
      <calculatedColumnFormula>$A$23*POWER(Zadanie1_Zalacznik1_projekty[[#This Row],[Maksymalna_długość_kodu]],Zadanie1_Zalacznik1_projekty[[#This Row],[E]])</calculatedColumnFormula>
    </tableColumn>
    <tableColumn id="16" xr3:uid="{ADF79456-4BFE-4EFA-8BA4-90D8346ED2F1}" uniqueName="16" name="K ostateczne" queryTableFieldId="16" dataDxfId="43">
      <calculatedColumnFormula>AVERAGE(Zadanie1_Zalacznik1_projekty[[#This Row],[K1]],Zadanie1_Zalacznik1_projekty[[#This Row],[K2]])</calculatedColumnFormula>
    </tableColumn>
    <tableColumn id="17" xr3:uid="{D57BBEBA-FABF-48CA-97D5-45629E41C096}" uniqueName="17" name="P (minimalna liczba pracowników)" queryTableFieldId="17" dataDxfId="42">
      <calculatedColumnFormula>ROUNDUP(Zadanie1_Zalacznik1_projekty[[#This Row],[K ostateczne]]/(2.5*POWER(Zadanie1_Zalacznik1_projekty[[#This Row],[K ostateczne]],'dane, 1, 2'!$C$23)),0)</calculatedColumnFormula>
    </tableColumn>
    <tableColumn id="18" xr3:uid="{1AD9CFA7-505B-4591-9CDF-515587432DF5}" uniqueName="18" name="liczba pracowników" queryTableFieldId="18" dataDxfId="41"/>
    <tableColumn id="20" xr3:uid="{60987F04-C056-449C-B606-393810B95D62}" uniqueName="20" name="projekt id" queryTableFieldId="20" dataDxfId="40">
      <calculatedColumnFormula>Zadanie1_Zalacznik1_projekty[[#This Row],[Nr_projektu]]</calculatedColumnFormula>
    </tableColumn>
    <tableColumn id="19" xr3:uid="{377AB7E2-7D24-43FF-BEDC-00EFE06CB8F0}" uniqueName="19" name="brakujących pracowników" queryTableFieldId="19" dataDxfId="39">
      <calculatedColumnFormula>Zadanie1_Zalacznik1_projekty[[#This Row],[P (minimalna liczba pracowników)]]-Zadanie1_Zalacznik1_projekty[[#This Row],[liczba pracowników]]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72AC1B-770F-47F3-8B05-C7CBBA1A629A}" name="Zadanie1_Zalacznik1_wspolczynniki" displayName="Zadanie1_Zalacznik1_wspolczynniki" ref="A14:J19" tableType="queryTable" totalsRowShown="0">
  <autoFilter ref="A14:J19" xr:uid="{086B0D33-9E04-48D9-B0A9-1318B9A95D7E}"/>
  <tableColumns count="10">
    <tableColumn id="1" xr3:uid="{87C0DDBB-9D7F-4C5C-B707-C63D3967A248}" uniqueName="1" name="Kategoria" queryTableFieldId="1"/>
    <tableColumn id="2" xr3:uid="{6529E939-7BA5-46A0-8311-ADEB2C3AD803}" uniqueName="2" name="Typowość" queryTableFieldId="2"/>
    <tableColumn id="3" xr3:uid="{B8400C88-BFF5-4E48-BE39-956642D5636B}" uniqueName="3" name="Elastyczność" queryTableFieldId="3"/>
    <tableColumn id="4" xr3:uid="{2E93BF0C-6522-4E60-A63F-9D6A49F58196}" uniqueName="4" name="Zarządzanie ryzykiem" queryTableFieldId="4"/>
    <tableColumn id="5" xr3:uid="{B001761C-F1D6-47A7-9239-6AB09A3D327B}" uniqueName="5" name="Spójność zespołu" queryTableFieldId="5"/>
    <tableColumn id="6" xr3:uid="{E0953A6C-B1AE-47DB-B423-AFC73301F8C5}" uniqueName="6" name="kategoria napis" queryTableFieldId="6" dataDxfId="38">
      <calculatedColumnFormula>Zadanie1_Zalacznik1_wspolczynniki[[#This Row],[Kategoria]]</calculatedColumnFormula>
    </tableColumn>
    <tableColumn id="7" xr3:uid="{E58A15B2-F8A5-4C5F-A86F-FF5212CF2A25}" uniqueName="7" name="typowość 2" queryTableFieldId="7" dataDxfId="37">
      <calculatedColumnFormula>Zadanie1_Zalacznik1_wspolczynniki[[#This Row],[Typowość]]</calculatedColumnFormula>
    </tableColumn>
    <tableColumn id="8" xr3:uid="{D61C0C36-AD22-40BC-9502-AC9638DDA559}" uniqueName="8" name="elastyczność 2" queryTableFieldId="8" dataDxfId="36">
      <calculatedColumnFormula>Zadanie1_Zalacznik1_wspolczynniki[[#This Row],[Elastyczność]]</calculatedColumnFormula>
    </tableColumn>
    <tableColumn id="9" xr3:uid="{6A8E7610-ABD6-494E-B7EB-9154A658891F}" uniqueName="9" name="ryzyko 2" queryTableFieldId="9" dataDxfId="35">
      <calculatedColumnFormula>Zadanie1_Zalacznik1_wspolczynniki[[#This Row],[Zarządzanie ryzykiem]]</calculatedColumnFormula>
    </tableColumn>
    <tableColumn id="10" xr3:uid="{3A2889DD-6AFE-457A-8214-5F1B5C6B69C2}" uniqueName="10" name="spójność 2" queryTableFieldId="10" dataDxfId="34">
      <calculatedColumnFormula>Zadanie1_Zalacznik1_wspolczynniki[[#This Row],[Spójność zespołu]]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5B518D5-6C01-4987-AD6A-FEC5F87AA0A7}" name="Zadanie1_Zalacznik1_projekty6" displayName="Zadanie1_Zalacznik1_projekty6" ref="A1:R11" tableType="queryTable" totalsRowShown="0">
  <autoFilter ref="A1:R11" xr:uid="{B20AA17C-9A20-4FB3-83CE-506B3A783476}"/>
  <tableColumns count="18">
    <tableColumn id="1" xr3:uid="{70626383-F506-4BBE-8183-C9EDB5AD0AE4}" uniqueName="1" name="Nr_projektu" queryTableFieldId="1"/>
    <tableColumn id="2" xr3:uid="{13872A0F-CB4C-45C5-A37A-72D73C742044}" uniqueName="2" name="Minimalna_długość_kodu" queryTableFieldId="2"/>
    <tableColumn id="3" xr3:uid="{223EEBBC-8629-4FE8-8F39-8E14B814A661}" uniqueName="3" name="Maksymalna_długość_kodu" queryTableFieldId="3"/>
    <tableColumn id="4" xr3:uid="{B8ACC00A-1B08-477E-8D22-F14C5B3B6B16}" uniqueName="4" name="Typowość" queryTableFieldId="4"/>
    <tableColumn id="5" xr3:uid="{0A97ED5F-8E43-45AA-93A0-2E8486C4EDDE}" uniqueName="5" name="Elastyczność" queryTableFieldId="5" dataDxfId="33"/>
    <tableColumn id="6" xr3:uid="{D4401BAA-9894-4813-BEC2-C7CC3E015741}" uniqueName="6" name="Zarz_ryzykiem" queryTableFieldId="6"/>
    <tableColumn id="7" xr3:uid="{EBA79EF8-8A9C-4720-A54C-3D50E6775431}" uniqueName="7" name="Spoj_zespołu" queryTableFieldId="7"/>
    <tableColumn id="8" xr3:uid="{F724076F-94C6-4C31-8602-79E1E23BC2D2}" uniqueName="8" name="typowość - wartość" queryTableFieldId="8" dataDxfId="32">
      <calculatedColumnFormula>VLOOKUP(Zadanie1_Zalacznik1_projekty6[[#This Row],[Typowość]],Zadanie1_Zalacznik1_wspolczynniki7[[#All],[Kategoria]:[Typowość]],2,FALSE)</calculatedColumnFormula>
    </tableColumn>
    <tableColumn id="9" xr3:uid="{B6CC986E-9BCD-420C-91D0-E0673CB84A37}" uniqueName="9" name="elastyczność1 - wartość" queryTableFieldId="9" dataDxfId="31">
      <calculatedColumnFormula>VLOOKUP(1,Zadanie1_Zalacznik1_wspolczynniki[[#All],[kategoria napis]:[elastyczność 2]],3,FALSE)</calculatedColumnFormula>
    </tableColumn>
    <tableColumn id="10" xr3:uid="{79090F46-93C8-4069-ACED-5224FD5DE29C}" uniqueName="10" name="elastyczność 2 - wartość" queryTableFieldId="10" dataDxfId="30">
      <calculatedColumnFormula>VLOOKUP(1,Zadanie1_Zalacznik1_wspolczynniki[[#All],[kategoria napis]:[elastyczność 2]],3,FALSE)</calculatedColumnFormula>
    </tableColumn>
    <tableColumn id="11" xr3:uid="{C50ECD86-2671-48D9-A00B-F0FBB30F7AB1}" uniqueName="11" name="zarządzanie - wartość" queryTableFieldId="11" dataDxfId="29">
      <calculatedColumnFormula>VLOOKUP(Zadanie1_Zalacznik1_projekty6[[#This Row],[Zarz_ryzykiem]],Zadanie1_Zalacznik1_wspolczynniki7[[#All],[Kategoria]:[Zarządzanie ryzykiem]],4,FALSE)</calculatedColumnFormula>
    </tableColumn>
    <tableColumn id="12" xr3:uid="{6446807D-0239-4BD9-947F-130CA261B70C}" uniqueName="12" name="spójność wartość" queryTableFieldId="12" dataDxfId="28">
      <calculatedColumnFormula>VLOOKUP(Zadanie1_Zalacznik1_projekty6[[#This Row],[Spoj_zespołu]],Zadanie1_Zalacznik1_wspolczynniki7[[#All],[Kategoria]:[Spójność zespołu]],5,FALSE)</calculatedColumnFormula>
    </tableColumn>
    <tableColumn id="13" xr3:uid="{0AE97E21-122C-46A6-9761-6D5A3C86CF21}" uniqueName="13" name="E" queryTableFieldId="13" dataDxfId="27">
      <calculatedColumnFormula>$B$23+0.01*(Zadanie1_Zalacznik1_projekty6[[#This Row],[typowość - wartość]]+AVERAGE(Zadanie1_Zalacznik1_projekty6[[#This Row],[elastyczność1 - wartość]],Zadanie1_Zalacznik1_projekty6[[#This Row],[elastyczność 2 - wartość]])+Zadanie1_Zalacznik1_projekty6[[#This Row],[zarządzanie - wartość]]+Zadanie1_Zalacznik1_projekty6[[#This Row],[spójność wartość]])</calculatedColumnFormula>
    </tableColumn>
    <tableColumn id="14" xr3:uid="{EF250226-9C78-4F14-9549-032B18A623B6}" uniqueName="14" name="K1" queryTableFieldId="14" dataDxfId="26">
      <calculatedColumnFormula>$A$23*POWER(Zadanie1_Zalacznik1_projekty6[[#This Row],[Minimalna_długość_kodu]],Zadanie1_Zalacznik1_projekty6[[#This Row],[E]])</calculatedColumnFormula>
    </tableColumn>
    <tableColumn id="15" xr3:uid="{CCFFAAD5-6CAE-4C9C-B9D6-FB88A1A87687}" uniqueName="15" name="K2" queryTableFieldId="15" dataDxfId="25">
      <calculatedColumnFormula>$A$23*POWER(Zadanie1_Zalacznik1_projekty6[[#This Row],[Maksymalna_długość_kodu]],Zadanie1_Zalacznik1_projekty6[[#This Row],[E]])</calculatedColumnFormula>
    </tableColumn>
    <tableColumn id="16" xr3:uid="{FE1E2694-1470-4C66-82E7-4096FD37BD95}" uniqueName="16" name="K ostateczne" queryTableFieldId="16" dataDxfId="24">
      <calculatedColumnFormula>AVERAGE(Zadanie1_Zalacznik1_projekty6[[#This Row],[K1]],Zadanie1_Zalacznik1_projekty6[[#This Row],[K2]])</calculatedColumnFormula>
    </tableColumn>
    <tableColumn id="17" xr3:uid="{8675668D-5ECA-4F00-B55D-76163860AFF2}" uniqueName="17" name="P (minimalna liczba pracowników)" queryTableFieldId="17" dataDxfId="23">
      <calculatedColumnFormula>ROUNDUP(Zadanie1_Zalacznik1_projekty6[[#This Row],[K ostateczne]]/(2.5*POWER(Zadanie1_Zalacznik1_projekty6[[#This Row],[K ostateczne]],'dane, 1, 2'!$C$23)),0)</calculatedColumnFormula>
    </tableColumn>
    <tableColumn id="20" xr3:uid="{06C580C8-D644-4FD7-A1B1-A5CDC75052A5}" uniqueName="20" name="projekt id" queryTableFieldId="20" dataDxfId="22">
      <calculatedColumnFormula>Zadanie1_Zalacznik1_projekty6[[#This Row],[Nr_projektu]]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CF9406-0788-43C2-83FD-498442A0EF04}" name="Zadanie1_Zalacznik1_wspolczynniki7" displayName="Zadanie1_Zalacznik1_wspolczynniki7" ref="A14:J19" tableType="queryTable" totalsRowShown="0">
  <autoFilter ref="A14:J19" xr:uid="{AB55BE65-F249-4E0E-A029-07ECC4B4A023}"/>
  <tableColumns count="10">
    <tableColumn id="1" xr3:uid="{247E77F8-D5DE-4DBB-9AB0-907645227684}" uniqueName="1" name="Kategoria" queryTableFieldId="1"/>
    <tableColumn id="2" xr3:uid="{1DE460AC-6379-4A32-993D-00D0840528A3}" uniqueName="2" name="Typowość" queryTableFieldId="2"/>
    <tableColumn id="3" xr3:uid="{ABEA7F67-6168-498D-BF93-85F46AE8E768}" uniqueName="3" name="Elastyczność" queryTableFieldId="3"/>
    <tableColumn id="4" xr3:uid="{F8649783-2160-45DE-95ED-31001B7AE119}" uniqueName="4" name="Zarządzanie ryzykiem" queryTableFieldId="4"/>
    <tableColumn id="5" xr3:uid="{4246DCB4-9904-40D5-89C2-A531F4CC1FCE}" uniqueName="5" name="Spójność zespołu" queryTableFieldId="5"/>
    <tableColumn id="6" xr3:uid="{E094A099-19DE-482D-A29F-FD447B719443}" uniqueName="6" name="kategoria napis" queryTableFieldId="6" dataDxfId="21">
      <calculatedColumnFormula>Zadanie1_Zalacznik1_wspolczynniki7[[#This Row],[Kategoria]]</calculatedColumnFormula>
    </tableColumn>
    <tableColumn id="7" xr3:uid="{ECA1296F-6AF3-4339-B5B2-01543655213A}" uniqueName="7" name="typowość 2" queryTableFieldId="7" dataDxfId="20">
      <calculatedColumnFormula>Zadanie1_Zalacznik1_wspolczynniki7[[#This Row],[Typowość]]</calculatedColumnFormula>
    </tableColumn>
    <tableColumn id="8" xr3:uid="{8B8005D8-DCA3-44AD-AAA7-59E512F05EA9}" uniqueName="8" name="elastyczność 2" queryTableFieldId="8" dataDxfId="19">
      <calculatedColumnFormula>Zadanie1_Zalacznik1_wspolczynniki7[[#This Row],[Elastyczność]]</calculatedColumnFormula>
    </tableColumn>
    <tableColumn id="9" xr3:uid="{3FBE0E5D-6AF4-4F44-85EA-402C58CB1359}" uniqueName="9" name="ryzyko 2" queryTableFieldId="9" dataDxfId="18">
      <calculatedColumnFormula>Zadanie1_Zalacznik1_wspolczynniki7[[#This Row],[Zarządzanie ryzykiem]]</calculatedColumnFormula>
    </tableColumn>
    <tableColumn id="10" xr3:uid="{E6B23DDD-3360-4D76-AE35-BD658AA9D458}" uniqueName="10" name="spójność 2" queryTableFieldId="10" dataDxfId="17">
      <calculatedColumnFormula>Zadanie1_Zalacznik1_wspolczynniki7[[#This Row],[Spójność zespołu]]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C2B0C66-86C4-42B6-973F-7B47FF1655C5}" name="Zadanie1_Zalacznik1_projekty68" displayName="Zadanie1_Zalacznik1_projekty68" ref="A1:R11" tableType="queryTable" totalsRowShown="0">
  <autoFilter ref="A1:R11" xr:uid="{12B57E24-4416-4C16-B6CD-0CAEC81567C9}"/>
  <tableColumns count="18">
    <tableColumn id="1" xr3:uid="{CF94705E-63A4-4D53-B62F-5B559485F3E7}" uniqueName="1" name="Nr_projektu" queryTableFieldId="1"/>
    <tableColumn id="2" xr3:uid="{615B8931-6B1D-44EB-872B-CC97CD1636C7}" uniqueName="2" name="Minimalna_długość_kodu" queryTableFieldId="2"/>
    <tableColumn id="3" xr3:uid="{435E6F6C-C53E-4B61-9F86-0D81F5FCDB74}" uniqueName="3" name="Maksymalna_długość_kodu" queryTableFieldId="3"/>
    <tableColumn id="4" xr3:uid="{4C991124-E9AC-4411-8602-2C59C6AE6A55}" uniqueName="4" name="Typowość" queryTableFieldId="4"/>
    <tableColumn id="5" xr3:uid="{AAB4915F-65FC-427C-86EC-86F917BA2A74}" uniqueName="5" name="Elastyczność" queryTableFieldId="5" dataDxfId="16"/>
    <tableColumn id="6" xr3:uid="{E730C3C2-6091-4943-ACE6-9DCE6071E5A3}" uniqueName="6" name="Zarz_ryzykiem" queryTableFieldId="6"/>
    <tableColumn id="7" xr3:uid="{33B61C39-9669-4E0E-B57A-0808CE6F62F0}" uniqueName="7" name="Spoj_zespołu" queryTableFieldId="7"/>
    <tableColumn id="8" xr3:uid="{FE57F16E-32C4-4E7E-8657-D4ACFAE1BD53}" uniqueName="8" name="typowość - wartość" queryTableFieldId="8" dataDxfId="15">
      <calculatedColumnFormula>VLOOKUP(Zadanie1_Zalacznik1_projekty68[[#This Row],[Typowość]],Zadanie1_Zalacznik1_wspolczynniki79[[#All],[Kategoria]:[Typowość]],2,FALSE)</calculatedColumnFormula>
    </tableColumn>
    <tableColumn id="9" xr3:uid="{63550FB1-CF65-477E-B3AB-C01B53DCFD22}" uniqueName="9" name="elastyczność1 - wartość" queryTableFieldId="9" dataDxfId="14">
      <calculatedColumnFormula>VLOOKUP(1,Zadanie1_Zalacznik1_wspolczynniki[[#All],[kategoria napis]:[elastyczność 2]],3,FALSE)</calculatedColumnFormula>
    </tableColumn>
    <tableColumn id="10" xr3:uid="{74386264-3711-4A64-8234-4A98211AA5CD}" uniqueName="10" name="elastyczność 2 - wartość" queryTableFieldId="10" dataDxfId="13">
      <calculatedColumnFormula>VLOOKUP(1,Zadanie1_Zalacznik1_wspolczynniki[[#All],[kategoria napis]:[elastyczność 2]],3,FALSE)</calculatedColumnFormula>
    </tableColumn>
    <tableColumn id="11" xr3:uid="{E91DFBED-14BF-43A0-A817-B82CE97F40FD}" uniqueName="11" name="zarządzanie - wartość" queryTableFieldId="11" dataDxfId="12">
      <calculatedColumnFormula>VLOOKUP(Zadanie1_Zalacznik1_projekty68[[#This Row],[Zarz_ryzykiem]],Zadanie1_Zalacznik1_wspolczynniki79[[#All],[Kategoria]:[Zarządzanie ryzykiem]],4,FALSE)</calculatedColumnFormula>
    </tableColumn>
    <tableColumn id="12" xr3:uid="{80DE66FB-9431-417A-BE6B-76EAB98689DA}" uniqueName="12" name="spójność wartość" queryTableFieldId="12" dataDxfId="11">
      <calculatedColumnFormula>VLOOKUP(Zadanie1_Zalacznik1_projekty68[[#This Row],[Spoj_zespołu]],Zadanie1_Zalacznik1_wspolczynniki79[[#All],[Kategoria]:[Spójność zespołu]],5,FALSE)</calculatedColumnFormula>
    </tableColumn>
    <tableColumn id="13" xr3:uid="{E6B82AFA-A701-4BCA-B36F-73F51F3110C2}" uniqueName="13" name="E" queryTableFieldId="13" dataDxfId="10">
      <calculatedColumnFormula>$B$23+0.01*(Zadanie1_Zalacznik1_projekty68[[#This Row],[typowość - wartość]]+AVERAGE(Zadanie1_Zalacznik1_projekty68[[#This Row],[elastyczność1 - wartość]],Zadanie1_Zalacznik1_projekty68[[#This Row],[elastyczność 2 - wartość]])+Zadanie1_Zalacznik1_projekty68[[#This Row],[zarządzanie - wartość]]+Zadanie1_Zalacznik1_projekty68[[#This Row],[spójność wartość]])</calculatedColumnFormula>
    </tableColumn>
    <tableColumn id="14" xr3:uid="{76C00B96-355E-448B-A0F3-557BA294364E}" uniqueName="14" name="K1" queryTableFieldId="14" dataDxfId="9">
      <calculatedColumnFormula>$A$23*POWER(Zadanie1_Zalacznik1_projekty68[[#This Row],[Minimalna_długość_kodu]],Zadanie1_Zalacznik1_projekty68[[#This Row],[E]])</calculatedColumnFormula>
    </tableColumn>
    <tableColumn id="15" xr3:uid="{21030FEC-A56D-40F0-9008-7CB77FDE9606}" uniqueName="15" name="K2" queryTableFieldId="15" dataDxfId="8">
      <calculatedColumnFormula>$A$23*POWER(Zadanie1_Zalacznik1_projekty68[[#This Row],[Maksymalna_długość_kodu]],Zadanie1_Zalacznik1_projekty68[[#This Row],[E]])</calculatedColumnFormula>
    </tableColumn>
    <tableColumn id="16" xr3:uid="{1B45C692-1875-49BF-8661-C81FDCF68128}" uniqueName="16" name="K ostateczne" queryTableFieldId="16" dataDxfId="7">
      <calculatedColumnFormula>AVERAGE(Zadanie1_Zalacznik1_projekty68[[#This Row],[K1]],Zadanie1_Zalacznik1_projekty68[[#This Row],[K2]])</calculatedColumnFormula>
    </tableColumn>
    <tableColumn id="17" xr3:uid="{888B2E7D-648C-43FE-B778-291F494623D5}" uniqueName="17" name="P (minimalna liczba pracowników)" queryTableFieldId="17" dataDxfId="6">
      <calculatedColumnFormula>ROUNDUP(Zadanie1_Zalacznik1_projekty68[[#This Row],[K ostateczne]]/(2.5*POWER(Zadanie1_Zalacznik1_projekty68[[#This Row],[K ostateczne]],'dane, 1, 2'!$C$23)),0)</calculatedColumnFormula>
    </tableColumn>
    <tableColumn id="20" xr3:uid="{D6C7AFCC-81DE-41AD-9D85-F3FC2D0DBA5B}" uniqueName="20" name="projekt id" queryTableFieldId="20" dataDxfId="5">
      <calculatedColumnFormula>Zadanie1_Zalacznik1_projekty68[[#This Row],[Nr_projektu]]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E66C5E6-97FA-4C14-B93A-2959EFA08A37}" name="Zadanie1_Zalacznik1_wspolczynniki79" displayName="Zadanie1_Zalacznik1_wspolczynniki79" ref="A14:J19" tableType="queryTable" totalsRowShown="0">
  <autoFilter ref="A14:J19" xr:uid="{6410FBD8-1331-4005-B4F3-88D861BD37F1}"/>
  <tableColumns count="10">
    <tableColumn id="1" xr3:uid="{385EABAB-1946-4261-8E4D-F1D558613681}" uniqueName="1" name="Kategoria" queryTableFieldId="1"/>
    <tableColumn id="2" xr3:uid="{4F43F977-F81D-4E7B-A894-92A0511F3328}" uniqueName="2" name="Typowość" queryTableFieldId="2"/>
    <tableColumn id="3" xr3:uid="{321BB20B-625A-491B-A036-46F223645672}" uniqueName="3" name="Elastyczność" queryTableFieldId="3"/>
    <tableColumn id="4" xr3:uid="{09AC9938-7107-43E9-B909-F6F5F3D9AF9E}" uniqueName="4" name="Zarządzanie ryzykiem" queryTableFieldId="4"/>
    <tableColumn id="5" xr3:uid="{13D20664-9B82-4DAE-9078-97277739C2BB}" uniqueName="5" name="Spójność zespołu" queryTableFieldId="5"/>
    <tableColumn id="6" xr3:uid="{CEF9CAAD-614F-4B04-9F32-A8D237080BF7}" uniqueName="6" name="kategoria napis" queryTableFieldId="6" dataDxfId="4">
      <calculatedColumnFormula>Zadanie1_Zalacznik1_wspolczynniki79[[#This Row],[Kategoria]]</calculatedColumnFormula>
    </tableColumn>
    <tableColumn id="7" xr3:uid="{4C88DA9D-79EE-4117-8285-FFE808BC1A4B}" uniqueName="7" name="typowość 2" queryTableFieldId="7" dataDxfId="3">
      <calculatedColumnFormula>Zadanie1_Zalacznik1_wspolczynniki79[[#This Row],[Typowość]]</calculatedColumnFormula>
    </tableColumn>
    <tableColumn id="8" xr3:uid="{EA5D9E2D-9FCC-42C2-B754-4D119E6E9498}" uniqueName="8" name="elastyczność 2" queryTableFieldId="8" dataDxfId="2">
      <calculatedColumnFormula>Zadanie1_Zalacznik1_wspolczynniki79[[#This Row],[Elastyczność]]</calculatedColumnFormula>
    </tableColumn>
    <tableColumn id="9" xr3:uid="{2B245CDB-BFBB-4512-A04A-BBD752A75B68}" uniqueName="9" name="ryzyko 2" queryTableFieldId="9" dataDxfId="1">
      <calculatedColumnFormula>Zadanie1_Zalacznik1_wspolczynniki79[[#This Row],[Zarządzanie ryzykiem]]</calculatedColumnFormula>
    </tableColumn>
    <tableColumn id="10" xr3:uid="{A3223E0F-8FEA-485A-AB93-726C6682E982}" uniqueName="10" name="spójność 2" queryTableFieldId="10" dataDxfId="0">
      <calculatedColumnFormula>Zadanie1_Zalacznik1_wspolczynniki79[[#This Row],[Spójność zespołu]]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"/>
  <sheetViews>
    <sheetView tabSelected="1" topLeftCell="I1" zoomScaleNormal="100" workbookViewId="0">
      <selection activeCell="A22" sqref="A22"/>
    </sheetView>
  </sheetViews>
  <sheetFormatPr defaultRowHeight="14.4" x14ac:dyDescent="0.3"/>
  <cols>
    <col min="1" max="1" width="13.44140625" bestFit="1" customWidth="1"/>
    <col min="2" max="2" width="25.44140625" bestFit="1" customWidth="1"/>
    <col min="3" max="3" width="27.21875" bestFit="1" customWidth="1"/>
    <col min="4" max="4" width="21.33203125" bestFit="1" customWidth="1"/>
    <col min="5" max="5" width="17.88671875" bestFit="1" customWidth="1"/>
    <col min="6" max="6" width="16.109375" bestFit="1" customWidth="1"/>
    <col min="7" max="7" width="14.44140625" bestFit="1" customWidth="1"/>
    <col min="8" max="8" width="19.6640625" bestFit="1" customWidth="1"/>
    <col min="9" max="9" width="23" bestFit="1" customWidth="1"/>
    <col min="10" max="10" width="23.5546875" bestFit="1" customWidth="1"/>
    <col min="11" max="11" width="21.21875" bestFit="1" customWidth="1"/>
    <col min="12" max="12" width="17.77734375" bestFit="1" customWidth="1"/>
    <col min="13" max="13" width="8" bestFit="1" customWidth="1"/>
    <col min="14" max="15" width="12" bestFit="1" customWidth="1"/>
    <col min="16" max="16" width="13.77734375" bestFit="1" customWidth="1"/>
    <col min="17" max="17" width="32.44140625" bestFit="1" customWidth="1"/>
    <col min="18" max="18" width="19.88671875" bestFit="1" customWidth="1"/>
    <col min="19" max="19" width="19.88671875" customWidth="1"/>
    <col min="20" max="20" width="25.6640625" bestFit="1" customWidth="1"/>
  </cols>
  <sheetData>
    <row r="1" spans="1:22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35</v>
      </c>
      <c r="I1" t="s">
        <v>36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52</v>
      </c>
      <c r="T1" t="s">
        <v>51</v>
      </c>
      <c r="U1" t="s">
        <v>56</v>
      </c>
    </row>
    <row r="2" spans="1:22" x14ac:dyDescent="0.3">
      <c r="A2">
        <v>1</v>
      </c>
      <c r="B2">
        <v>25000</v>
      </c>
      <c r="C2">
        <v>27000</v>
      </c>
      <c r="D2">
        <v>5</v>
      </c>
      <c r="E2" s="3" t="s">
        <v>21</v>
      </c>
      <c r="F2">
        <v>2</v>
      </c>
      <c r="G2">
        <v>1</v>
      </c>
      <c r="H2">
        <f>VLOOKUP(Zadanie1_Zalacznik1_projekty[[#This Row],[Typowość]],Zadanie1_Zalacznik1_wspolczynniki[[#All],[Kategoria]:[Typowość]],2,FALSE)</f>
        <v>1.24</v>
      </c>
      <c r="I2">
        <f>VLOOKUP(1,Zadanie1_Zalacznik1_wspolczynniki[[#All],[kategoria napis]:[elastyczność 2]],3,FALSE)</f>
        <v>5.07</v>
      </c>
      <c r="J2" s="3">
        <f>VLOOKUP(1,Zadanie1_Zalacznik1_wspolczynniki[[#All],[kategoria napis]:[elastyczność 2]],3,FALSE)</f>
        <v>5.07</v>
      </c>
      <c r="K2" s="3">
        <f>VLOOKUP(Zadanie1_Zalacznik1_projekty[[#This Row],[Zarz_ryzykiem]],Zadanie1_Zalacznik1_wspolczynniki[[#All],[Kategoria]:[Zarządzanie ryzykiem]],4,FALSE)</f>
        <v>5.65</v>
      </c>
      <c r="L2" s="3">
        <f>VLOOKUP(Zadanie1_Zalacznik1_projekty[[#This Row],[Spoj_zespołu]],Zadanie1_Zalacznik1_wspolczynniki[[#All],[Kategoria]:[Spójność zespołu]],5,FALSE)</f>
        <v>5.48</v>
      </c>
      <c r="M2" s="3">
        <f>$B$23+0.01*(Zadanie1_Zalacznik1_projekty[[#This Row],[typowość - wartość]]+AVERAGE(Zadanie1_Zalacznik1_projekty[[#This Row],[elastyczność1 - wartość]],Zadanie1_Zalacznik1_projekty[[#This Row],[elastyczność 2 - wartość]])+Zadanie1_Zalacznik1_projekty[[#This Row],[zarządzanie - wartość]]+Zadanie1_Zalacznik1_projekty[[#This Row],[spójność wartość]])</f>
        <v>1.0844</v>
      </c>
      <c r="N2" s="3">
        <f>$A$23*POWER(Zadanie1_Zalacznik1_projekty[[#This Row],[Minimalna_długość_kodu]],Zadanie1_Zalacznik1_projekty[[#This Row],[E]])</f>
        <v>172772.04581573003</v>
      </c>
      <c r="O2" s="3">
        <f>$A$23*POWER(Zadanie1_Zalacznik1_projekty[[#This Row],[Maksymalna_długość_kodu]],Zadanie1_Zalacznik1_projekty[[#This Row],[E]])</f>
        <v>187809.77667506112</v>
      </c>
      <c r="P2" s="3">
        <f>AVERAGE(Zadanie1_Zalacznik1_projekty[[#This Row],[K1]],Zadanie1_Zalacznik1_projekty[[#This Row],[K2]])</f>
        <v>180290.91124539557</v>
      </c>
      <c r="Q2" s="3">
        <f>ROUNDUP(Zadanie1_Zalacznik1_projekty[[#This Row],[K ostateczne]]/(2.5*POWER(Zadanie1_Zalacznik1_projekty[[#This Row],[K ostateczne]],'dane, 1, 2'!$C$23)),0)</f>
        <v>14</v>
      </c>
      <c r="R2" s="3">
        <v>12</v>
      </c>
      <c r="S2" s="3">
        <f>Zadanie1_Zalacznik1_projekty[[#This Row],[Nr_projektu]]</f>
        <v>1</v>
      </c>
      <c r="T2" s="3">
        <f>Zadanie1_Zalacznik1_projekty[[#This Row],[P (minimalna liczba pracowników)]]-Zadanie1_Zalacznik1_projekty[[#This Row],[liczba pracowników]]</f>
        <v>2</v>
      </c>
      <c r="U2" s="6" t="s">
        <v>53</v>
      </c>
      <c r="V2" s="6">
        <f>SUM(T2:T4)</f>
        <v>15</v>
      </c>
    </row>
    <row r="3" spans="1:22" x14ac:dyDescent="0.3">
      <c r="A3">
        <v>2</v>
      </c>
      <c r="B3">
        <v>120000</v>
      </c>
      <c r="C3">
        <v>128000</v>
      </c>
      <c r="D3">
        <v>5</v>
      </c>
      <c r="E3" s="3" t="s">
        <v>22</v>
      </c>
      <c r="F3">
        <v>5</v>
      </c>
      <c r="G3">
        <v>1</v>
      </c>
      <c r="H3">
        <f>VLOOKUP(Zadanie1_Zalacznik1_projekty[[#This Row],[Typowość]],Zadanie1_Zalacznik1_wspolczynniki[[#All],[Kategoria]:[Typowość]],2,FALSE)</f>
        <v>1.24</v>
      </c>
      <c r="I3">
        <f>VLOOKUP(2,Zadanie1_Zalacznik1_wspolczynniki[[#All],[kategoria napis]:[elastyczność 2]],3,FALSE)</f>
        <v>4.05</v>
      </c>
      <c r="J3" s="3">
        <f>VLOOKUP(2,Zadanie1_Zalacznik1_wspolczynniki[[#All],[kategoria napis]:[elastyczność 2]],3,FALSE)</f>
        <v>4.05</v>
      </c>
      <c r="K3" s="3">
        <f>VLOOKUP(Zadanie1_Zalacznik1_projekty[[#This Row],[Zarz_ryzykiem]],Zadanie1_Zalacznik1_wspolczynniki[[#All],[Kategoria]:[Zarządzanie ryzykiem]],4,FALSE)</f>
        <v>1.41</v>
      </c>
      <c r="L3" s="3">
        <f>VLOOKUP(Zadanie1_Zalacznik1_projekty[[#This Row],[Spoj_zespołu]],Zadanie1_Zalacznik1_wspolczynniki[[#All],[Kategoria]:[Spójność zespołu]],5,FALSE)</f>
        <v>5.48</v>
      </c>
      <c r="M3" s="3">
        <f>$B$23+0.01*(Zadanie1_Zalacznik1_projekty[[#This Row],[typowość - wartość]]+AVERAGE(Zadanie1_Zalacznik1_projekty[[#This Row],[elastyczność1 - wartość]],Zadanie1_Zalacznik1_projekty[[#This Row],[elastyczność 2 - wartość]])+Zadanie1_Zalacznik1_projekty[[#This Row],[zarządzanie - wartość]]+Zadanie1_Zalacznik1_projekty[[#This Row],[spójność wartość]])</f>
        <v>1.0318000000000001</v>
      </c>
      <c r="N3" s="3">
        <f>$A$23*POWER(Zadanie1_Zalacznik1_projekty[[#This Row],[Minimalna_długość_kodu]],Zadanie1_Zalacznik1_projekty[[#This Row],[E]])</f>
        <v>511736.67158511968</v>
      </c>
      <c r="O3" s="3">
        <f>$A$23*POWER(Zadanie1_Zalacznik1_projekty[[#This Row],[Maksymalna_długość_kodu]],Zadanie1_Zalacznik1_projekty[[#This Row],[E]])</f>
        <v>546973.86666682852</v>
      </c>
      <c r="P3" s="3">
        <f>AVERAGE(Zadanie1_Zalacznik1_projekty[[#This Row],[K1]],Zadanie1_Zalacznik1_projekty[[#This Row],[K2]])</f>
        <v>529355.26912597404</v>
      </c>
      <c r="Q3" s="3">
        <f>ROUNDUP(Zadanie1_Zalacznik1_projekty[[#This Row],[K ostateczne]]/(2.5*POWER(Zadanie1_Zalacznik1_projekty[[#This Row],[K ostateczne]],'dane, 1, 2'!$C$23)),0)</f>
        <v>19</v>
      </c>
      <c r="R3" s="3">
        <v>12</v>
      </c>
      <c r="S3" s="3">
        <f>Zadanie1_Zalacznik1_projekty[[#This Row],[Nr_projektu]]</f>
        <v>2</v>
      </c>
      <c r="T3" s="3">
        <f>Zadanie1_Zalacznik1_projekty[[#This Row],[P (minimalna liczba pracowników)]]-Zadanie1_Zalacznik1_projekty[[#This Row],[liczba pracowników]]</f>
        <v>7</v>
      </c>
      <c r="U3" s="6"/>
      <c r="V3" s="6"/>
    </row>
    <row r="4" spans="1:22" x14ac:dyDescent="0.3">
      <c r="A4">
        <v>3</v>
      </c>
      <c r="B4">
        <v>60000</v>
      </c>
      <c r="C4">
        <v>70000</v>
      </c>
      <c r="D4">
        <v>4</v>
      </c>
      <c r="E4" s="3" t="s">
        <v>23</v>
      </c>
      <c r="F4">
        <v>1</v>
      </c>
      <c r="G4">
        <v>2</v>
      </c>
      <c r="H4">
        <f>VLOOKUP(Zadanie1_Zalacznik1_projekty[[#This Row],[Typowość]],Zadanie1_Zalacznik1_wspolczynniki[[#All],[Kategoria]:[Typowość]],2,FALSE)</f>
        <v>2.48</v>
      </c>
      <c r="I4">
        <f>VLOOKUP(3,Zadanie1_Zalacznik1_wspolczynniki[[#All],[kategoria napis]:[elastyczność 2]],3,FALSE)</f>
        <v>3.04</v>
      </c>
      <c r="J4" s="3">
        <f>VLOOKUP(3,Zadanie1_Zalacznik1_wspolczynniki[[#All],[kategoria napis]:[elastyczność 2]],3,FALSE)</f>
        <v>3.04</v>
      </c>
      <c r="K4" s="3">
        <f>VLOOKUP(Zadanie1_Zalacznik1_projekty[[#This Row],[Zarz_ryzykiem]],Zadanie1_Zalacznik1_wspolczynniki[[#All],[Kategoria]:[Zarządzanie ryzykiem]],4,FALSE)</f>
        <v>7.07</v>
      </c>
      <c r="L4" s="3">
        <f>VLOOKUP(Zadanie1_Zalacznik1_projekty[[#This Row],[Spoj_zespołu]],Zadanie1_Zalacznik1_wspolczynniki[[#All],[Kategoria]:[Spójność zespołu]],5,FALSE)</f>
        <v>4.38</v>
      </c>
      <c r="M4" s="3">
        <f>$B$23+0.01*(Zadanie1_Zalacznik1_projekty[[#This Row],[typowość - wartość]]+AVERAGE(Zadanie1_Zalacznik1_projekty[[#This Row],[elastyczność1 - wartość]],Zadanie1_Zalacznik1_projekty[[#This Row],[elastyczność 2 - wartość]])+Zadanie1_Zalacznik1_projekty[[#This Row],[zarządzanie - wartość]]+Zadanie1_Zalacznik1_projekty[[#This Row],[spójność wartość]])</f>
        <v>1.0797000000000001</v>
      </c>
      <c r="N4" s="3">
        <f>$A$23*POWER(Zadanie1_Zalacznik1_projekty[[#This Row],[Minimalna_długość_kodu]],Zadanie1_Zalacznik1_projekty[[#This Row],[E]])</f>
        <v>423952.53402737796</v>
      </c>
      <c r="O4" s="3">
        <f>$A$23*POWER(Zadanie1_Zalacznik1_projekty[[#This Row],[Maksymalna_długość_kodu]],Zadanie1_Zalacznik1_projekty[[#This Row],[E]])</f>
        <v>500725.4715524147</v>
      </c>
      <c r="P4" s="3">
        <f>AVERAGE(Zadanie1_Zalacznik1_projekty[[#This Row],[K1]],Zadanie1_Zalacznik1_projekty[[#This Row],[K2]])</f>
        <v>462339.00278989633</v>
      </c>
      <c r="Q4" s="3">
        <f>ROUNDUP(Zadanie1_Zalacznik1_projekty[[#This Row],[K ostateczne]]/(2.5*POWER(Zadanie1_Zalacznik1_projekty[[#This Row],[K ostateczne]],'dane, 1, 2'!$C$23)),0)</f>
        <v>18</v>
      </c>
      <c r="R4" s="3">
        <v>12</v>
      </c>
      <c r="S4" s="3">
        <f>Zadanie1_Zalacznik1_projekty[[#This Row],[Nr_projektu]]</f>
        <v>3</v>
      </c>
      <c r="T4" s="3">
        <f>Zadanie1_Zalacznik1_projekty[[#This Row],[P (minimalna liczba pracowników)]]-Zadanie1_Zalacznik1_projekty[[#This Row],[liczba pracowników]]</f>
        <v>6</v>
      </c>
      <c r="U4" s="6"/>
      <c r="V4" s="6"/>
    </row>
    <row r="5" spans="1:22" x14ac:dyDescent="0.3">
      <c r="A5">
        <v>4</v>
      </c>
      <c r="B5">
        <v>45000</v>
      </c>
      <c r="C5">
        <v>50000</v>
      </c>
      <c r="D5">
        <v>5</v>
      </c>
      <c r="E5" s="3" t="s">
        <v>22</v>
      </c>
      <c r="F5">
        <v>1</v>
      </c>
      <c r="G5">
        <v>1</v>
      </c>
      <c r="H5">
        <f>VLOOKUP(Zadanie1_Zalacznik1_projekty[[#This Row],[Typowość]],Zadanie1_Zalacznik1_wspolczynniki[[#All],[Kategoria]:[Typowość]],2,FALSE)</f>
        <v>1.24</v>
      </c>
      <c r="I5">
        <f>VLOOKUP(2,Zadanie1_Zalacznik1_wspolczynniki[[#All],[kategoria napis]:[elastyczność 2]],3,FALSE)</f>
        <v>4.05</v>
      </c>
      <c r="J5" s="3">
        <f>VLOOKUP(2,Zadanie1_Zalacznik1_wspolczynniki[[#All],[kategoria napis]:[elastyczność 2]],3,FALSE)</f>
        <v>4.05</v>
      </c>
      <c r="K5" s="3">
        <f>VLOOKUP(Zadanie1_Zalacznik1_projekty[[#This Row],[Zarz_ryzykiem]],Zadanie1_Zalacznik1_wspolczynniki[[#All],[Kategoria]:[Zarządzanie ryzykiem]],4,FALSE)</f>
        <v>7.07</v>
      </c>
      <c r="L5" s="3">
        <f>VLOOKUP(Zadanie1_Zalacznik1_projekty[[#This Row],[Spoj_zespołu]],Zadanie1_Zalacznik1_wspolczynniki[[#All],[Kategoria]:[Spójność zespołu]],5,FALSE)</f>
        <v>5.48</v>
      </c>
      <c r="M5" s="3">
        <f>$B$23+0.01*(Zadanie1_Zalacznik1_projekty[[#This Row],[typowość - wartość]]+AVERAGE(Zadanie1_Zalacznik1_projekty[[#This Row],[elastyczność1 - wartość]],Zadanie1_Zalacznik1_projekty[[#This Row],[elastyczność 2 - wartość]])+Zadanie1_Zalacznik1_projekty[[#This Row],[zarządzanie - wartość]]+Zadanie1_Zalacznik1_projekty[[#This Row],[spójność wartość]])</f>
        <v>1.0884</v>
      </c>
      <c r="N5" s="3">
        <f>$A$23*POWER(Zadanie1_Zalacznik1_projekty[[#This Row],[Minimalna_długość_kodu]],Zadanie1_Zalacznik1_projekty[[#This Row],[E]])</f>
        <v>341117.36668015522</v>
      </c>
      <c r="O5" s="3">
        <f>$A$23*POWER(Zadanie1_Zalacznik1_projekty[[#This Row],[Maksymalna_długość_kodu]],Zadanie1_Zalacznik1_projekty[[#This Row],[E]])</f>
        <v>382565.92337941262</v>
      </c>
      <c r="P5" s="3">
        <f>AVERAGE(Zadanie1_Zalacznik1_projekty[[#This Row],[K1]],Zadanie1_Zalacznik1_projekty[[#This Row],[K2]])</f>
        <v>361841.64502978395</v>
      </c>
      <c r="Q5" s="3">
        <f>ROUNDUP(Zadanie1_Zalacznik1_projekty[[#This Row],[K ostateczne]]/(2.5*POWER(Zadanie1_Zalacznik1_projekty[[#This Row],[K ostateczne]],'dane, 1, 2'!$C$23)),0)</f>
        <v>17</v>
      </c>
      <c r="R5" s="3">
        <v>12</v>
      </c>
      <c r="S5" s="3">
        <f>Zadanie1_Zalacznik1_projekty[[#This Row],[Nr_projektu]]</f>
        <v>4</v>
      </c>
      <c r="T5" s="3">
        <f>Zadanie1_Zalacznik1_projekty[[#This Row],[P (minimalna liczba pracowników)]]-Zadanie1_Zalacznik1_projekty[[#This Row],[liczba pracowników]]</f>
        <v>5</v>
      </c>
      <c r="U5" s="6" t="s">
        <v>54</v>
      </c>
      <c r="V5" s="6">
        <f>SUM(T5:T7)-15</f>
        <v>-3</v>
      </c>
    </row>
    <row r="6" spans="1:22" x14ac:dyDescent="0.3">
      <c r="A6">
        <v>5</v>
      </c>
      <c r="B6">
        <v>95000</v>
      </c>
      <c r="C6">
        <v>105000</v>
      </c>
      <c r="D6">
        <v>4</v>
      </c>
      <c r="E6" s="3" t="s">
        <v>24</v>
      </c>
      <c r="F6">
        <v>2</v>
      </c>
      <c r="G6">
        <v>3</v>
      </c>
      <c r="H6">
        <f>VLOOKUP(Zadanie1_Zalacznik1_projekty[[#This Row],[Typowość]],Zadanie1_Zalacznik1_wspolczynniki[[#All],[Kategoria]:[Typowość]],2,FALSE)</f>
        <v>2.48</v>
      </c>
      <c r="I6">
        <f>VLOOKUP(4,Zadanie1_Zalacznik1_wspolczynniki[[#All],[kategoria napis]:[elastyczność 2]],3,FALSE)</f>
        <v>2.0299999999999998</v>
      </c>
      <c r="J6" s="3">
        <f>VLOOKUP(5,Zadanie1_Zalacznik1_wspolczynniki[[#All],[kategoria napis]:[elastyczność 2]],3,FALSE)</f>
        <v>1.01</v>
      </c>
      <c r="K6" s="3">
        <f>VLOOKUP(Zadanie1_Zalacznik1_projekty[[#This Row],[Zarz_ryzykiem]],Zadanie1_Zalacznik1_wspolczynniki[[#All],[Kategoria]:[Zarządzanie ryzykiem]],4,FALSE)</f>
        <v>5.65</v>
      </c>
      <c r="L6" s="3">
        <f>VLOOKUP(Zadanie1_Zalacznik1_projekty[[#This Row],[Spoj_zespołu]],Zadanie1_Zalacznik1_wspolczynniki[[#All],[Kategoria]:[Spójność zespołu]],5,FALSE)</f>
        <v>3.29</v>
      </c>
      <c r="M6" s="3">
        <f>$B$23+0.01*(Zadanie1_Zalacznik1_projekty[[#This Row],[typowość - wartość]]+AVERAGE(Zadanie1_Zalacznik1_projekty[[#This Row],[elastyczność1 - wartość]],Zadanie1_Zalacznik1_projekty[[#This Row],[elastyczność 2 - wartość]])+Zadanie1_Zalacznik1_projekty[[#This Row],[zarządzanie - wartość]]+Zadanie1_Zalacznik1_projekty[[#This Row],[spójność wartość]])</f>
        <v>1.0394000000000001</v>
      </c>
      <c r="N6" s="3">
        <f>$A$23*POWER(Zadanie1_Zalacznik1_projekty[[#This Row],[Minimalna_długość_kodu]],Zadanie1_Zalacznik1_projekty[[#This Row],[E]])</f>
        <v>438725.87191083148</v>
      </c>
      <c r="O6" s="3">
        <f>$A$23*POWER(Zadanie1_Zalacznik1_projekty[[#This Row],[Maksymalna_długość_kodu]],Zadanie1_Zalacznik1_projekty[[#This Row],[E]])</f>
        <v>486823.44786250178</v>
      </c>
      <c r="P6" s="3">
        <f>AVERAGE(Zadanie1_Zalacznik1_projekty[[#This Row],[K1]],Zadanie1_Zalacznik1_projekty[[#This Row],[K2]])</f>
        <v>462774.65988666663</v>
      </c>
      <c r="Q6" s="3">
        <f>ROUNDUP(Zadanie1_Zalacznik1_projekty[[#This Row],[K ostateczne]]/(2.5*POWER(Zadanie1_Zalacznik1_projekty[[#This Row],[K ostateczne]],'dane, 1, 2'!$C$23)),0)</f>
        <v>18</v>
      </c>
      <c r="R6" s="3">
        <v>12</v>
      </c>
      <c r="S6" s="3">
        <f>Zadanie1_Zalacznik1_projekty[[#This Row],[Nr_projektu]]</f>
        <v>5</v>
      </c>
      <c r="T6" s="3">
        <f>Zadanie1_Zalacznik1_projekty[[#This Row],[P (minimalna liczba pracowników)]]-Zadanie1_Zalacznik1_projekty[[#This Row],[liczba pracowników]]</f>
        <v>6</v>
      </c>
      <c r="U6" s="6"/>
      <c r="V6" s="6"/>
    </row>
    <row r="7" spans="1:22" x14ac:dyDescent="0.3">
      <c r="A7">
        <v>6</v>
      </c>
      <c r="B7">
        <v>30000</v>
      </c>
      <c r="C7">
        <v>40000</v>
      </c>
      <c r="D7">
        <v>4</v>
      </c>
      <c r="E7" s="3" t="s">
        <v>24</v>
      </c>
      <c r="F7">
        <v>3</v>
      </c>
      <c r="G7">
        <v>2</v>
      </c>
      <c r="H7">
        <f>VLOOKUP(Zadanie1_Zalacznik1_projekty[[#This Row],[Typowość]],Zadanie1_Zalacznik1_wspolczynniki[[#All],[Kategoria]:[Typowość]],2,FALSE)</f>
        <v>2.48</v>
      </c>
      <c r="I7">
        <f>VLOOKUP(4,Zadanie1_Zalacznik1_wspolczynniki[[#All],[kategoria napis]:[elastyczność 2]],3,FALSE)</f>
        <v>2.0299999999999998</v>
      </c>
      <c r="J7" s="3">
        <f>VLOOKUP(5,Zadanie1_Zalacznik1_wspolczynniki[[#All],[kategoria napis]:[elastyczność 2]],3,FALSE)</f>
        <v>1.01</v>
      </c>
      <c r="K7" s="3">
        <f>VLOOKUP(Zadanie1_Zalacznik1_projekty[[#This Row],[Zarz_ryzykiem]],Zadanie1_Zalacznik1_wspolczynniki[[#All],[Kategoria]:[Zarządzanie ryzykiem]],4,FALSE)</f>
        <v>4.24</v>
      </c>
      <c r="L7" s="3">
        <f>VLOOKUP(Zadanie1_Zalacznik1_projekty[[#This Row],[Spoj_zespołu]],Zadanie1_Zalacznik1_wspolczynniki[[#All],[Kategoria]:[Spójność zespołu]],5,FALSE)</f>
        <v>4.38</v>
      </c>
      <c r="M7" s="3">
        <f>$B$23+0.01*(Zadanie1_Zalacznik1_projekty[[#This Row],[typowość - wartość]]+AVERAGE(Zadanie1_Zalacznik1_projekty[[#This Row],[elastyczność1 - wartość]],Zadanie1_Zalacznik1_projekty[[#This Row],[elastyczność 2 - wartość]])+Zadanie1_Zalacznik1_projekty[[#This Row],[zarządzanie - wartość]]+Zadanie1_Zalacznik1_projekty[[#This Row],[spójność wartość]])</f>
        <v>1.0362</v>
      </c>
      <c r="N7" s="3">
        <f>$A$23*POWER(Zadanie1_Zalacznik1_projekty[[#This Row],[Minimalna_długość_kodu]],Zadanie1_Zalacznik1_projekty[[#This Row],[E]])</f>
        <v>128097.41758452151</v>
      </c>
      <c r="O7" s="3">
        <f>$A$23*POWER(Zadanie1_Zalacznik1_projekty[[#This Row],[Maksymalna_długość_kodu]],Zadanie1_Zalacznik1_projekty[[#This Row],[E]])</f>
        <v>172584.54162713687</v>
      </c>
      <c r="P7" s="3">
        <f>AVERAGE(Zadanie1_Zalacznik1_projekty[[#This Row],[K1]],Zadanie1_Zalacznik1_projekty[[#This Row],[K2]])</f>
        <v>150340.9796058292</v>
      </c>
      <c r="Q7" s="3">
        <f>ROUNDUP(Zadanie1_Zalacznik1_projekty[[#This Row],[K ostateczne]]/(2.5*POWER(Zadanie1_Zalacznik1_projekty[[#This Row],[K ostateczne]],'dane, 1, 2'!$C$23)),0)</f>
        <v>13</v>
      </c>
      <c r="R7" s="3">
        <v>12</v>
      </c>
      <c r="S7" s="3">
        <f>Zadanie1_Zalacznik1_projekty[[#This Row],[Nr_projektu]]</f>
        <v>6</v>
      </c>
      <c r="T7" s="3">
        <f>Zadanie1_Zalacznik1_projekty[[#This Row],[P (minimalna liczba pracowników)]]-Zadanie1_Zalacznik1_projekty[[#This Row],[liczba pracowników]]</f>
        <v>1</v>
      </c>
      <c r="U7" s="6"/>
      <c r="V7" s="6"/>
    </row>
    <row r="8" spans="1:22" x14ac:dyDescent="0.3">
      <c r="A8">
        <v>7</v>
      </c>
      <c r="B8">
        <v>35000</v>
      </c>
      <c r="C8">
        <v>42000</v>
      </c>
      <c r="D8">
        <v>3</v>
      </c>
      <c r="E8" s="3" t="s">
        <v>25</v>
      </c>
      <c r="F8">
        <v>4</v>
      </c>
      <c r="G8">
        <v>1</v>
      </c>
      <c r="H8">
        <f>VLOOKUP(Zadanie1_Zalacznik1_projekty[[#This Row],[Typowość]],Zadanie1_Zalacznik1_wspolczynniki[[#All],[Kategoria]:[Typowość]],2,FALSE)</f>
        <v>3.72</v>
      </c>
      <c r="I8">
        <f>VLOOKUP(4,Zadanie1_Zalacznik1_wspolczynniki[[#All],[kategoria napis]:[elastyczność 2]],3,FALSE)</f>
        <v>2.0299999999999998</v>
      </c>
      <c r="J8" s="3">
        <f>VLOOKUP(4,Zadanie1_Zalacznik1_wspolczynniki[[#All],[kategoria napis]:[elastyczność 2]],3,FALSE)</f>
        <v>2.0299999999999998</v>
      </c>
      <c r="K8" s="3">
        <f>VLOOKUP(Zadanie1_Zalacznik1_projekty[[#This Row],[Zarz_ryzykiem]],Zadanie1_Zalacznik1_wspolczynniki[[#All],[Kategoria]:[Zarządzanie ryzykiem]],4,FALSE)</f>
        <v>2.83</v>
      </c>
      <c r="L8" s="3">
        <f>VLOOKUP(Zadanie1_Zalacznik1_projekty[[#This Row],[Spoj_zespołu]],Zadanie1_Zalacznik1_wspolczynniki[[#All],[Kategoria]:[Spójność zespołu]],5,FALSE)</f>
        <v>5.48</v>
      </c>
      <c r="M8" s="3">
        <f>$B$23+0.01*(Zadanie1_Zalacznik1_projekty[[#This Row],[typowość - wartość]]+AVERAGE(Zadanie1_Zalacznik1_projekty[[#This Row],[elastyczność1 - wartość]],Zadanie1_Zalacznik1_projekty[[#This Row],[elastyczność 2 - wartość]])+Zadanie1_Zalacznik1_projekty[[#This Row],[zarządzanie - wartość]]+Zadanie1_Zalacznik1_projekty[[#This Row],[spójność wartość]])</f>
        <v>1.0506</v>
      </c>
      <c r="N8" s="3">
        <f>$A$23*POWER(Zadanie1_Zalacznik1_projekty[[#This Row],[Minimalna_długość_kodu]],Zadanie1_Zalacznik1_projekty[[#This Row],[E]])</f>
        <v>174721.04470839768</v>
      </c>
      <c r="O8" s="3">
        <f>$A$23*POWER(Zadanie1_Zalacznik1_projekty[[#This Row],[Maksymalna_długość_kodu]],Zadanie1_Zalacznik1_projekty[[#This Row],[E]])</f>
        <v>211608.46405320408</v>
      </c>
      <c r="P8" s="3">
        <f>AVERAGE(Zadanie1_Zalacznik1_projekty[[#This Row],[K1]],Zadanie1_Zalacznik1_projekty[[#This Row],[K2]])</f>
        <v>193164.75438080088</v>
      </c>
      <c r="Q8" s="3">
        <f>ROUNDUP(Zadanie1_Zalacznik1_projekty[[#This Row],[K ostateczne]]/(2.5*POWER(Zadanie1_Zalacznik1_projekty[[#This Row],[K ostateczne]],'dane, 1, 2'!$C$23)),0)</f>
        <v>14</v>
      </c>
      <c r="R8" s="3">
        <v>12</v>
      </c>
      <c r="S8" s="3">
        <f>Zadanie1_Zalacznik1_projekty[[#This Row],[Nr_projektu]]</f>
        <v>7</v>
      </c>
      <c r="T8" s="3">
        <f>Zadanie1_Zalacznik1_projekty[[#This Row],[P (minimalna liczba pracowników)]]-Zadanie1_Zalacznik1_projekty[[#This Row],[liczba pracowników]]</f>
        <v>2</v>
      </c>
      <c r="U8" s="6" t="s">
        <v>55</v>
      </c>
      <c r="V8" s="7">
        <f>SUM(T8:T11)</f>
        <v>16</v>
      </c>
    </row>
    <row r="9" spans="1:22" x14ac:dyDescent="0.3">
      <c r="A9">
        <v>8</v>
      </c>
      <c r="B9">
        <v>85000</v>
      </c>
      <c r="C9">
        <v>88000</v>
      </c>
      <c r="D9">
        <v>1</v>
      </c>
      <c r="E9" s="3" t="s">
        <v>26</v>
      </c>
      <c r="F9">
        <v>4</v>
      </c>
      <c r="G9">
        <v>4</v>
      </c>
      <c r="H9">
        <f>VLOOKUP(Zadanie1_Zalacznik1_projekty[[#This Row],[Typowość]],Zadanie1_Zalacznik1_wspolczynniki[[#All],[Kategoria]:[Typowość]],2,FALSE)</f>
        <v>6.2</v>
      </c>
      <c r="I9">
        <f>VLOOKUP(5,Zadanie1_Zalacznik1_wspolczynniki[[#All],[kategoria napis]:[elastyczność 2]],3,FALSE)</f>
        <v>1.01</v>
      </c>
      <c r="J9" s="3">
        <f>VLOOKUP(5,Zadanie1_Zalacznik1_wspolczynniki[[#All],[kategoria napis]:[elastyczność 2]],3,FALSE)</f>
        <v>1.01</v>
      </c>
      <c r="K9" s="3">
        <f>VLOOKUP(Zadanie1_Zalacznik1_projekty[[#This Row],[Zarz_ryzykiem]],Zadanie1_Zalacznik1_wspolczynniki[[#All],[Kategoria]:[Zarządzanie ryzykiem]],4,FALSE)</f>
        <v>2.83</v>
      </c>
      <c r="L9" s="3">
        <f>VLOOKUP(Zadanie1_Zalacznik1_projekty[[#This Row],[Spoj_zespołu]],Zadanie1_Zalacznik1_wspolczynniki[[#All],[Kategoria]:[Spójność zespołu]],5,FALSE)</f>
        <v>2.19</v>
      </c>
      <c r="M9" s="3">
        <f>$B$23+0.01*(Zadanie1_Zalacznik1_projekty[[#This Row],[typowość - wartość]]+AVERAGE(Zadanie1_Zalacznik1_projekty[[#This Row],[elastyczność1 - wartość]],Zadanie1_Zalacznik1_projekty[[#This Row],[elastyczność 2 - wartość]])+Zadanie1_Zalacznik1_projekty[[#This Row],[zarządzanie - wartość]]+Zadanie1_Zalacznik1_projekty[[#This Row],[spójność wartość]])</f>
        <v>1.0323</v>
      </c>
      <c r="N9" s="3">
        <f>$A$23*POWER(Zadanie1_Zalacznik1_projekty[[#This Row],[Minimalna_długość_kodu]],Zadanie1_Zalacznik1_projekty[[#This Row],[E]])</f>
        <v>360567.4242066833</v>
      </c>
      <c r="O9" s="3">
        <f>$A$23*POWER(Zadanie1_Zalacznik1_projekty[[#This Row],[Maksymalna_długość_kodu]],Zadanie1_Zalacznik1_projekty[[#This Row],[E]])</f>
        <v>373711.78442520846</v>
      </c>
      <c r="P9" s="3">
        <f>AVERAGE(Zadanie1_Zalacznik1_projekty[[#This Row],[K1]],Zadanie1_Zalacznik1_projekty[[#This Row],[K2]])</f>
        <v>367139.60431594588</v>
      </c>
      <c r="Q9" s="3">
        <f>ROUNDUP(Zadanie1_Zalacznik1_projekty[[#This Row],[K ostateczne]]/(2.5*POWER(Zadanie1_Zalacznik1_projekty[[#This Row],[K ostateczne]],'dane, 1, 2'!$C$23)),0)</f>
        <v>17</v>
      </c>
      <c r="R9" s="3">
        <v>12</v>
      </c>
      <c r="S9" s="3">
        <f>Zadanie1_Zalacznik1_projekty[[#This Row],[Nr_projektu]]</f>
        <v>8</v>
      </c>
      <c r="T9" s="3">
        <f>Zadanie1_Zalacznik1_projekty[[#This Row],[P (minimalna liczba pracowników)]]-Zadanie1_Zalacznik1_projekty[[#This Row],[liczba pracowników]]</f>
        <v>5</v>
      </c>
      <c r="U9" s="6"/>
      <c r="V9" s="7"/>
    </row>
    <row r="10" spans="1:22" x14ac:dyDescent="0.3">
      <c r="A10">
        <v>9</v>
      </c>
      <c r="B10">
        <v>100000</v>
      </c>
      <c r="C10">
        <v>110000</v>
      </c>
      <c r="D10">
        <v>5</v>
      </c>
      <c r="E10" s="3" t="s">
        <v>27</v>
      </c>
      <c r="F10">
        <v>2</v>
      </c>
      <c r="G10">
        <v>5</v>
      </c>
      <c r="H10">
        <f>VLOOKUP(Zadanie1_Zalacznik1_projekty[[#This Row],[Typowość]],Zadanie1_Zalacznik1_wspolczynniki[[#All],[Kategoria]:[Typowość]],2,FALSE)</f>
        <v>1.24</v>
      </c>
      <c r="I10">
        <f>VLOOKUP(3,Zadanie1_Zalacznik1_wspolczynniki[[#All],[kategoria napis]:[elastyczność 2]],3,FALSE)</f>
        <v>3.04</v>
      </c>
      <c r="J10" s="3">
        <f>VLOOKUP(4,Zadanie1_Zalacznik1_wspolczynniki[[#All],[kategoria napis]:[elastyczność 2]],3,FALSE)</f>
        <v>2.0299999999999998</v>
      </c>
      <c r="K10" s="3">
        <f>VLOOKUP(Zadanie1_Zalacznik1_projekty[[#This Row],[Zarz_ryzykiem]],Zadanie1_Zalacznik1_wspolczynniki[[#All],[Kategoria]:[Zarządzanie ryzykiem]],4,FALSE)</f>
        <v>5.65</v>
      </c>
      <c r="L10" s="3">
        <f>VLOOKUP(Zadanie1_Zalacznik1_projekty[[#This Row],[Spoj_zespołu]],Zadanie1_Zalacznik1_wspolczynniki[[#All],[Kategoria]:[Spójność zespołu]],5,FALSE)</f>
        <v>1.1000000000000001</v>
      </c>
      <c r="M10" s="3">
        <f>$B$23+0.01*(Zadanie1_Zalacznik1_projekty[[#This Row],[typowość - wartość]]+AVERAGE(Zadanie1_Zalacznik1_projekty[[#This Row],[elastyczność1 - wartość]],Zadanie1_Zalacznik1_projekty[[#This Row],[elastyczność 2 - wartość]])+Zadanie1_Zalacznik1_projekty[[#This Row],[zarządzanie - wartość]]+Zadanie1_Zalacznik1_projekty[[#This Row],[spójność wartość]])</f>
        <v>1.01525</v>
      </c>
      <c r="N10" s="3">
        <f>$A$23*POWER(Zadanie1_Zalacznik1_projekty[[#This Row],[Minimalna_długość_kodu]],Zadanie1_Zalacznik1_projekty[[#This Row],[E]])</f>
        <v>350426.81420060107</v>
      </c>
      <c r="O10" s="3">
        <f>$A$23*POWER(Zadanie1_Zalacznik1_projekty[[#This Row],[Maksymalna_długość_kodu]],Zadanie1_Zalacznik1_projekty[[#This Row],[E]])</f>
        <v>386030.17528614559</v>
      </c>
      <c r="P10" s="3">
        <f>AVERAGE(Zadanie1_Zalacznik1_projekty[[#This Row],[K1]],Zadanie1_Zalacznik1_projekty[[#This Row],[K2]])</f>
        <v>368228.49474337336</v>
      </c>
      <c r="Q10" s="3">
        <f>ROUNDUP(Zadanie1_Zalacznik1_projekty[[#This Row],[K ostateczne]]/(2.5*POWER(Zadanie1_Zalacznik1_projekty[[#This Row],[K ostateczne]],'dane, 1, 2'!$C$23)),0)</f>
        <v>17</v>
      </c>
      <c r="R10" s="3">
        <v>12</v>
      </c>
      <c r="S10" s="3">
        <f>Zadanie1_Zalacznik1_projekty[[#This Row],[Nr_projektu]]</f>
        <v>9</v>
      </c>
      <c r="T10" s="3">
        <f>Zadanie1_Zalacznik1_projekty[[#This Row],[P (minimalna liczba pracowników)]]-Zadanie1_Zalacznik1_projekty[[#This Row],[liczba pracowników]]</f>
        <v>5</v>
      </c>
      <c r="U10" s="6"/>
      <c r="V10" s="7"/>
    </row>
    <row r="11" spans="1:22" x14ac:dyDescent="0.3">
      <c r="A11">
        <v>10</v>
      </c>
      <c r="B11">
        <v>75000</v>
      </c>
      <c r="C11">
        <v>90000</v>
      </c>
      <c r="D11">
        <v>4</v>
      </c>
      <c r="E11" s="3" t="s">
        <v>24</v>
      </c>
      <c r="F11">
        <v>5</v>
      </c>
      <c r="G11">
        <v>1</v>
      </c>
      <c r="H11">
        <f>VLOOKUP(Zadanie1_Zalacznik1_projekty[[#This Row],[Typowość]],Zadanie1_Zalacznik1_wspolczynniki[[#All],[Kategoria]:[Typowość]],2,FALSE)</f>
        <v>2.48</v>
      </c>
      <c r="I11">
        <f>VLOOKUP(4,Zadanie1_Zalacznik1_wspolczynniki[[#All],[kategoria napis]:[elastyczność 2]],3,FALSE)</f>
        <v>2.0299999999999998</v>
      </c>
      <c r="J11" s="3">
        <f>VLOOKUP(5,Zadanie1_Zalacznik1_wspolczynniki[[#All],[kategoria napis]:[elastyczność 2]],3,FALSE)</f>
        <v>1.01</v>
      </c>
      <c r="K11" s="3">
        <f>VLOOKUP(Zadanie1_Zalacznik1_projekty[[#This Row],[Zarz_ryzykiem]],Zadanie1_Zalacznik1_wspolczynniki[[#All],[Kategoria]:[Zarządzanie ryzykiem]],4,FALSE)</f>
        <v>1.41</v>
      </c>
      <c r="L11" s="3">
        <f>VLOOKUP(Zadanie1_Zalacznik1_projekty[[#This Row],[Spoj_zespołu]],Zadanie1_Zalacznik1_wspolczynniki[[#All],[Kategoria]:[Spójność zespołu]],5,FALSE)</f>
        <v>5.48</v>
      </c>
      <c r="M11" s="3">
        <f>$B$23+0.01*(Zadanie1_Zalacznik1_projekty[[#This Row],[typowość - wartość]]+AVERAGE(Zadanie1_Zalacznik1_projekty[[#This Row],[elastyczność1 - wartość]],Zadanie1_Zalacznik1_projekty[[#This Row],[elastyczność 2 - wartość]])+Zadanie1_Zalacznik1_projekty[[#This Row],[zarządzanie - wartość]]+Zadanie1_Zalacznik1_projekty[[#This Row],[spójność wartość]])</f>
        <v>1.0189000000000001</v>
      </c>
      <c r="N11" s="3">
        <f>$A$23*POWER(Zadanie1_Zalacznik1_projekty[[#This Row],[Minimalna_długość_kodu]],Zadanie1_Zalacznik1_projekty[[#This Row],[E]])</f>
        <v>272613.43289851584</v>
      </c>
      <c r="O11" s="3">
        <f>$A$23*POWER(Zadanie1_Zalacznik1_projekty[[#This Row],[Maksymalna_długość_kodu]],Zadanie1_Zalacznik1_projekty[[#This Row],[E]])</f>
        <v>328265.33489830518</v>
      </c>
      <c r="P11" s="3">
        <f>AVERAGE(Zadanie1_Zalacznik1_projekty[[#This Row],[K1]],Zadanie1_Zalacznik1_projekty[[#This Row],[K2]])</f>
        <v>300439.38389841048</v>
      </c>
      <c r="Q11" s="3">
        <f>ROUNDUP(Zadanie1_Zalacznik1_projekty[[#This Row],[K ostateczne]]/(2.5*POWER(Zadanie1_Zalacznik1_projekty[[#This Row],[K ostateczne]],'dane, 1, 2'!$C$23)),0)</f>
        <v>16</v>
      </c>
      <c r="R11" s="3">
        <v>12</v>
      </c>
      <c r="S11" s="3">
        <f>Zadanie1_Zalacznik1_projekty[[#This Row],[Nr_projektu]]</f>
        <v>10</v>
      </c>
      <c r="T11" s="3">
        <f>Zadanie1_Zalacznik1_projekty[[#This Row],[P (minimalna liczba pracowników)]]-Zadanie1_Zalacznik1_projekty[[#This Row],[liczba pracowników]]</f>
        <v>4</v>
      </c>
      <c r="U11" s="6"/>
      <c r="V11" s="7"/>
    </row>
    <row r="14" spans="1:22" x14ac:dyDescent="0.3">
      <c r="A14" t="s">
        <v>28</v>
      </c>
      <c r="B14" t="s">
        <v>17</v>
      </c>
      <c r="C14" t="s">
        <v>18</v>
      </c>
      <c r="D14" t="s">
        <v>29</v>
      </c>
      <c r="E14" t="s">
        <v>30</v>
      </c>
      <c r="F14" t="s">
        <v>37</v>
      </c>
      <c r="G14" t="s">
        <v>38</v>
      </c>
      <c r="H14" t="s">
        <v>39</v>
      </c>
      <c r="I14" t="s">
        <v>40</v>
      </c>
      <c r="J14" t="s">
        <v>41</v>
      </c>
    </row>
    <row r="15" spans="1:22" x14ac:dyDescent="0.3">
      <c r="A15">
        <v>1</v>
      </c>
      <c r="B15">
        <v>6.2</v>
      </c>
      <c r="C15">
        <v>5.07</v>
      </c>
      <c r="D15">
        <v>7.07</v>
      </c>
      <c r="E15">
        <v>5.48</v>
      </c>
      <c r="F15" s="5">
        <f>Zadanie1_Zalacznik1_wspolczynniki[[#This Row],[Kategoria]]</f>
        <v>1</v>
      </c>
      <c r="G15">
        <f>Zadanie1_Zalacznik1_wspolczynniki[[#This Row],[Typowość]]</f>
        <v>6.2</v>
      </c>
      <c r="H15">
        <f>Zadanie1_Zalacznik1_wspolczynniki[[#This Row],[Elastyczność]]</f>
        <v>5.07</v>
      </c>
      <c r="I15">
        <f>Zadanie1_Zalacznik1_wspolczynniki[[#This Row],[Zarządzanie ryzykiem]]</f>
        <v>7.07</v>
      </c>
      <c r="J15" s="3">
        <f>Zadanie1_Zalacznik1_wspolczynniki[[#This Row],[Spójność zespołu]]</f>
        <v>5.48</v>
      </c>
    </row>
    <row r="16" spans="1:22" x14ac:dyDescent="0.3">
      <c r="A16">
        <v>2</v>
      </c>
      <c r="B16">
        <v>4.96</v>
      </c>
      <c r="C16">
        <v>4.05</v>
      </c>
      <c r="D16">
        <v>5.65</v>
      </c>
      <c r="E16">
        <v>4.38</v>
      </c>
      <c r="F16" s="5">
        <f>Zadanie1_Zalacznik1_wspolczynniki[[#This Row],[Kategoria]]</f>
        <v>2</v>
      </c>
      <c r="G16">
        <f>Zadanie1_Zalacznik1_wspolczynniki[[#This Row],[Typowość]]</f>
        <v>4.96</v>
      </c>
      <c r="H16">
        <f>Zadanie1_Zalacznik1_wspolczynniki[[#This Row],[Elastyczność]]</f>
        <v>4.05</v>
      </c>
      <c r="I16">
        <f>Zadanie1_Zalacznik1_wspolczynniki[[#This Row],[Zarządzanie ryzykiem]]</f>
        <v>5.65</v>
      </c>
      <c r="J16" s="3">
        <f>Zadanie1_Zalacznik1_wspolczynniki[[#This Row],[Spójność zespołu]]</f>
        <v>4.38</v>
      </c>
    </row>
    <row r="17" spans="1:10" x14ac:dyDescent="0.3">
      <c r="A17">
        <v>3</v>
      </c>
      <c r="B17">
        <v>3.72</v>
      </c>
      <c r="C17">
        <v>3.04</v>
      </c>
      <c r="D17">
        <v>4.24</v>
      </c>
      <c r="E17">
        <v>3.29</v>
      </c>
      <c r="F17" s="5">
        <f>Zadanie1_Zalacznik1_wspolczynniki[[#This Row],[Kategoria]]</f>
        <v>3</v>
      </c>
      <c r="G17">
        <f>Zadanie1_Zalacznik1_wspolczynniki[[#This Row],[Typowość]]</f>
        <v>3.72</v>
      </c>
      <c r="H17">
        <f>Zadanie1_Zalacznik1_wspolczynniki[[#This Row],[Elastyczność]]</f>
        <v>3.04</v>
      </c>
      <c r="I17">
        <f>Zadanie1_Zalacznik1_wspolczynniki[[#This Row],[Zarządzanie ryzykiem]]</f>
        <v>4.24</v>
      </c>
      <c r="J17" s="3">
        <f>Zadanie1_Zalacznik1_wspolczynniki[[#This Row],[Spójność zespołu]]</f>
        <v>3.29</v>
      </c>
    </row>
    <row r="18" spans="1:10" x14ac:dyDescent="0.3">
      <c r="A18">
        <v>4</v>
      </c>
      <c r="B18">
        <v>2.48</v>
      </c>
      <c r="C18">
        <v>2.0299999999999998</v>
      </c>
      <c r="D18">
        <v>2.83</v>
      </c>
      <c r="E18">
        <v>2.19</v>
      </c>
      <c r="F18" s="5">
        <f>Zadanie1_Zalacznik1_wspolczynniki[[#This Row],[Kategoria]]</f>
        <v>4</v>
      </c>
      <c r="G18">
        <f>Zadanie1_Zalacznik1_wspolczynniki[[#This Row],[Typowość]]</f>
        <v>2.48</v>
      </c>
      <c r="H18">
        <f>Zadanie1_Zalacznik1_wspolczynniki[[#This Row],[Elastyczność]]</f>
        <v>2.0299999999999998</v>
      </c>
      <c r="I18">
        <f>Zadanie1_Zalacznik1_wspolczynniki[[#This Row],[Zarządzanie ryzykiem]]</f>
        <v>2.83</v>
      </c>
      <c r="J18" s="3">
        <f>Zadanie1_Zalacznik1_wspolczynniki[[#This Row],[Spójność zespołu]]</f>
        <v>2.19</v>
      </c>
    </row>
    <row r="19" spans="1:10" x14ac:dyDescent="0.3">
      <c r="A19">
        <v>5</v>
      </c>
      <c r="B19">
        <v>1.24</v>
      </c>
      <c r="C19">
        <v>1.01</v>
      </c>
      <c r="D19">
        <v>1.41</v>
      </c>
      <c r="E19">
        <v>1.1000000000000001</v>
      </c>
      <c r="F19" s="5">
        <f>Zadanie1_Zalacznik1_wspolczynniki[[#This Row],[Kategoria]]</f>
        <v>5</v>
      </c>
      <c r="G19">
        <f>Zadanie1_Zalacznik1_wspolczynniki[[#This Row],[Typowość]]</f>
        <v>1.24</v>
      </c>
      <c r="H19">
        <f>Zadanie1_Zalacznik1_wspolczynniki[[#This Row],[Elastyczność]]</f>
        <v>1.01</v>
      </c>
      <c r="I19">
        <f>Zadanie1_Zalacznik1_wspolczynniki[[#This Row],[Zarządzanie ryzykiem]]</f>
        <v>1.41</v>
      </c>
      <c r="J19" s="3">
        <f>Zadanie1_Zalacznik1_wspolczynniki[[#This Row],[Spójność zespołu]]</f>
        <v>1.1000000000000001</v>
      </c>
    </row>
    <row r="21" spans="1:10" x14ac:dyDescent="0.3">
      <c r="A21" s="6" t="s">
        <v>31</v>
      </c>
      <c r="B21" s="6"/>
      <c r="C21" s="6"/>
    </row>
    <row r="22" spans="1:10" x14ac:dyDescent="0.3">
      <c r="A22" s="4" t="s">
        <v>32</v>
      </c>
      <c r="B22" s="4" t="s">
        <v>33</v>
      </c>
      <c r="C22" s="4" t="s">
        <v>34</v>
      </c>
    </row>
    <row r="23" spans="1:10" x14ac:dyDescent="0.3">
      <c r="A23">
        <v>2.94</v>
      </c>
      <c r="B23">
        <v>0.91</v>
      </c>
      <c r="C23">
        <v>0.71</v>
      </c>
    </row>
  </sheetData>
  <mergeCells count="7">
    <mergeCell ref="A21:C21"/>
    <mergeCell ref="U2:U4"/>
    <mergeCell ref="U5:U7"/>
    <mergeCell ref="U8:U11"/>
    <mergeCell ref="V2:V4"/>
    <mergeCell ref="V5:V7"/>
    <mergeCell ref="V8:V11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67659-AAE9-4075-8290-C9C97AA4147B}">
  <dimension ref="A1:T23"/>
  <sheetViews>
    <sheetView topLeftCell="I1" workbookViewId="0">
      <selection activeCell="I1" sqref="A1:XFD1048576"/>
    </sheetView>
  </sheetViews>
  <sheetFormatPr defaultRowHeight="14.4" x14ac:dyDescent="0.3"/>
  <cols>
    <col min="1" max="1" width="13.44140625" bestFit="1" customWidth="1"/>
    <col min="2" max="2" width="25.44140625" bestFit="1" customWidth="1"/>
    <col min="3" max="3" width="27.21875" bestFit="1" customWidth="1"/>
    <col min="4" max="4" width="21.33203125" bestFit="1" customWidth="1"/>
    <col min="5" max="5" width="17.88671875" bestFit="1" customWidth="1"/>
    <col min="6" max="6" width="16.109375" bestFit="1" customWidth="1"/>
    <col min="7" max="7" width="14.44140625" bestFit="1" customWidth="1"/>
    <col min="8" max="8" width="19.6640625" bestFit="1" customWidth="1"/>
    <col min="9" max="9" width="23" bestFit="1" customWidth="1"/>
    <col min="10" max="10" width="23.5546875" bestFit="1" customWidth="1"/>
    <col min="11" max="11" width="21.21875" bestFit="1" customWidth="1"/>
    <col min="12" max="12" width="17.77734375" bestFit="1" customWidth="1"/>
    <col min="13" max="13" width="8" bestFit="1" customWidth="1"/>
    <col min="14" max="15" width="12" bestFit="1" customWidth="1"/>
    <col min="16" max="16" width="13.77734375" bestFit="1" customWidth="1"/>
    <col min="17" max="17" width="32.44140625" bestFit="1" customWidth="1"/>
    <col min="18" max="18" width="19.88671875" customWidth="1"/>
  </cols>
  <sheetData>
    <row r="1" spans="1:20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35</v>
      </c>
      <c r="I1" t="s">
        <v>36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52</v>
      </c>
      <c r="S1" t="s">
        <v>56</v>
      </c>
    </row>
    <row r="2" spans="1:20" x14ac:dyDescent="0.3">
      <c r="A2">
        <v>1</v>
      </c>
      <c r="B2">
        <v>25000</v>
      </c>
      <c r="C2">
        <v>27000</v>
      </c>
      <c r="D2">
        <v>5</v>
      </c>
      <c r="E2" s="3" t="s">
        <v>21</v>
      </c>
      <c r="F2">
        <v>2</v>
      </c>
      <c r="G2">
        <v>1</v>
      </c>
      <c r="H2">
        <f>VLOOKUP(Zadanie1_Zalacznik1_projekty6[[#This Row],[Typowość]],Zadanie1_Zalacznik1_wspolczynniki7[[#All],[Kategoria]:[Typowość]],2,FALSE)</f>
        <v>1.24</v>
      </c>
      <c r="I2">
        <f>VLOOKUP(1,Zadanie1_Zalacznik1_wspolczynniki7[[#All],[kategoria napis]:[elastyczność 2]],3,FALSE)</f>
        <v>5.07</v>
      </c>
      <c r="J2" s="3">
        <f>VLOOKUP(1,Zadanie1_Zalacznik1_wspolczynniki7[[#All],[kategoria napis]:[elastyczność 2]],3,FALSE)</f>
        <v>5.07</v>
      </c>
      <c r="K2" s="3">
        <f>VLOOKUP(Zadanie1_Zalacznik1_projekty6[[#This Row],[Zarz_ryzykiem]],Zadanie1_Zalacznik1_wspolczynniki7[[#All],[Kategoria]:[Zarządzanie ryzykiem]],4,FALSE)</f>
        <v>5.65</v>
      </c>
      <c r="L2" s="3">
        <f>VLOOKUP(Zadanie1_Zalacznik1_projekty6[[#This Row],[Spoj_zespołu]],Zadanie1_Zalacznik1_wspolczynniki7[[#All],[Kategoria]:[Spójność zespołu]],5,FALSE)</f>
        <v>5.48</v>
      </c>
      <c r="M2" s="3">
        <f>$B$23+0.01*(Zadanie1_Zalacznik1_projekty6[[#This Row],[typowość - wartość]]+AVERAGE(Zadanie1_Zalacznik1_projekty6[[#This Row],[elastyczność1 - wartość]],Zadanie1_Zalacznik1_projekty6[[#This Row],[elastyczność 2 - wartość]])+Zadanie1_Zalacznik1_projekty6[[#This Row],[zarządzanie - wartość]]+Zadanie1_Zalacznik1_projekty6[[#This Row],[spójność wartość]])</f>
        <v>1.0844</v>
      </c>
      <c r="N2" s="3">
        <f>$A$23*POWER(Zadanie1_Zalacznik1_projekty6[[#This Row],[Minimalna_długość_kodu]],Zadanie1_Zalacznik1_projekty6[[#This Row],[E]])</f>
        <v>172772.04581573003</v>
      </c>
      <c r="O2" s="3">
        <f>$A$23*POWER(Zadanie1_Zalacznik1_projekty6[[#This Row],[Maksymalna_długość_kodu]],Zadanie1_Zalacznik1_projekty6[[#This Row],[E]])</f>
        <v>187809.77667506112</v>
      </c>
      <c r="P2" s="3">
        <f>AVERAGE(Zadanie1_Zalacznik1_projekty6[[#This Row],[K1]],Zadanie1_Zalacznik1_projekty6[[#This Row],[K2]])</f>
        <v>180290.91124539557</v>
      </c>
      <c r="Q2" s="3">
        <f>ROUNDUP(Zadanie1_Zalacznik1_projekty6[[#This Row],[K ostateczne]]/(2.5*POWER(Zadanie1_Zalacznik1_projekty6[[#This Row],[K ostateczne]],'dane, 1, 2'!$C$23)),0)</f>
        <v>14</v>
      </c>
      <c r="R2" s="3">
        <f>Zadanie1_Zalacznik1_projekty6[[#This Row],[Nr_projektu]]</f>
        <v>1</v>
      </c>
      <c r="S2" s="6" t="s">
        <v>53</v>
      </c>
      <c r="T2" s="6">
        <f>SUM(Q2:Q4)-12</f>
        <v>39</v>
      </c>
    </row>
    <row r="3" spans="1:20" x14ac:dyDescent="0.3">
      <c r="A3">
        <v>2</v>
      </c>
      <c r="B3">
        <v>120000</v>
      </c>
      <c r="C3">
        <v>128000</v>
      </c>
      <c r="D3">
        <v>5</v>
      </c>
      <c r="E3" s="3" t="s">
        <v>22</v>
      </c>
      <c r="F3">
        <v>5</v>
      </c>
      <c r="G3">
        <v>1</v>
      </c>
      <c r="H3">
        <f>VLOOKUP(Zadanie1_Zalacznik1_projekty6[[#This Row],[Typowość]],Zadanie1_Zalacznik1_wspolczynniki7[[#All],[Kategoria]:[Typowość]],2,FALSE)</f>
        <v>1.24</v>
      </c>
      <c r="I3">
        <f>VLOOKUP(2,Zadanie1_Zalacznik1_wspolczynniki7[[#All],[kategoria napis]:[elastyczność 2]],3,FALSE)</f>
        <v>4.05</v>
      </c>
      <c r="J3" s="3">
        <f>VLOOKUP(2,Zadanie1_Zalacznik1_wspolczynniki7[[#All],[kategoria napis]:[elastyczność 2]],3,FALSE)</f>
        <v>4.05</v>
      </c>
      <c r="K3" s="3">
        <f>VLOOKUP(Zadanie1_Zalacznik1_projekty6[[#This Row],[Zarz_ryzykiem]],Zadanie1_Zalacznik1_wspolczynniki7[[#All],[Kategoria]:[Zarządzanie ryzykiem]],4,FALSE)</f>
        <v>1.41</v>
      </c>
      <c r="L3" s="3">
        <f>VLOOKUP(Zadanie1_Zalacznik1_projekty6[[#This Row],[Spoj_zespołu]],Zadanie1_Zalacznik1_wspolczynniki7[[#All],[Kategoria]:[Spójność zespołu]],5,FALSE)</f>
        <v>5.48</v>
      </c>
      <c r="M3" s="3">
        <f>$B$23+0.01*(Zadanie1_Zalacznik1_projekty6[[#This Row],[typowość - wartość]]+AVERAGE(Zadanie1_Zalacznik1_projekty6[[#This Row],[elastyczność1 - wartość]],Zadanie1_Zalacznik1_projekty6[[#This Row],[elastyczność 2 - wartość]])+Zadanie1_Zalacznik1_projekty6[[#This Row],[zarządzanie - wartość]]+Zadanie1_Zalacznik1_projekty6[[#This Row],[spójność wartość]])</f>
        <v>1.0318000000000001</v>
      </c>
      <c r="N3" s="3">
        <f>$A$23*POWER(Zadanie1_Zalacznik1_projekty6[[#This Row],[Minimalna_długość_kodu]],Zadanie1_Zalacznik1_projekty6[[#This Row],[E]])</f>
        <v>511736.67158511968</v>
      </c>
      <c r="O3" s="3">
        <f>$A$23*POWER(Zadanie1_Zalacznik1_projekty6[[#This Row],[Maksymalna_długość_kodu]],Zadanie1_Zalacznik1_projekty6[[#This Row],[E]])</f>
        <v>546973.86666682852</v>
      </c>
      <c r="P3" s="3">
        <f>AVERAGE(Zadanie1_Zalacznik1_projekty6[[#This Row],[K1]],Zadanie1_Zalacznik1_projekty6[[#This Row],[K2]])</f>
        <v>529355.26912597404</v>
      </c>
      <c r="Q3" s="3">
        <f>ROUNDUP(Zadanie1_Zalacznik1_projekty6[[#This Row],[K ostateczne]]/(2.5*POWER(Zadanie1_Zalacznik1_projekty6[[#This Row],[K ostateczne]],'dane, 1, 2'!$C$23)),0)</f>
        <v>19</v>
      </c>
      <c r="R3" s="3">
        <f>Zadanie1_Zalacznik1_projekty6[[#This Row],[Nr_projektu]]</f>
        <v>2</v>
      </c>
      <c r="S3" s="6"/>
      <c r="T3" s="6"/>
    </row>
    <row r="4" spans="1:20" x14ac:dyDescent="0.3">
      <c r="A4">
        <v>3</v>
      </c>
      <c r="B4">
        <v>60000</v>
      </c>
      <c r="C4">
        <v>70000</v>
      </c>
      <c r="D4">
        <v>4</v>
      </c>
      <c r="E4" s="3" t="s">
        <v>23</v>
      </c>
      <c r="F4">
        <v>1</v>
      </c>
      <c r="G4">
        <v>2</v>
      </c>
      <c r="H4">
        <f>VLOOKUP(Zadanie1_Zalacznik1_projekty6[[#This Row],[Typowość]],Zadanie1_Zalacznik1_wspolczynniki7[[#All],[Kategoria]:[Typowość]],2,FALSE)</f>
        <v>2.48</v>
      </c>
      <c r="I4">
        <f>VLOOKUP(3,Zadanie1_Zalacznik1_wspolczynniki7[[#All],[kategoria napis]:[elastyczność 2]],3,FALSE)</f>
        <v>3.04</v>
      </c>
      <c r="J4" s="3">
        <f>VLOOKUP(3,Zadanie1_Zalacznik1_wspolczynniki7[[#All],[kategoria napis]:[elastyczność 2]],3,FALSE)</f>
        <v>3.04</v>
      </c>
      <c r="K4" s="3">
        <f>VLOOKUP(Zadanie1_Zalacznik1_projekty6[[#This Row],[Zarz_ryzykiem]],Zadanie1_Zalacznik1_wspolczynniki7[[#All],[Kategoria]:[Zarządzanie ryzykiem]],4,FALSE)</f>
        <v>7.07</v>
      </c>
      <c r="L4" s="3">
        <f>VLOOKUP(Zadanie1_Zalacznik1_projekty6[[#This Row],[Spoj_zespołu]],Zadanie1_Zalacznik1_wspolczynniki7[[#All],[Kategoria]:[Spójność zespołu]],5,FALSE)</f>
        <v>4.38</v>
      </c>
      <c r="M4" s="3">
        <f>$B$23+0.01*(Zadanie1_Zalacznik1_projekty6[[#This Row],[typowość - wartość]]+AVERAGE(Zadanie1_Zalacznik1_projekty6[[#This Row],[elastyczność1 - wartość]],Zadanie1_Zalacznik1_projekty6[[#This Row],[elastyczność 2 - wartość]])+Zadanie1_Zalacznik1_projekty6[[#This Row],[zarządzanie - wartość]]+Zadanie1_Zalacznik1_projekty6[[#This Row],[spójność wartość]])</f>
        <v>1.0797000000000001</v>
      </c>
      <c r="N4" s="3">
        <f>$A$23*POWER(Zadanie1_Zalacznik1_projekty6[[#This Row],[Minimalna_długość_kodu]],Zadanie1_Zalacznik1_projekty6[[#This Row],[E]])</f>
        <v>423952.53402737796</v>
      </c>
      <c r="O4" s="3">
        <f>$A$23*POWER(Zadanie1_Zalacznik1_projekty6[[#This Row],[Maksymalna_długość_kodu]],Zadanie1_Zalacznik1_projekty6[[#This Row],[E]])</f>
        <v>500725.4715524147</v>
      </c>
      <c r="P4" s="3">
        <f>AVERAGE(Zadanie1_Zalacznik1_projekty6[[#This Row],[K1]],Zadanie1_Zalacznik1_projekty6[[#This Row],[K2]])</f>
        <v>462339.00278989633</v>
      </c>
      <c r="Q4" s="3">
        <f>ROUNDUP(Zadanie1_Zalacznik1_projekty6[[#This Row],[K ostateczne]]/(2.5*POWER(Zadanie1_Zalacznik1_projekty6[[#This Row],[K ostateczne]],'dane, 1, 2'!$C$23)),0)</f>
        <v>18</v>
      </c>
      <c r="R4" s="3">
        <f>Zadanie1_Zalacznik1_projekty6[[#This Row],[Nr_projektu]]</f>
        <v>3</v>
      </c>
      <c r="S4" s="6"/>
      <c r="T4" s="6"/>
    </row>
    <row r="5" spans="1:20" x14ac:dyDescent="0.3">
      <c r="A5">
        <v>4</v>
      </c>
      <c r="B5">
        <v>45000</v>
      </c>
      <c r="C5">
        <v>50000</v>
      </c>
      <c r="D5">
        <v>5</v>
      </c>
      <c r="E5" s="3" t="s">
        <v>22</v>
      </c>
      <c r="F5">
        <v>1</v>
      </c>
      <c r="G5">
        <v>1</v>
      </c>
      <c r="H5">
        <f>VLOOKUP(Zadanie1_Zalacznik1_projekty6[[#This Row],[Typowość]],Zadanie1_Zalacznik1_wspolczynniki7[[#All],[Kategoria]:[Typowość]],2,FALSE)</f>
        <v>1.24</v>
      </c>
      <c r="I5">
        <f>VLOOKUP(2,Zadanie1_Zalacznik1_wspolczynniki7[[#All],[kategoria napis]:[elastyczność 2]],3,FALSE)</f>
        <v>4.05</v>
      </c>
      <c r="J5" s="3">
        <f>VLOOKUP(2,Zadanie1_Zalacznik1_wspolczynniki7[[#All],[kategoria napis]:[elastyczność 2]],3,FALSE)</f>
        <v>4.05</v>
      </c>
      <c r="K5" s="3">
        <f>VLOOKUP(Zadanie1_Zalacznik1_projekty6[[#This Row],[Zarz_ryzykiem]],Zadanie1_Zalacznik1_wspolczynniki7[[#All],[Kategoria]:[Zarządzanie ryzykiem]],4,FALSE)</f>
        <v>7.07</v>
      </c>
      <c r="L5" s="3">
        <f>VLOOKUP(Zadanie1_Zalacznik1_projekty6[[#This Row],[Spoj_zespołu]],Zadanie1_Zalacznik1_wspolczynniki7[[#All],[Kategoria]:[Spójność zespołu]],5,FALSE)</f>
        <v>5.48</v>
      </c>
      <c r="M5" s="3">
        <f>$B$23+0.01*(Zadanie1_Zalacznik1_projekty6[[#This Row],[typowość - wartość]]+AVERAGE(Zadanie1_Zalacznik1_projekty6[[#This Row],[elastyczność1 - wartość]],Zadanie1_Zalacznik1_projekty6[[#This Row],[elastyczność 2 - wartość]])+Zadanie1_Zalacznik1_projekty6[[#This Row],[zarządzanie - wartość]]+Zadanie1_Zalacznik1_projekty6[[#This Row],[spójność wartość]])</f>
        <v>1.0884</v>
      </c>
      <c r="N5" s="3">
        <f>$A$23*POWER(Zadanie1_Zalacznik1_projekty6[[#This Row],[Minimalna_długość_kodu]],Zadanie1_Zalacznik1_projekty6[[#This Row],[E]])</f>
        <v>341117.36668015522</v>
      </c>
      <c r="O5" s="3">
        <f>$A$23*POWER(Zadanie1_Zalacznik1_projekty6[[#This Row],[Maksymalna_długość_kodu]],Zadanie1_Zalacznik1_projekty6[[#This Row],[E]])</f>
        <v>382565.92337941262</v>
      </c>
      <c r="P5" s="3">
        <f>AVERAGE(Zadanie1_Zalacznik1_projekty6[[#This Row],[K1]],Zadanie1_Zalacznik1_projekty6[[#This Row],[K2]])</f>
        <v>361841.64502978395</v>
      </c>
      <c r="Q5" s="3">
        <f>ROUNDUP(Zadanie1_Zalacznik1_projekty6[[#This Row],[K ostateczne]]/(2.5*POWER(Zadanie1_Zalacznik1_projekty6[[#This Row],[K ostateczne]],'dane, 1, 2'!$C$23)),0)</f>
        <v>17</v>
      </c>
      <c r="R5" s="3">
        <f>Zadanie1_Zalacznik1_projekty6[[#This Row],[Nr_projektu]]</f>
        <v>4</v>
      </c>
      <c r="S5" s="6" t="s">
        <v>54</v>
      </c>
      <c r="T5" s="6">
        <f>SUM(Q5:Q7)-12</f>
        <v>36</v>
      </c>
    </row>
    <row r="6" spans="1:20" x14ac:dyDescent="0.3">
      <c r="A6">
        <v>5</v>
      </c>
      <c r="B6">
        <v>95000</v>
      </c>
      <c r="C6">
        <v>105000</v>
      </c>
      <c r="D6">
        <v>4</v>
      </c>
      <c r="E6" s="3" t="s">
        <v>24</v>
      </c>
      <c r="F6">
        <v>2</v>
      </c>
      <c r="G6">
        <v>3</v>
      </c>
      <c r="H6">
        <f>VLOOKUP(Zadanie1_Zalacznik1_projekty6[[#This Row],[Typowość]],Zadanie1_Zalacznik1_wspolczynniki7[[#All],[Kategoria]:[Typowość]],2,FALSE)</f>
        <v>2.48</v>
      </c>
      <c r="I6">
        <f>VLOOKUP(4,Zadanie1_Zalacznik1_wspolczynniki7[[#All],[kategoria napis]:[elastyczność 2]],3,FALSE)</f>
        <v>2.0299999999999998</v>
      </c>
      <c r="J6" s="3">
        <f>VLOOKUP(5,Zadanie1_Zalacznik1_wspolczynniki7[[#All],[kategoria napis]:[elastyczność 2]],3,FALSE)</f>
        <v>1.01</v>
      </c>
      <c r="K6" s="3">
        <f>VLOOKUP(Zadanie1_Zalacznik1_projekty6[[#This Row],[Zarz_ryzykiem]],Zadanie1_Zalacznik1_wspolczynniki7[[#All],[Kategoria]:[Zarządzanie ryzykiem]],4,FALSE)</f>
        <v>5.65</v>
      </c>
      <c r="L6" s="3">
        <f>VLOOKUP(Zadanie1_Zalacznik1_projekty6[[#This Row],[Spoj_zespołu]],Zadanie1_Zalacznik1_wspolczynniki7[[#All],[Kategoria]:[Spójność zespołu]],5,FALSE)</f>
        <v>3.29</v>
      </c>
      <c r="M6" s="3">
        <f>$B$23+0.01*(Zadanie1_Zalacznik1_projekty6[[#This Row],[typowość - wartość]]+AVERAGE(Zadanie1_Zalacznik1_projekty6[[#This Row],[elastyczność1 - wartość]],Zadanie1_Zalacznik1_projekty6[[#This Row],[elastyczność 2 - wartość]])+Zadanie1_Zalacznik1_projekty6[[#This Row],[zarządzanie - wartość]]+Zadanie1_Zalacznik1_projekty6[[#This Row],[spójność wartość]])</f>
        <v>1.0394000000000001</v>
      </c>
      <c r="N6" s="3">
        <f>$A$23*POWER(Zadanie1_Zalacznik1_projekty6[[#This Row],[Minimalna_długość_kodu]],Zadanie1_Zalacznik1_projekty6[[#This Row],[E]])</f>
        <v>438725.87191083148</v>
      </c>
      <c r="O6" s="3">
        <f>$A$23*POWER(Zadanie1_Zalacznik1_projekty6[[#This Row],[Maksymalna_długość_kodu]],Zadanie1_Zalacznik1_projekty6[[#This Row],[E]])</f>
        <v>486823.44786250178</v>
      </c>
      <c r="P6" s="3">
        <f>AVERAGE(Zadanie1_Zalacznik1_projekty6[[#This Row],[K1]],Zadanie1_Zalacznik1_projekty6[[#This Row],[K2]])</f>
        <v>462774.65988666663</v>
      </c>
      <c r="Q6" s="3">
        <f>ROUNDUP(Zadanie1_Zalacznik1_projekty6[[#This Row],[K ostateczne]]/(2.5*POWER(Zadanie1_Zalacznik1_projekty6[[#This Row],[K ostateczne]],'dane, 1, 2'!$C$23)),0)</f>
        <v>18</v>
      </c>
      <c r="R6" s="3">
        <f>Zadanie1_Zalacznik1_projekty6[[#This Row],[Nr_projektu]]</f>
        <v>5</v>
      </c>
      <c r="S6" s="6"/>
      <c r="T6" s="6"/>
    </row>
    <row r="7" spans="1:20" x14ac:dyDescent="0.3">
      <c r="A7">
        <v>6</v>
      </c>
      <c r="B7">
        <v>30000</v>
      </c>
      <c r="C7">
        <v>40000</v>
      </c>
      <c r="D7">
        <v>4</v>
      </c>
      <c r="E7" s="3" t="s">
        <v>24</v>
      </c>
      <c r="F7">
        <v>3</v>
      </c>
      <c r="G7">
        <v>2</v>
      </c>
      <c r="H7">
        <f>VLOOKUP(Zadanie1_Zalacznik1_projekty6[[#This Row],[Typowość]],Zadanie1_Zalacznik1_wspolczynniki7[[#All],[Kategoria]:[Typowość]],2,FALSE)</f>
        <v>2.48</v>
      </c>
      <c r="I7">
        <f>VLOOKUP(4,Zadanie1_Zalacznik1_wspolczynniki7[[#All],[kategoria napis]:[elastyczność 2]],3,FALSE)</f>
        <v>2.0299999999999998</v>
      </c>
      <c r="J7" s="3">
        <f>VLOOKUP(5,Zadanie1_Zalacznik1_wspolczynniki7[[#All],[kategoria napis]:[elastyczność 2]],3,FALSE)</f>
        <v>1.01</v>
      </c>
      <c r="K7" s="3">
        <f>VLOOKUP(Zadanie1_Zalacznik1_projekty6[[#This Row],[Zarz_ryzykiem]],Zadanie1_Zalacznik1_wspolczynniki7[[#All],[Kategoria]:[Zarządzanie ryzykiem]],4,FALSE)</f>
        <v>4.24</v>
      </c>
      <c r="L7" s="3">
        <f>VLOOKUP(Zadanie1_Zalacznik1_projekty6[[#This Row],[Spoj_zespołu]],Zadanie1_Zalacznik1_wspolczynniki7[[#All],[Kategoria]:[Spójność zespołu]],5,FALSE)</f>
        <v>4.38</v>
      </c>
      <c r="M7" s="3">
        <f>$B$23+0.01*(Zadanie1_Zalacznik1_projekty6[[#This Row],[typowość - wartość]]+AVERAGE(Zadanie1_Zalacznik1_projekty6[[#This Row],[elastyczność1 - wartość]],Zadanie1_Zalacznik1_projekty6[[#This Row],[elastyczność 2 - wartość]])+Zadanie1_Zalacznik1_projekty6[[#This Row],[zarządzanie - wartość]]+Zadanie1_Zalacznik1_projekty6[[#This Row],[spójność wartość]])</f>
        <v>1.0362</v>
      </c>
      <c r="N7" s="3">
        <f>$A$23*POWER(Zadanie1_Zalacznik1_projekty6[[#This Row],[Minimalna_długość_kodu]],Zadanie1_Zalacznik1_projekty6[[#This Row],[E]])</f>
        <v>128097.41758452151</v>
      </c>
      <c r="O7" s="3">
        <f>$A$23*POWER(Zadanie1_Zalacznik1_projekty6[[#This Row],[Maksymalna_długość_kodu]],Zadanie1_Zalacznik1_projekty6[[#This Row],[E]])</f>
        <v>172584.54162713687</v>
      </c>
      <c r="P7" s="3">
        <f>AVERAGE(Zadanie1_Zalacznik1_projekty6[[#This Row],[K1]],Zadanie1_Zalacznik1_projekty6[[#This Row],[K2]])</f>
        <v>150340.9796058292</v>
      </c>
      <c r="Q7" s="3">
        <f>ROUNDUP(Zadanie1_Zalacznik1_projekty6[[#This Row],[K ostateczne]]/(2.5*POWER(Zadanie1_Zalacznik1_projekty6[[#This Row],[K ostateczne]],'dane, 1, 2'!$C$23)),0)</f>
        <v>13</v>
      </c>
      <c r="R7" s="3">
        <f>Zadanie1_Zalacznik1_projekty6[[#This Row],[Nr_projektu]]</f>
        <v>6</v>
      </c>
      <c r="S7" s="6"/>
      <c r="T7" s="6"/>
    </row>
    <row r="8" spans="1:20" x14ac:dyDescent="0.3">
      <c r="A8">
        <v>7</v>
      </c>
      <c r="B8">
        <v>35000</v>
      </c>
      <c r="C8">
        <v>42000</v>
      </c>
      <c r="D8">
        <v>3</v>
      </c>
      <c r="E8" s="3" t="s">
        <v>25</v>
      </c>
      <c r="F8">
        <v>4</v>
      </c>
      <c r="G8">
        <v>1</v>
      </c>
      <c r="H8">
        <f>VLOOKUP(Zadanie1_Zalacznik1_projekty6[[#This Row],[Typowość]],Zadanie1_Zalacznik1_wspolczynniki7[[#All],[Kategoria]:[Typowość]],2,FALSE)</f>
        <v>3.72</v>
      </c>
      <c r="I8">
        <f>VLOOKUP(4,Zadanie1_Zalacznik1_wspolczynniki7[[#All],[kategoria napis]:[elastyczność 2]],3,FALSE)</f>
        <v>2.0299999999999998</v>
      </c>
      <c r="J8" s="3">
        <f>VLOOKUP(4,Zadanie1_Zalacznik1_wspolczynniki7[[#All],[kategoria napis]:[elastyczność 2]],3,FALSE)</f>
        <v>2.0299999999999998</v>
      </c>
      <c r="K8" s="3">
        <f>VLOOKUP(Zadanie1_Zalacznik1_projekty6[[#This Row],[Zarz_ryzykiem]],Zadanie1_Zalacznik1_wspolczynniki7[[#All],[Kategoria]:[Zarządzanie ryzykiem]],4,FALSE)</f>
        <v>2.83</v>
      </c>
      <c r="L8" s="3">
        <f>VLOOKUP(Zadanie1_Zalacznik1_projekty6[[#This Row],[Spoj_zespołu]],Zadanie1_Zalacznik1_wspolczynniki7[[#All],[Kategoria]:[Spójność zespołu]],5,FALSE)</f>
        <v>5.48</v>
      </c>
      <c r="M8" s="3">
        <f>$B$23+0.01*(Zadanie1_Zalacznik1_projekty6[[#This Row],[typowość - wartość]]+AVERAGE(Zadanie1_Zalacznik1_projekty6[[#This Row],[elastyczność1 - wartość]],Zadanie1_Zalacznik1_projekty6[[#This Row],[elastyczność 2 - wartość]])+Zadanie1_Zalacznik1_projekty6[[#This Row],[zarządzanie - wartość]]+Zadanie1_Zalacznik1_projekty6[[#This Row],[spójność wartość]])</f>
        <v>1.0506</v>
      </c>
      <c r="N8" s="3">
        <f>$A$23*POWER(Zadanie1_Zalacznik1_projekty6[[#This Row],[Minimalna_długość_kodu]],Zadanie1_Zalacznik1_projekty6[[#This Row],[E]])</f>
        <v>174721.04470839768</v>
      </c>
      <c r="O8" s="3">
        <f>$A$23*POWER(Zadanie1_Zalacznik1_projekty6[[#This Row],[Maksymalna_długość_kodu]],Zadanie1_Zalacznik1_projekty6[[#This Row],[E]])</f>
        <v>211608.46405320408</v>
      </c>
      <c r="P8" s="3">
        <f>AVERAGE(Zadanie1_Zalacznik1_projekty6[[#This Row],[K1]],Zadanie1_Zalacznik1_projekty6[[#This Row],[K2]])</f>
        <v>193164.75438080088</v>
      </c>
      <c r="Q8" s="3">
        <f>ROUNDUP(Zadanie1_Zalacznik1_projekty6[[#This Row],[K ostateczne]]/(2.5*POWER(Zadanie1_Zalacznik1_projekty6[[#This Row],[K ostateczne]],'dane, 1, 2'!$C$23)),0)</f>
        <v>14</v>
      </c>
      <c r="R8" s="3">
        <f>Zadanie1_Zalacznik1_projekty6[[#This Row],[Nr_projektu]]</f>
        <v>7</v>
      </c>
      <c r="S8" s="6" t="s">
        <v>55</v>
      </c>
      <c r="T8" s="7">
        <f>SUM(Q8:Q11)-12</f>
        <v>52</v>
      </c>
    </row>
    <row r="9" spans="1:20" x14ac:dyDescent="0.3">
      <c r="A9">
        <v>8</v>
      </c>
      <c r="B9">
        <v>85000</v>
      </c>
      <c r="C9">
        <v>88000</v>
      </c>
      <c r="D9">
        <v>1</v>
      </c>
      <c r="E9" s="3" t="s">
        <v>26</v>
      </c>
      <c r="F9">
        <v>4</v>
      </c>
      <c r="G9">
        <v>4</v>
      </c>
      <c r="H9">
        <f>VLOOKUP(Zadanie1_Zalacznik1_projekty6[[#This Row],[Typowość]],Zadanie1_Zalacznik1_wspolczynniki7[[#All],[Kategoria]:[Typowość]],2,FALSE)</f>
        <v>6.2</v>
      </c>
      <c r="I9">
        <f>VLOOKUP(5,Zadanie1_Zalacznik1_wspolczynniki7[[#All],[kategoria napis]:[elastyczność 2]],3,FALSE)</f>
        <v>1.01</v>
      </c>
      <c r="J9" s="3">
        <f>VLOOKUP(5,Zadanie1_Zalacznik1_wspolczynniki7[[#All],[kategoria napis]:[elastyczność 2]],3,FALSE)</f>
        <v>1.01</v>
      </c>
      <c r="K9" s="3">
        <f>VLOOKUP(Zadanie1_Zalacznik1_projekty6[[#This Row],[Zarz_ryzykiem]],Zadanie1_Zalacznik1_wspolczynniki7[[#All],[Kategoria]:[Zarządzanie ryzykiem]],4,FALSE)</f>
        <v>2.83</v>
      </c>
      <c r="L9" s="3">
        <f>VLOOKUP(Zadanie1_Zalacznik1_projekty6[[#This Row],[Spoj_zespołu]],Zadanie1_Zalacznik1_wspolczynniki7[[#All],[Kategoria]:[Spójność zespołu]],5,FALSE)</f>
        <v>2.19</v>
      </c>
      <c r="M9" s="3">
        <f>$B$23+0.01*(Zadanie1_Zalacznik1_projekty6[[#This Row],[typowość - wartość]]+AVERAGE(Zadanie1_Zalacznik1_projekty6[[#This Row],[elastyczność1 - wartość]],Zadanie1_Zalacznik1_projekty6[[#This Row],[elastyczność 2 - wartość]])+Zadanie1_Zalacznik1_projekty6[[#This Row],[zarządzanie - wartość]]+Zadanie1_Zalacznik1_projekty6[[#This Row],[spójność wartość]])</f>
        <v>1.0323</v>
      </c>
      <c r="N9" s="3">
        <f>$A$23*POWER(Zadanie1_Zalacznik1_projekty6[[#This Row],[Minimalna_długość_kodu]],Zadanie1_Zalacznik1_projekty6[[#This Row],[E]])</f>
        <v>360567.4242066833</v>
      </c>
      <c r="O9" s="3">
        <f>$A$23*POWER(Zadanie1_Zalacznik1_projekty6[[#This Row],[Maksymalna_długość_kodu]],Zadanie1_Zalacznik1_projekty6[[#This Row],[E]])</f>
        <v>373711.78442520846</v>
      </c>
      <c r="P9" s="3">
        <f>AVERAGE(Zadanie1_Zalacznik1_projekty6[[#This Row],[K1]],Zadanie1_Zalacznik1_projekty6[[#This Row],[K2]])</f>
        <v>367139.60431594588</v>
      </c>
      <c r="Q9" s="3">
        <f>ROUNDUP(Zadanie1_Zalacznik1_projekty6[[#This Row],[K ostateczne]]/(2.5*POWER(Zadanie1_Zalacznik1_projekty6[[#This Row],[K ostateczne]],'dane, 1, 2'!$C$23)),0)</f>
        <v>17</v>
      </c>
      <c r="R9" s="3">
        <f>Zadanie1_Zalacznik1_projekty6[[#This Row],[Nr_projektu]]</f>
        <v>8</v>
      </c>
      <c r="S9" s="6"/>
      <c r="T9" s="7"/>
    </row>
    <row r="10" spans="1:20" x14ac:dyDescent="0.3">
      <c r="A10">
        <v>9</v>
      </c>
      <c r="B10">
        <v>100000</v>
      </c>
      <c r="C10">
        <v>110000</v>
      </c>
      <c r="D10">
        <v>5</v>
      </c>
      <c r="E10" s="3" t="s">
        <v>27</v>
      </c>
      <c r="F10">
        <v>2</v>
      </c>
      <c r="G10">
        <v>5</v>
      </c>
      <c r="H10">
        <f>VLOOKUP(Zadanie1_Zalacznik1_projekty6[[#This Row],[Typowość]],Zadanie1_Zalacznik1_wspolczynniki7[[#All],[Kategoria]:[Typowość]],2,FALSE)</f>
        <v>1.24</v>
      </c>
      <c r="I10">
        <f>VLOOKUP(3,Zadanie1_Zalacznik1_wspolczynniki7[[#All],[kategoria napis]:[elastyczność 2]],3,FALSE)</f>
        <v>3.04</v>
      </c>
      <c r="J10" s="3">
        <f>VLOOKUP(4,Zadanie1_Zalacznik1_wspolczynniki7[[#All],[kategoria napis]:[elastyczność 2]],3,FALSE)</f>
        <v>2.0299999999999998</v>
      </c>
      <c r="K10" s="3">
        <f>VLOOKUP(Zadanie1_Zalacznik1_projekty6[[#This Row],[Zarz_ryzykiem]],Zadanie1_Zalacznik1_wspolczynniki7[[#All],[Kategoria]:[Zarządzanie ryzykiem]],4,FALSE)</f>
        <v>5.65</v>
      </c>
      <c r="L10" s="3">
        <f>VLOOKUP(Zadanie1_Zalacznik1_projekty6[[#This Row],[Spoj_zespołu]],Zadanie1_Zalacznik1_wspolczynniki7[[#All],[Kategoria]:[Spójność zespołu]],5,FALSE)</f>
        <v>1.1000000000000001</v>
      </c>
      <c r="M10" s="3">
        <f>$B$23+0.01*(Zadanie1_Zalacznik1_projekty6[[#This Row],[typowość - wartość]]+AVERAGE(Zadanie1_Zalacznik1_projekty6[[#This Row],[elastyczność1 - wartość]],Zadanie1_Zalacznik1_projekty6[[#This Row],[elastyczność 2 - wartość]])+Zadanie1_Zalacznik1_projekty6[[#This Row],[zarządzanie - wartość]]+Zadanie1_Zalacznik1_projekty6[[#This Row],[spójność wartość]])</f>
        <v>1.01525</v>
      </c>
      <c r="N10" s="3">
        <f>$A$23*POWER(Zadanie1_Zalacznik1_projekty6[[#This Row],[Minimalna_długość_kodu]],Zadanie1_Zalacznik1_projekty6[[#This Row],[E]])</f>
        <v>350426.81420060107</v>
      </c>
      <c r="O10" s="3">
        <f>$A$23*POWER(Zadanie1_Zalacznik1_projekty6[[#This Row],[Maksymalna_długość_kodu]],Zadanie1_Zalacznik1_projekty6[[#This Row],[E]])</f>
        <v>386030.17528614559</v>
      </c>
      <c r="P10" s="3">
        <f>AVERAGE(Zadanie1_Zalacznik1_projekty6[[#This Row],[K1]],Zadanie1_Zalacznik1_projekty6[[#This Row],[K2]])</f>
        <v>368228.49474337336</v>
      </c>
      <c r="Q10" s="3">
        <f>ROUNDUP(Zadanie1_Zalacznik1_projekty6[[#This Row],[K ostateczne]]/(2.5*POWER(Zadanie1_Zalacznik1_projekty6[[#This Row],[K ostateczne]],'dane, 1, 2'!$C$23)),0)</f>
        <v>17</v>
      </c>
      <c r="R10" s="3">
        <f>Zadanie1_Zalacznik1_projekty6[[#This Row],[Nr_projektu]]</f>
        <v>9</v>
      </c>
      <c r="S10" s="6"/>
      <c r="T10" s="7"/>
    </row>
    <row r="11" spans="1:20" x14ac:dyDescent="0.3">
      <c r="A11">
        <v>10</v>
      </c>
      <c r="B11">
        <v>75000</v>
      </c>
      <c r="C11">
        <v>90000</v>
      </c>
      <c r="D11">
        <v>4</v>
      </c>
      <c r="E11" s="3" t="s">
        <v>24</v>
      </c>
      <c r="F11">
        <v>5</v>
      </c>
      <c r="G11">
        <v>1</v>
      </c>
      <c r="H11">
        <f>VLOOKUP(Zadanie1_Zalacznik1_projekty6[[#This Row],[Typowość]],Zadanie1_Zalacznik1_wspolczynniki7[[#All],[Kategoria]:[Typowość]],2,FALSE)</f>
        <v>2.48</v>
      </c>
      <c r="I11">
        <f>VLOOKUP(4,Zadanie1_Zalacznik1_wspolczynniki7[[#All],[kategoria napis]:[elastyczność 2]],3,FALSE)</f>
        <v>2.0299999999999998</v>
      </c>
      <c r="J11" s="3">
        <f>VLOOKUP(5,Zadanie1_Zalacznik1_wspolczynniki7[[#All],[kategoria napis]:[elastyczność 2]],3,FALSE)</f>
        <v>1.01</v>
      </c>
      <c r="K11" s="3">
        <f>VLOOKUP(Zadanie1_Zalacznik1_projekty6[[#This Row],[Zarz_ryzykiem]],Zadanie1_Zalacznik1_wspolczynniki7[[#All],[Kategoria]:[Zarządzanie ryzykiem]],4,FALSE)</f>
        <v>1.41</v>
      </c>
      <c r="L11" s="3">
        <f>VLOOKUP(Zadanie1_Zalacznik1_projekty6[[#This Row],[Spoj_zespołu]],Zadanie1_Zalacznik1_wspolczynniki7[[#All],[Kategoria]:[Spójność zespołu]],5,FALSE)</f>
        <v>5.48</v>
      </c>
      <c r="M11" s="3">
        <f>$B$23+0.01*(Zadanie1_Zalacznik1_projekty6[[#This Row],[typowość - wartość]]+AVERAGE(Zadanie1_Zalacznik1_projekty6[[#This Row],[elastyczność1 - wartość]],Zadanie1_Zalacznik1_projekty6[[#This Row],[elastyczność 2 - wartość]])+Zadanie1_Zalacznik1_projekty6[[#This Row],[zarządzanie - wartość]]+Zadanie1_Zalacznik1_projekty6[[#This Row],[spójność wartość]])</f>
        <v>1.0189000000000001</v>
      </c>
      <c r="N11" s="3">
        <f>$A$23*POWER(Zadanie1_Zalacznik1_projekty6[[#This Row],[Minimalna_długość_kodu]],Zadanie1_Zalacznik1_projekty6[[#This Row],[E]])</f>
        <v>272613.43289851584</v>
      </c>
      <c r="O11" s="3">
        <f>$A$23*POWER(Zadanie1_Zalacznik1_projekty6[[#This Row],[Maksymalna_długość_kodu]],Zadanie1_Zalacznik1_projekty6[[#This Row],[E]])</f>
        <v>328265.33489830518</v>
      </c>
      <c r="P11" s="3">
        <f>AVERAGE(Zadanie1_Zalacznik1_projekty6[[#This Row],[K1]],Zadanie1_Zalacznik1_projekty6[[#This Row],[K2]])</f>
        <v>300439.38389841048</v>
      </c>
      <c r="Q11" s="3">
        <f>ROUNDUP(Zadanie1_Zalacznik1_projekty6[[#This Row],[K ostateczne]]/(2.5*POWER(Zadanie1_Zalacznik1_projekty6[[#This Row],[K ostateczne]],'dane, 1, 2'!$C$23)),0)</f>
        <v>16</v>
      </c>
      <c r="R11" s="3">
        <f>Zadanie1_Zalacznik1_projekty6[[#This Row],[Nr_projektu]]</f>
        <v>10</v>
      </c>
      <c r="S11" s="6"/>
      <c r="T11" s="7"/>
    </row>
    <row r="14" spans="1:20" x14ac:dyDescent="0.3">
      <c r="A14" t="s">
        <v>28</v>
      </c>
      <c r="B14" t="s">
        <v>17</v>
      </c>
      <c r="C14" t="s">
        <v>18</v>
      </c>
      <c r="D14" t="s">
        <v>29</v>
      </c>
      <c r="E14" t="s">
        <v>30</v>
      </c>
      <c r="F14" t="s">
        <v>37</v>
      </c>
      <c r="G14" t="s">
        <v>38</v>
      </c>
      <c r="H14" t="s">
        <v>39</v>
      </c>
      <c r="I14" t="s">
        <v>40</v>
      </c>
      <c r="J14" t="s">
        <v>41</v>
      </c>
    </row>
    <row r="15" spans="1:20" x14ac:dyDescent="0.3">
      <c r="A15">
        <v>1</v>
      </c>
      <c r="B15">
        <v>6.2</v>
      </c>
      <c r="C15">
        <v>5.07</v>
      </c>
      <c r="D15">
        <v>7.07</v>
      </c>
      <c r="E15">
        <v>5.48</v>
      </c>
      <c r="F15" s="5">
        <f>Zadanie1_Zalacznik1_wspolczynniki7[[#This Row],[Kategoria]]</f>
        <v>1</v>
      </c>
      <c r="G15">
        <f>Zadanie1_Zalacznik1_wspolczynniki7[[#This Row],[Typowość]]</f>
        <v>6.2</v>
      </c>
      <c r="H15">
        <f>Zadanie1_Zalacznik1_wspolczynniki7[[#This Row],[Elastyczność]]</f>
        <v>5.07</v>
      </c>
      <c r="I15">
        <f>Zadanie1_Zalacznik1_wspolczynniki7[[#This Row],[Zarządzanie ryzykiem]]</f>
        <v>7.07</v>
      </c>
      <c r="J15" s="3">
        <f>Zadanie1_Zalacznik1_wspolczynniki7[[#This Row],[Spójność zespołu]]</f>
        <v>5.48</v>
      </c>
    </row>
    <row r="16" spans="1:20" x14ac:dyDescent="0.3">
      <c r="A16">
        <v>2</v>
      </c>
      <c r="B16">
        <v>4.96</v>
      </c>
      <c r="C16">
        <v>4.05</v>
      </c>
      <c r="D16">
        <v>5.65</v>
      </c>
      <c r="E16">
        <v>4.38</v>
      </c>
      <c r="F16" s="5">
        <f>Zadanie1_Zalacznik1_wspolczynniki7[[#This Row],[Kategoria]]</f>
        <v>2</v>
      </c>
      <c r="G16">
        <f>Zadanie1_Zalacznik1_wspolczynniki7[[#This Row],[Typowość]]</f>
        <v>4.96</v>
      </c>
      <c r="H16">
        <f>Zadanie1_Zalacznik1_wspolczynniki7[[#This Row],[Elastyczność]]</f>
        <v>4.05</v>
      </c>
      <c r="I16">
        <f>Zadanie1_Zalacznik1_wspolczynniki7[[#This Row],[Zarządzanie ryzykiem]]</f>
        <v>5.65</v>
      </c>
      <c r="J16" s="3">
        <f>Zadanie1_Zalacznik1_wspolczynniki7[[#This Row],[Spójność zespołu]]</f>
        <v>4.38</v>
      </c>
    </row>
    <row r="17" spans="1:10" x14ac:dyDescent="0.3">
      <c r="A17">
        <v>3</v>
      </c>
      <c r="B17">
        <v>3.72</v>
      </c>
      <c r="C17">
        <v>3.04</v>
      </c>
      <c r="D17">
        <v>4.24</v>
      </c>
      <c r="E17">
        <v>3.29</v>
      </c>
      <c r="F17" s="5">
        <f>Zadanie1_Zalacznik1_wspolczynniki7[[#This Row],[Kategoria]]</f>
        <v>3</v>
      </c>
      <c r="G17">
        <f>Zadanie1_Zalacznik1_wspolczynniki7[[#This Row],[Typowość]]</f>
        <v>3.72</v>
      </c>
      <c r="H17">
        <f>Zadanie1_Zalacznik1_wspolczynniki7[[#This Row],[Elastyczność]]</f>
        <v>3.04</v>
      </c>
      <c r="I17">
        <f>Zadanie1_Zalacznik1_wspolczynniki7[[#This Row],[Zarządzanie ryzykiem]]</f>
        <v>4.24</v>
      </c>
      <c r="J17" s="3">
        <f>Zadanie1_Zalacznik1_wspolczynniki7[[#This Row],[Spójność zespołu]]</f>
        <v>3.29</v>
      </c>
    </row>
    <row r="18" spans="1:10" x14ac:dyDescent="0.3">
      <c r="A18">
        <v>4</v>
      </c>
      <c r="B18">
        <v>2.48</v>
      </c>
      <c r="C18">
        <v>2.0299999999999998</v>
      </c>
      <c r="D18">
        <v>2.83</v>
      </c>
      <c r="E18">
        <v>2.19</v>
      </c>
      <c r="F18" s="5">
        <f>Zadanie1_Zalacznik1_wspolczynniki7[[#This Row],[Kategoria]]</f>
        <v>4</v>
      </c>
      <c r="G18">
        <f>Zadanie1_Zalacznik1_wspolczynniki7[[#This Row],[Typowość]]</f>
        <v>2.48</v>
      </c>
      <c r="H18">
        <f>Zadanie1_Zalacznik1_wspolczynniki7[[#This Row],[Elastyczność]]</f>
        <v>2.0299999999999998</v>
      </c>
      <c r="I18">
        <f>Zadanie1_Zalacznik1_wspolczynniki7[[#This Row],[Zarządzanie ryzykiem]]</f>
        <v>2.83</v>
      </c>
      <c r="J18" s="3">
        <f>Zadanie1_Zalacznik1_wspolczynniki7[[#This Row],[Spójność zespołu]]</f>
        <v>2.19</v>
      </c>
    </row>
    <row r="19" spans="1:10" x14ac:dyDescent="0.3">
      <c r="A19">
        <v>5</v>
      </c>
      <c r="B19">
        <v>1.24</v>
      </c>
      <c r="C19">
        <v>1.01</v>
      </c>
      <c r="D19">
        <v>1.41</v>
      </c>
      <c r="E19">
        <v>1.1000000000000001</v>
      </c>
      <c r="F19" s="5">
        <f>Zadanie1_Zalacznik1_wspolczynniki7[[#This Row],[Kategoria]]</f>
        <v>5</v>
      </c>
      <c r="G19">
        <f>Zadanie1_Zalacznik1_wspolczynniki7[[#This Row],[Typowość]]</f>
        <v>1.24</v>
      </c>
      <c r="H19">
        <f>Zadanie1_Zalacznik1_wspolczynniki7[[#This Row],[Elastyczność]]</f>
        <v>1.01</v>
      </c>
      <c r="I19">
        <f>Zadanie1_Zalacznik1_wspolczynniki7[[#This Row],[Zarządzanie ryzykiem]]</f>
        <v>1.41</v>
      </c>
      <c r="J19" s="3">
        <f>Zadanie1_Zalacznik1_wspolczynniki7[[#This Row],[Spójność zespołu]]</f>
        <v>1.1000000000000001</v>
      </c>
    </row>
    <row r="21" spans="1:10" x14ac:dyDescent="0.3">
      <c r="A21" s="6" t="s">
        <v>31</v>
      </c>
      <c r="B21" s="6"/>
      <c r="C21" s="6"/>
    </row>
    <row r="22" spans="1:10" x14ac:dyDescent="0.3">
      <c r="A22" s="4" t="s">
        <v>32</v>
      </c>
      <c r="B22" s="4" t="s">
        <v>33</v>
      </c>
      <c r="C22" s="4" t="s">
        <v>34</v>
      </c>
    </row>
    <row r="23" spans="1:10" x14ac:dyDescent="0.3">
      <c r="A23">
        <v>2.94</v>
      </c>
      <c r="B23">
        <v>0.91</v>
      </c>
      <c r="C23">
        <v>0.71</v>
      </c>
    </row>
  </sheetData>
  <mergeCells count="7">
    <mergeCell ref="A21:C21"/>
    <mergeCell ref="S2:S4"/>
    <mergeCell ref="T2:T4"/>
    <mergeCell ref="S5:S7"/>
    <mergeCell ref="T5:T7"/>
    <mergeCell ref="S8:S11"/>
    <mergeCell ref="T8:T11"/>
  </mergeCell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82C18-630E-45C9-A5B8-BE5779FDE704}">
  <dimension ref="A1:T23"/>
  <sheetViews>
    <sheetView workbookViewId="0">
      <selection activeCell="B23" sqref="B23"/>
    </sheetView>
  </sheetViews>
  <sheetFormatPr defaultRowHeight="14.4" x14ac:dyDescent="0.3"/>
  <cols>
    <col min="1" max="1" width="13.44140625" bestFit="1" customWidth="1"/>
    <col min="2" max="2" width="25.44140625" bestFit="1" customWidth="1"/>
    <col min="3" max="3" width="27.21875" bestFit="1" customWidth="1"/>
    <col min="4" max="4" width="21.33203125" bestFit="1" customWidth="1"/>
    <col min="5" max="5" width="17.88671875" bestFit="1" customWidth="1"/>
    <col min="6" max="6" width="16.109375" bestFit="1" customWidth="1"/>
    <col min="7" max="7" width="14.44140625" bestFit="1" customWidth="1"/>
    <col min="8" max="8" width="19.6640625" bestFit="1" customWidth="1"/>
    <col min="9" max="9" width="23" bestFit="1" customWidth="1"/>
    <col min="10" max="10" width="23.5546875" bestFit="1" customWidth="1"/>
    <col min="11" max="11" width="21.21875" bestFit="1" customWidth="1"/>
    <col min="12" max="12" width="17.77734375" bestFit="1" customWidth="1"/>
    <col min="13" max="13" width="8" bestFit="1" customWidth="1"/>
    <col min="14" max="15" width="12" bestFit="1" customWidth="1"/>
    <col min="16" max="16" width="13.77734375" bestFit="1" customWidth="1"/>
    <col min="17" max="17" width="32.44140625" bestFit="1" customWidth="1"/>
    <col min="18" max="18" width="19.88671875" customWidth="1"/>
  </cols>
  <sheetData>
    <row r="1" spans="1:20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35</v>
      </c>
      <c r="I1" t="s">
        <v>36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52</v>
      </c>
      <c r="S1" t="s">
        <v>56</v>
      </c>
    </row>
    <row r="2" spans="1:20" x14ac:dyDescent="0.3">
      <c r="A2">
        <v>1</v>
      </c>
      <c r="B2">
        <v>25000</v>
      </c>
      <c r="C2">
        <v>27000</v>
      </c>
      <c r="D2">
        <v>5</v>
      </c>
      <c r="E2" s="3" t="s">
        <v>21</v>
      </c>
      <c r="F2">
        <v>2</v>
      </c>
      <c r="G2">
        <v>1</v>
      </c>
      <c r="H2">
        <f>VLOOKUP(Zadanie1_Zalacznik1_projekty68[[#This Row],[Typowość]],Zadanie1_Zalacznik1_wspolczynniki79[[#All],[Kategoria]:[Typowość]],2,FALSE)</f>
        <v>1.24</v>
      </c>
      <c r="I2">
        <f>VLOOKUP(1,Zadanie1_Zalacznik1_wspolczynniki79[[#All],[kategoria napis]:[elastyczność 2]],3,FALSE)</f>
        <v>5.07</v>
      </c>
      <c r="J2" s="3">
        <f>VLOOKUP(1,Zadanie1_Zalacznik1_wspolczynniki79[[#All],[kategoria napis]:[elastyczność 2]],3,FALSE)</f>
        <v>5.07</v>
      </c>
      <c r="K2" s="3">
        <f>VLOOKUP(Zadanie1_Zalacznik1_projekty68[[#This Row],[Zarz_ryzykiem]],Zadanie1_Zalacznik1_wspolczynniki79[[#All],[Kategoria]:[Zarządzanie ryzykiem]],4,FALSE)</f>
        <v>5.65</v>
      </c>
      <c r="L2" s="3">
        <f>VLOOKUP(Zadanie1_Zalacznik1_projekty68[[#This Row],[Spoj_zespołu]],Zadanie1_Zalacznik1_wspolczynniki79[[#All],[Kategoria]:[Spójność zespołu]],5,FALSE)</f>
        <v>5.48</v>
      </c>
      <c r="M2" s="3">
        <f>$B$23+0.01*(Zadanie1_Zalacznik1_projekty68[[#This Row],[typowość - wartość]]+AVERAGE(Zadanie1_Zalacznik1_projekty68[[#This Row],[elastyczność1 - wartość]],Zadanie1_Zalacznik1_projekty68[[#This Row],[elastyczność 2 - wartość]])+Zadanie1_Zalacznik1_projekty68[[#This Row],[zarządzanie - wartość]]+Zadanie1_Zalacznik1_projekty68[[#This Row],[spójność wartość]])</f>
        <v>0.56440000000000001</v>
      </c>
      <c r="N2" s="3">
        <f>$A$23*POWER(Zadanie1_Zalacznik1_projekty68[[#This Row],[Minimalna_długość_kodu]],Zadanie1_Zalacznik1_projekty68[[#This Row],[E]])</f>
        <v>892.36940352441013</v>
      </c>
      <c r="O2" s="3">
        <f>$A$23*POWER(Zadanie1_Zalacznik1_projekty68[[#This Row],[Maksymalna_długość_kodu]],Zadanie1_Zalacznik1_projekty68[[#This Row],[E]])</f>
        <v>931.98524962800093</v>
      </c>
      <c r="P2" s="3">
        <f>AVERAGE(Zadanie1_Zalacznik1_projekty68[[#This Row],[K1]],Zadanie1_Zalacznik1_projekty68[[#This Row],[K2]])</f>
        <v>912.17732657620559</v>
      </c>
      <c r="Q2" s="3">
        <f>ROUNDUP(Zadanie1_Zalacznik1_projekty68[[#This Row],[K ostateczne]]/(2.5*POWER(Zadanie1_Zalacznik1_projekty68[[#This Row],[K ostateczne]],'dane, 1, 2'!$C$23)),0)</f>
        <v>3</v>
      </c>
      <c r="R2" s="3">
        <f>Zadanie1_Zalacznik1_projekty68[[#This Row],[Nr_projektu]]</f>
        <v>1</v>
      </c>
      <c r="S2" s="6" t="s">
        <v>53</v>
      </c>
      <c r="T2" s="6">
        <f>SUM(Q2:Q4)-12</f>
        <v>-1</v>
      </c>
    </row>
    <row r="3" spans="1:20" x14ac:dyDescent="0.3">
      <c r="A3">
        <v>2</v>
      </c>
      <c r="B3">
        <v>120000</v>
      </c>
      <c r="C3">
        <v>128000</v>
      </c>
      <c r="D3">
        <v>5</v>
      </c>
      <c r="E3" s="3" t="s">
        <v>22</v>
      </c>
      <c r="F3">
        <v>5</v>
      </c>
      <c r="G3">
        <v>1</v>
      </c>
      <c r="H3">
        <f>VLOOKUP(Zadanie1_Zalacznik1_projekty68[[#This Row],[Typowość]],Zadanie1_Zalacznik1_wspolczynniki79[[#All],[Kategoria]:[Typowość]],2,FALSE)</f>
        <v>1.24</v>
      </c>
      <c r="I3">
        <f>VLOOKUP(2,Zadanie1_Zalacznik1_wspolczynniki79[[#All],[kategoria napis]:[elastyczność 2]],3,FALSE)</f>
        <v>4.05</v>
      </c>
      <c r="J3" s="3">
        <f>VLOOKUP(2,Zadanie1_Zalacznik1_wspolczynniki79[[#All],[kategoria napis]:[elastyczność 2]],3,FALSE)</f>
        <v>4.05</v>
      </c>
      <c r="K3" s="3">
        <f>VLOOKUP(Zadanie1_Zalacznik1_projekty68[[#This Row],[Zarz_ryzykiem]],Zadanie1_Zalacznik1_wspolczynniki79[[#All],[Kategoria]:[Zarządzanie ryzykiem]],4,FALSE)</f>
        <v>1.41</v>
      </c>
      <c r="L3" s="3">
        <f>VLOOKUP(Zadanie1_Zalacznik1_projekty68[[#This Row],[Spoj_zespołu]],Zadanie1_Zalacznik1_wspolczynniki79[[#All],[Kategoria]:[Spójność zespołu]],5,FALSE)</f>
        <v>5.48</v>
      </c>
      <c r="M3" s="3">
        <f>$B$23+0.01*(Zadanie1_Zalacznik1_projekty68[[#This Row],[typowość - wartość]]+AVERAGE(Zadanie1_Zalacznik1_projekty68[[#This Row],[elastyczność1 - wartość]],Zadanie1_Zalacznik1_projekty68[[#This Row],[elastyczność 2 - wartość]])+Zadanie1_Zalacznik1_projekty68[[#This Row],[zarządzanie - wartość]]+Zadanie1_Zalacznik1_projekty68[[#This Row],[spójność wartość]])</f>
        <v>0.51180000000000003</v>
      </c>
      <c r="N3" s="3">
        <f>$A$23*POWER(Zadanie1_Zalacznik1_projekty68[[#This Row],[Minimalna_długość_kodu]],Zadanie1_Zalacznik1_projekty68[[#This Row],[E]])</f>
        <v>1169.1555406735508</v>
      </c>
      <c r="O3" s="3">
        <f>$A$23*POWER(Zadanie1_Zalacznik1_projekty68[[#This Row],[Maksymalna_długość_kodu]],Zadanie1_Zalacznik1_projekty68[[#This Row],[E]])</f>
        <v>1208.418576507655</v>
      </c>
      <c r="P3" s="3">
        <f>AVERAGE(Zadanie1_Zalacznik1_projekty68[[#This Row],[K1]],Zadanie1_Zalacznik1_projekty68[[#This Row],[K2]])</f>
        <v>1188.787058590603</v>
      </c>
      <c r="Q3" s="3">
        <f>ROUNDUP(Zadanie1_Zalacznik1_projekty68[[#This Row],[K ostateczne]]/(2.5*POWER(Zadanie1_Zalacznik1_projekty68[[#This Row],[K ostateczne]],'dane, 1, 2'!$C$23)),0)</f>
        <v>4</v>
      </c>
      <c r="R3" s="3">
        <f>Zadanie1_Zalacznik1_projekty68[[#This Row],[Nr_projektu]]</f>
        <v>2</v>
      </c>
      <c r="S3" s="6"/>
      <c r="T3" s="6"/>
    </row>
    <row r="4" spans="1:20" x14ac:dyDescent="0.3">
      <c r="A4">
        <v>3</v>
      </c>
      <c r="B4">
        <v>60000</v>
      </c>
      <c r="C4">
        <v>70000</v>
      </c>
      <c r="D4">
        <v>4</v>
      </c>
      <c r="E4" s="3" t="s">
        <v>23</v>
      </c>
      <c r="F4">
        <v>1</v>
      </c>
      <c r="G4">
        <v>2</v>
      </c>
      <c r="H4">
        <f>VLOOKUP(Zadanie1_Zalacznik1_projekty68[[#This Row],[Typowość]],Zadanie1_Zalacznik1_wspolczynniki79[[#All],[Kategoria]:[Typowość]],2,FALSE)</f>
        <v>2.48</v>
      </c>
      <c r="I4">
        <f>VLOOKUP(3,Zadanie1_Zalacznik1_wspolczynniki79[[#All],[kategoria napis]:[elastyczność 2]],3,FALSE)</f>
        <v>3.04</v>
      </c>
      <c r="J4" s="3">
        <f>VLOOKUP(3,Zadanie1_Zalacznik1_wspolczynniki79[[#All],[kategoria napis]:[elastyczność 2]],3,FALSE)</f>
        <v>3.04</v>
      </c>
      <c r="K4" s="3">
        <f>VLOOKUP(Zadanie1_Zalacznik1_projekty68[[#This Row],[Zarz_ryzykiem]],Zadanie1_Zalacznik1_wspolczynniki79[[#All],[Kategoria]:[Zarządzanie ryzykiem]],4,FALSE)</f>
        <v>7.07</v>
      </c>
      <c r="L4" s="3">
        <f>VLOOKUP(Zadanie1_Zalacznik1_projekty68[[#This Row],[Spoj_zespołu]],Zadanie1_Zalacznik1_wspolczynniki79[[#All],[Kategoria]:[Spójność zespołu]],5,FALSE)</f>
        <v>4.38</v>
      </c>
      <c r="M4" s="3">
        <f>$B$23+0.01*(Zadanie1_Zalacznik1_projekty68[[#This Row],[typowość - wartość]]+AVERAGE(Zadanie1_Zalacznik1_projekty68[[#This Row],[elastyczność1 - wartość]],Zadanie1_Zalacznik1_projekty68[[#This Row],[elastyczność 2 - wartość]])+Zadanie1_Zalacznik1_projekty68[[#This Row],[zarządzanie - wartość]]+Zadanie1_Zalacznik1_projekty68[[#This Row],[spójność wartość]])</f>
        <v>0.55969999999999998</v>
      </c>
      <c r="N4" s="3">
        <f>$A$23*POWER(Zadanie1_Zalacznik1_projekty68[[#This Row],[Minimalna_długość_kodu]],Zadanie1_Zalacznik1_projekty68[[#This Row],[E]])</f>
        <v>1388.9243289499693</v>
      </c>
      <c r="O4" s="3">
        <f>$A$23*POWER(Zadanie1_Zalacznik1_projekty68[[#This Row],[Maksymalna_długość_kodu]],Zadanie1_Zalacznik1_projekty68[[#This Row],[E]])</f>
        <v>1514.0795839490347</v>
      </c>
      <c r="P4" s="3">
        <f>AVERAGE(Zadanie1_Zalacznik1_projekty68[[#This Row],[K1]],Zadanie1_Zalacznik1_projekty68[[#This Row],[K2]])</f>
        <v>1451.5019564495019</v>
      </c>
      <c r="Q4" s="3">
        <f>ROUNDUP(Zadanie1_Zalacznik1_projekty68[[#This Row],[K ostateczne]]/(2.5*POWER(Zadanie1_Zalacznik1_projekty68[[#This Row],[K ostateczne]],'dane, 1, 2'!$C$23)),0)</f>
        <v>4</v>
      </c>
      <c r="R4" s="3">
        <f>Zadanie1_Zalacznik1_projekty68[[#This Row],[Nr_projektu]]</f>
        <v>3</v>
      </c>
      <c r="S4" s="6"/>
      <c r="T4" s="6"/>
    </row>
    <row r="5" spans="1:20" x14ac:dyDescent="0.3">
      <c r="A5">
        <v>4</v>
      </c>
      <c r="B5">
        <v>45000</v>
      </c>
      <c r="C5">
        <v>50000</v>
      </c>
      <c r="D5">
        <v>5</v>
      </c>
      <c r="E5" s="3" t="s">
        <v>22</v>
      </c>
      <c r="F5">
        <v>1</v>
      </c>
      <c r="G5">
        <v>1</v>
      </c>
      <c r="H5">
        <f>VLOOKUP(Zadanie1_Zalacznik1_projekty68[[#This Row],[Typowość]],Zadanie1_Zalacznik1_wspolczynniki79[[#All],[Kategoria]:[Typowość]],2,FALSE)</f>
        <v>1.24</v>
      </c>
      <c r="I5">
        <f>VLOOKUP(2,Zadanie1_Zalacznik1_wspolczynniki79[[#All],[kategoria napis]:[elastyczność 2]],3,FALSE)</f>
        <v>4.05</v>
      </c>
      <c r="J5" s="3">
        <f>VLOOKUP(2,Zadanie1_Zalacznik1_wspolczynniki79[[#All],[kategoria napis]:[elastyczność 2]],3,FALSE)</f>
        <v>4.05</v>
      </c>
      <c r="K5" s="3">
        <f>VLOOKUP(Zadanie1_Zalacznik1_projekty68[[#This Row],[Zarz_ryzykiem]],Zadanie1_Zalacznik1_wspolczynniki79[[#All],[Kategoria]:[Zarządzanie ryzykiem]],4,FALSE)</f>
        <v>7.07</v>
      </c>
      <c r="L5" s="3">
        <f>VLOOKUP(Zadanie1_Zalacznik1_projekty68[[#This Row],[Spoj_zespołu]],Zadanie1_Zalacznik1_wspolczynniki79[[#All],[Kategoria]:[Spójność zespołu]],5,FALSE)</f>
        <v>5.48</v>
      </c>
      <c r="M5" s="3">
        <f>$B$23+0.01*(Zadanie1_Zalacznik1_projekty68[[#This Row],[typowość - wartość]]+AVERAGE(Zadanie1_Zalacznik1_projekty68[[#This Row],[elastyczność1 - wartość]],Zadanie1_Zalacznik1_projekty68[[#This Row],[elastyczność 2 - wartość]])+Zadanie1_Zalacznik1_projekty68[[#This Row],[zarządzanie - wartość]]+Zadanie1_Zalacznik1_projekty68[[#This Row],[spójność wartość]])</f>
        <v>0.56840000000000002</v>
      </c>
      <c r="N5" s="3">
        <f>$A$23*POWER(Zadanie1_Zalacznik1_projekty68[[#This Row],[Minimalna_długość_kodu]],Zadanie1_Zalacznik1_projekty68[[#This Row],[E]])</f>
        <v>1297.8763634000625</v>
      </c>
      <c r="O5" s="3">
        <f>$A$23*POWER(Zadanie1_Zalacznik1_projekty68[[#This Row],[Maksymalna_długość_kodu]],Zadanie1_Zalacznik1_projekty68[[#This Row],[E]])</f>
        <v>1377.9767211407498</v>
      </c>
      <c r="P5" s="3">
        <f>AVERAGE(Zadanie1_Zalacznik1_projekty68[[#This Row],[K1]],Zadanie1_Zalacznik1_projekty68[[#This Row],[K2]])</f>
        <v>1337.9265422704061</v>
      </c>
      <c r="Q5" s="3">
        <f>ROUNDUP(Zadanie1_Zalacznik1_projekty68[[#This Row],[K ostateczne]]/(2.5*POWER(Zadanie1_Zalacznik1_projekty68[[#This Row],[K ostateczne]],'dane, 1, 2'!$C$23)),0)</f>
        <v>4</v>
      </c>
      <c r="R5" s="3">
        <f>Zadanie1_Zalacznik1_projekty68[[#This Row],[Nr_projektu]]</f>
        <v>4</v>
      </c>
      <c r="S5" s="6" t="s">
        <v>54</v>
      </c>
      <c r="T5" s="6">
        <f>SUM(Q5:Q7)-12</f>
        <v>-1</v>
      </c>
    </row>
    <row r="6" spans="1:20" x14ac:dyDescent="0.3">
      <c r="A6">
        <v>5</v>
      </c>
      <c r="B6">
        <v>95000</v>
      </c>
      <c r="C6">
        <v>105000</v>
      </c>
      <c r="D6">
        <v>4</v>
      </c>
      <c r="E6" s="3" t="s">
        <v>24</v>
      </c>
      <c r="F6">
        <v>2</v>
      </c>
      <c r="G6">
        <v>3</v>
      </c>
      <c r="H6">
        <f>VLOOKUP(Zadanie1_Zalacznik1_projekty68[[#This Row],[Typowość]],Zadanie1_Zalacznik1_wspolczynniki79[[#All],[Kategoria]:[Typowość]],2,FALSE)</f>
        <v>2.48</v>
      </c>
      <c r="I6">
        <f>VLOOKUP(4,Zadanie1_Zalacznik1_wspolczynniki79[[#All],[kategoria napis]:[elastyczność 2]],3,FALSE)</f>
        <v>2.0299999999999998</v>
      </c>
      <c r="J6" s="3">
        <f>VLOOKUP(5,Zadanie1_Zalacznik1_wspolczynniki79[[#All],[kategoria napis]:[elastyczność 2]],3,FALSE)</f>
        <v>1.01</v>
      </c>
      <c r="K6" s="3">
        <f>VLOOKUP(Zadanie1_Zalacznik1_projekty68[[#This Row],[Zarz_ryzykiem]],Zadanie1_Zalacznik1_wspolczynniki79[[#All],[Kategoria]:[Zarządzanie ryzykiem]],4,FALSE)</f>
        <v>5.65</v>
      </c>
      <c r="L6" s="3">
        <f>VLOOKUP(Zadanie1_Zalacznik1_projekty68[[#This Row],[Spoj_zespołu]],Zadanie1_Zalacznik1_wspolczynniki79[[#All],[Kategoria]:[Spójność zespołu]],5,FALSE)</f>
        <v>3.29</v>
      </c>
      <c r="M6" s="3">
        <f>$B$23+0.01*(Zadanie1_Zalacznik1_projekty68[[#This Row],[typowość - wartość]]+AVERAGE(Zadanie1_Zalacznik1_projekty68[[#This Row],[elastyczność1 - wartość]],Zadanie1_Zalacznik1_projekty68[[#This Row],[elastyczność 2 - wartość]])+Zadanie1_Zalacznik1_projekty68[[#This Row],[zarządzanie - wartość]]+Zadanie1_Zalacznik1_projekty68[[#This Row],[spójność wartość]])</f>
        <v>0.51940000000000008</v>
      </c>
      <c r="N6" s="3">
        <f>$A$23*POWER(Zadanie1_Zalacznik1_projekty68[[#This Row],[Minimalna_długość_kodu]],Zadanie1_Zalacznik1_projekty68[[#This Row],[E]])</f>
        <v>1131.8189759663287</v>
      </c>
      <c r="O6" s="3">
        <f>$A$23*POWER(Zadanie1_Zalacznik1_projekty68[[#This Row],[Maksymalna_długość_kodu]],Zadanie1_Zalacznik1_projekty68[[#This Row],[E]])</f>
        <v>1192.2108017861688</v>
      </c>
      <c r="P6" s="3">
        <f>AVERAGE(Zadanie1_Zalacznik1_projekty68[[#This Row],[K1]],Zadanie1_Zalacznik1_projekty68[[#This Row],[K2]])</f>
        <v>1162.0148888762487</v>
      </c>
      <c r="Q6" s="3">
        <f>ROUNDUP(Zadanie1_Zalacznik1_projekty68[[#This Row],[K ostateczne]]/(2.5*POWER(Zadanie1_Zalacznik1_projekty68[[#This Row],[K ostateczne]],'dane, 1, 2'!$C$23)),0)</f>
        <v>4</v>
      </c>
      <c r="R6" s="3">
        <f>Zadanie1_Zalacznik1_projekty68[[#This Row],[Nr_projektu]]</f>
        <v>5</v>
      </c>
      <c r="S6" s="6"/>
      <c r="T6" s="6"/>
    </row>
    <row r="7" spans="1:20" x14ac:dyDescent="0.3">
      <c r="A7">
        <v>6</v>
      </c>
      <c r="B7">
        <v>30000</v>
      </c>
      <c r="C7">
        <v>40000</v>
      </c>
      <c r="D7">
        <v>4</v>
      </c>
      <c r="E7" s="3" t="s">
        <v>24</v>
      </c>
      <c r="F7">
        <v>3</v>
      </c>
      <c r="G7">
        <v>2</v>
      </c>
      <c r="H7">
        <f>VLOOKUP(Zadanie1_Zalacznik1_projekty68[[#This Row],[Typowość]],Zadanie1_Zalacznik1_wspolczynniki79[[#All],[Kategoria]:[Typowość]],2,FALSE)</f>
        <v>2.48</v>
      </c>
      <c r="I7">
        <f>VLOOKUP(4,Zadanie1_Zalacznik1_wspolczynniki79[[#All],[kategoria napis]:[elastyczność 2]],3,FALSE)</f>
        <v>2.0299999999999998</v>
      </c>
      <c r="J7" s="3">
        <f>VLOOKUP(5,Zadanie1_Zalacznik1_wspolczynniki79[[#All],[kategoria napis]:[elastyczność 2]],3,FALSE)</f>
        <v>1.01</v>
      </c>
      <c r="K7" s="3">
        <f>VLOOKUP(Zadanie1_Zalacznik1_projekty68[[#This Row],[Zarz_ryzykiem]],Zadanie1_Zalacznik1_wspolczynniki79[[#All],[Kategoria]:[Zarządzanie ryzykiem]],4,FALSE)</f>
        <v>4.24</v>
      </c>
      <c r="L7" s="3">
        <f>VLOOKUP(Zadanie1_Zalacznik1_projekty68[[#This Row],[Spoj_zespołu]],Zadanie1_Zalacznik1_wspolczynniki79[[#All],[Kategoria]:[Spójność zespołu]],5,FALSE)</f>
        <v>4.38</v>
      </c>
      <c r="M7" s="3">
        <f>$B$23+0.01*(Zadanie1_Zalacznik1_projekty68[[#This Row],[typowość - wartość]]+AVERAGE(Zadanie1_Zalacznik1_projekty68[[#This Row],[elastyczność1 - wartość]],Zadanie1_Zalacznik1_projekty68[[#This Row],[elastyczność 2 - wartość]])+Zadanie1_Zalacznik1_projekty68[[#This Row],[zarządzanie - wartość]]+Zadanie1_Zalacznik1_projekty68[[#This Row],[spójność wartość]])</f>
        <v>0.51619999999999999</v>
      </c>
      <c r="N7" s="3">
        <f>$A$23*POWER(Zadanie1_Zalacznik1_projekty68[[#This Row],[Minimalna_długość_kodu]],Zadanie1_Zalacznik1_projekty68[[#This Row],[E]])</f>
        <v>601.77940710492078</v>
      </c>
      <c r="O7" s="3">
        <f>$A$23*POWER(Zadanie1_Zalacznik1_projekty68[[#This Row],[Maksymalna_długość_kodu]],Zadanie1_Zalacznik1_projekty68[[#This Row],[E]])</f>
        <v>698.12099329851117</v>
      </c>
      <c r="P7" s="3">
        <f>AVERAGE(Zadanie1_Zalacznik1_projekty68[[#This Row],[K1]],Zadanie1_Zalacznik1_projekty68[[#This Row],[K2]])</f>
        <v>649.95020020171592</v>
      </c>
      <c r="Q7" s="3">
        <f>ROUNDUP(Zadanie1_Zalacznik1_projekty68[[#This Row],[K ostateczne]]/(2.5*POWER(Zadanie1_Zalacznik1_projekty68[[#This Row],[K ostateczne]],'dane, 1, 2'!$C$23)),0)</f>
        <v>3</v>
      </c>
      <c r="R7" s="3">
        <f>Zadanie1_Zalacznik1_projekty68[[#This Row],[Nr_projektu]]</f>
        <v>6</v>
      </c>
      <c r="S7" s="6"/>
      <c r="T7" s="6"/>
    </row>
    <row r="8" spans="1:20" x14ac:dyDescent="0.3">
      <c r="A8">
        <v>7</v>
      </c>
      <c r="B8">
        <v>35000</v>
      </c>
      <c r="C8">
        <v>42000</v>
      </c>
      <c r="D8">
        <v>3</v>
      </c>
      <c r="E8" s="3" t="s">
        <v>25</v>
      </c>
      <c r="F8">
        <v>4</v>
      </c>
      <c r="G8">
        <v>1</v>
      </c>
      <c r="H8">
        <f>VLOOKUP(Zadanie1_Zalacznik1_projekty68[[#This Row],[Typowość]],Zadanie1_Zalacznik1_wspolczynniki79[[#All],[Kategoria]:[Typowość]],2,FALSE)</f>
        <v>3.72</v>
      </c>
      <c r="I8">
        <f>VLOOKUP(4,Zadanie1_Zalacznik1_wspolczynniki79[[#All],[kategoria napis]:[elastyczność 2]],3,FALSE)</f>
        <v>2.0299999999999998</v>
      </c>
      <c r="J8" s="3">
        <f>VLOOKUP(4,Zadanie1_Zalacznik1_wspolczynniki79[[#All],[kategoria napis]:[elastyczność 2]],3,FALSE)</f>
        <v>2.0299999999999998</v>
      </c>
      <c r="K8" s="3">
        <f>VLOOKUP(Zadanie1_Zalacznik1_projekty68[[#This Row],[Zarz_ryzykiem]],Zadanie1_Zalacznik1_wspolczynniki79[[#All],[Kategoria]:[Zarządzanie ryzykiem]],4,FALSE)</f>
        <v>2.83</v>
      </c>
      <c r="L8" s="3">
        <f>VLOOKUP(Zadanie1_Zalacznik1_projekty68[[#This Row],[Spoj_zespołu]],Zadanie1_Zalacznik1_wspolczynniki79[[#All],[Kategoria]:[Spójność zespołu]],5,FALSE)</f>
        <v>5.48</v>
      </c>
      <c r="M8" s="3">
        <f>$B$23+0.01*(Zadanie1_Zalacznik1_projekty68[[#This Row],[typowość - wartość]]+AVERAGE(Zadanie1_Zalacznik1_projekty68[[#This Row],[elastyczność1 - wartość]],Zadanie1_Zalacznik1_projekty68[[#This Row],[elastyczność 2 - wartość]])+Zadanie1_Zalacznik1_projekty68[[#This Row],[zarządzanie - wartość]]+Zadanie1_Zalacznik1_projekty68[[#This Row],[spójność wartość]])</f>
        <v>0.53059999999999996</v>
      </c>
      <c r="N8" s="3">
        <f>$A$23*POWER(Zadanie1_Zalacznik1_projekty68[[#This Row],[Minimalna_długość_kodu]],Zadanie1_Zalacznik1_projekty68[[#This Row],[E]])</f>
        <v>757.58232686252575</v>
      </c>
      <c r="O8" s="3">
        <f>$A$23*POWER(Zadanie1_Zalacznik1_projekty68[[#This Row],[Maksymalna_długość_kodu]],Zadanie1_Zalacznik1_projekty68[[#This Row],[E]])</f>
        <v>834.5327870957525</v>
      </c>
      <c r="P8" s="3">
        <f>AVERAGE(Zadanie1_Zalacznik1_projekty68[[#This Row],[K1]],Zadanie1_Zalacznik1_projekty68[[#This Row],[K2]])</f>
        <v>796.05755697913912</v>
      </c>
      <c r="Q8" s="3">
        <f>ROUNDUP(Zadanie1_Zalacznik1_projekty68[[#This Row],[K ostateczne]]/(2.5*POWER(Zadanie1_Zalacznik1_projekty68[[#This Row],[K ostateczne]],'dane, 1, 2'!$C$23)),0)</f>
        <v>3</v>
      </c>
      <c r="R8" s="3">
        <f>Zadanie1_Zalacznik1_projekty68[[#This Row],[Nr_projektu]]</f>
        <v>7</v>
      </c>
      <c r="S8" s="6" t="s">
        <v>55</v>
      </c>
      <c r="T8" s="7">
        <f>SUM(Q8:Q11)-12</f>
        <v>0</v>
      </c>
    </row>
    <row r="9" spans="1:20" x14ac:dyDescent="0.3">
      <c r="A9">
        <v>8</v>
      </c>
      <c r="B9">
        <v>85000</v>
      </c>
      <c r="C9">
        <v>88000</v>
      </c>
      <c r="D9">
        <v>1</v>
      </c>
      <c r="E9" s="3" t="s">
        <v>26</v>
      </c>
      <c r="F9">
        <v>4</v>
      </c>
      <c r="G9">
        <v>4</v>
      </c>
      <c r="H9">
        <f>VLOOKUP(Zadanie1_Zalacznik1_projekty68[[#This Row],[Typowość]],Zadanie1_Zalacznik1_wspolczynniki79[[#All],[Kategoria]:[Typowość]],2,FALSE)</f>
        <v>6.2</v>
      </c>
      <c r="I9">
        <f>VLOOKUP(5,Zadanie1_Zalacznik1_wspolczynniki79[[#All],[kategoria napis]:[elastyczność 2]],3,FALSE)</f>
        <v>1.01</v>
      </c>
      <c r="J9" s="3">
        <f>VLOOKUP(5,Zadanie1_Zalacznik1_wspolczynniki79[[#All],[kategoria napis]:[elastyczność 2]],3,FALSE)</f>
        <v>1.01</v>
      </c>
      <c r="K9" s="3">
        <f>VLOOKUP(Zadanie1_Zalacznik1_projekty68[[#This Row],[Zarz_ryzykiem]],Zadanie1_Zalacznik1_wspolczynniki79[[#All],[Kategoria]:[Zarządzanie ryzykiem]],4,FALSE)</f>
        <v>2.83</v>
      </c>
      <c r="L9" s="3">
        <f>VLOOKUP(Zadanie1_Zalacznik1_projekty68[[#This Row],[Spoj_zespołu]],Zadanie1_Zalacznik1_wspolczynniki79[[#All],[Kategoria]:[Spójność zespołu]],5,FALSE)</f>
        <v>2.19</v>
      </c>
      <c r="M9" s="3">
        <f>$B$23+0.01*(Zadanie1_Zalacznik1_projekty68[[#This Row],[typowość - wartość]]+AVERAGE(Zadanie1_Zalacznik1_projekty68[[#This Row],[elastyczność1 - wartość]],Zadanie1_Zalacznik1_projekty68[[#This Row],[elastyczność 2 - wartość]])+Zadanie1_Zalacznik1_projekty68[[#This Row],[zarządzanie - wartość]]+Zadanie1_Zalacznik1_projekty68[[#This Row],[spójność wartość]])</f>
        <v>0.51229999999999998</v>
      </c>
      <c r="N9" s="3">
        <f>$A$23*POWER(Zadanie1_Zalacznik1_projekty68[[#This Row],[Minimalna_długość_kodu]],Zadanie1_Zalacznik1_projekty68[[#This Row],[E]])</f>
        <v>985.57265657678079</v>
      </c>
      <c r="O9" s="3">
        <f>$A$23*POWER(Zadanie1_Zalacznik1_projekty68[[#This Row],[Maksymalna_długość_kodu]],Zadanie1_Zalacznik1_projekty68[[#This Row],[E]])</f>
        <v>1003.2422265313846</v>
      </c>
      <c r="P9" s="3">
        <f>AVERAGE(Zadanie1_Zalacznik1_projekty68[[#This Row],[K1]],Zadanie1_Zalacznik1_projekty68[[#This Row],[K2]])</f>
        <v>994.40744155408265</v>
      </c>
      <c r="Q9" s="3">
        <f>ROUNDUP(Zadanie1_Zalacznik1_projekty68[[#This Row],[K ostateczne]]/(2.5*POWER(Zadanie1_Zalacznik1_projekty68[[#This Row],[K ostateczne]],'dane, 1, 2'!$C$23)),0)</f>
        <v>3</v>
      </c>
      <c r="R9" s="3">
        <f>Zadanie1_Zalacznik1_projekty68[[#This Row],[Nr_projektu]]</f>
        <v>8</v>
      </c>
      <c r="S9" s="6"/>
      <c r="T9" s="7"/>
    </row>
    <row r="10" spans="1:20" x14ac:dyDescent="0.3">
      <c r="A10">
        <v>9</v>
      </c>
      <c r="B10">
        <v>100000</v>
      </c>
      <c r="C10">
        <v>110000</v>
      </c>
      <c r="D10">
        <v>5</v>
      </c>
      <c r="E10" s="3" t="s">
        <v>27</v>
      </c>
      <c r="F10">
        <v>2</v>
      </c>
      <c r="G10">
        <v>5</v>
      </c>
      <c r="H10">
        <f>VLOOKUP(Zadanie1_Zalacznik1_projekty68[[#This Row],[Typowość]],Zadanie1_Zalacznik1_wspolczynniki79[[#All],[Kategoria]:[Typowość]],2,FALSE)</f>
        <v>1.24</v>
      </c>
      <c r="I10">
        <f>VLOOKUP(3,Zadanie1_Zalacznik1_wspolczynniki79[[#All],[kategoria napis]:[elastyczność 2]],3,FALSE)</f>
        <v>3.04</v>
      </c>
      <c r="J10" s="3">
        <f>VLOOKUP(4,Zadanie1_Zalacznik1_wspolczynniki79[[#All],[kategoria napis]:[elastyczność 2]],3,FALSE)</f>
        <v>2.0299999999999998</v>
      </c>
      <c r="K10" s="3">
        <f>VLOOKUP(Zadanie1_Zalacznik1_projekty68[[#This Row],[Zarz_ryzykiem]],Zadanie1_Zalacznik1_wspolczynniki79[[#All],[Kategoria]:[Zarządzanie ryzykiem]],4,FALSE)</f>
        <v>5.65</v>
      </c>
      <c r="L10" s="3">
        <f>VLOOKUP(Zadanie1_Zalacznik1_projekty68[[#This Row],[Spoj_zespołu]],Zadanie1_Zalacznik1_wspolczynniki79[[#All],[Kategoria]:[Spójność zespołu]],5,FALSE)</f>
        <v>1.1000000000000001</v>
      </c>
      <c r="M10" s="3">
        <f>$B$23+0.01*(Zadanie1_Zalacznik1_projekty68[[#This Row],[typowość - wartość]]+AVERAGE(Zadanie1_Zalacznik1_projekty68[[#This Row],[elastyczność1 - wartość]],Zadanie1_Zalacznik1_projekty68[[#This Row],[elastyczność 2 - wartość]])+Zadanie1_Zalacznik1_projekty68[[#This Row],[zarządzanie - wartość]]+Zadanie1_Zalacznik1_projekty68[[#This Row],[spójność wartość]])</f>
        <v>0.49525000000000002</v>
      </c>
      <c r="N10" s="3">
        <f>$A$23*POWER(Zadanie1_Zalacznik1_projekty68[[#This Row],[Minimalna_długość_kodu]],Zadanie1_Zalacznik1_projekty68[[#This Row],[E]])</f>
        <v>880.23235982761923</v>
      </c>
      <c r="O10" s="3">
        <f>$A$23*POWER(Zadanie1_Zalacznik1_projekty68[[#This Row],[Maksymalna_długość_kodu]],Zadanie1_Zalacznik1_projekty68[[#This Row],[E]])</f>
        <v>922.77762986944208</v>
      </c>
      <c r="P10" s="3">
        <f>AVERAGE(Zadanie1_Zalacznik1_projekty68[[#This Row],[K1]],Zadanie1_Zalacznik1_projekty68[[#This Row],[K2]])</f>
        <v>901.50499484853071</v>
      </c>
      <c r="Q10" s="3">
        <f>ROUNDUP(Zadanie1_Zalacznik1_projekty68[[#This Row],[K ostateczne]]/(2.5*POWER(Zadanie1_Zalacznik1_projekty68[[#This Row],[K ostateczne]],'dane, 1, 2'!$C$23)),0)</f>
        <v>3</v>
      </c>
      <c r="R10" s="3">
        <f>Zadanie1_Zalacznik1_projekty68[[#This Row],[Nr_projektu]]</f>
        <v>9</v>
      </c>
      <c r="S10" s="6"/>
      <c r="T10" s="7"/>
    </row>
    <row r="11" spans="1:20" x14ac:dyDescent="0.3">
      <c r="A11">
        <v>10</v>
      </c>
      <c r="B11">
        <v>75000</v>
      </c>
      <c r="C11">
        <v>90000</v>
      </c>
      <c r="D11">
        <v>4</v>
      </c>
      <c r="E11" s="3" t="s">
        <v>24</v>
      </c>
      <c r="F11">
        <v>5</v>
      </c>
      <c r="G11">
        <v>1</v>
      </c>
      <c r="H11">
        <f>VLOOKUP(Zadanie1_Zalacznik1_projekty68[[#This Row],[Typowość]],Zadanie1_Zalacznik1_wspolczynniki79[[#All],[Kategoria]:[Typowość]],2,FALSE)</f>
        <v>2.48</v>
      </c>
      <c r="I11">
        <f>VLOOKUP(4,Zadanie1_Zalacznik1_wspolczynniki79[[#All],[kategoria napis]:[elastyczność 2]],3,FALSE)</f>
        <v>2.0299999999999998</v>
      </c>
      <c r="J11" s="3">
        <f>VLOOKUP(5,Zadanie1_Zalacznik1_wspolczynniki79[[#All],[kategoria napis]:[elastyczność 2]],3,FALSE)</f>
        <v>1.01</v>
      </c>
      <c r="K11" s="3">
        <f>VLOOKUP(Zadanie1_Zalacznik1_projekty68[[#This Row],[Zarz_ryzykiem]],Zadanie1_Zalacznik1_wspolczynniki79[[#All],[Kategoria]:[Zarządzanie ryzykiem]],4,FALSE)</f>
        <v>1.41</v>
      </c>
      <c r="L11" s="3">
        <f>VLOOKUP(Zadanie1_Zalacznik1_projekty68[[#This Row],[Spoj_zespołu]],Zadanie1_Zalacznik1_wspolczynniki79[[#All],[Kategoria]:[Spójność zespołu]],5,FALSE)</f>
        <v>5.48</v>
      </c>
      <c r="M11" s="3">
        <f>$B$23+0.01*(Zadanie1_Zalacznik1_projekty68[[#This Row],[typowość - wartość]]+AVERAGE(Zadanie1_Zalacznik1_projekty68[[#This Row],[elastyczność1 - wartość]],Zadanie1_Zalacznik1_projekty68[[#This Row],[elastyczność 2 - wartość]])+Zadanie1_Zalacznik1_projekty68[[#This Row],[zarządzanie - wartość]]+Zadanie1_Zalacznik1_projekty68[[#This Row],[spójność wartość]])</f>
        <v>0.49890000000000001</v>
      </c>
      <c r="N11" s="3">
        <f>$A$23*POWER(Zadanie1_Zalacznik1_projekty68[[#This Row],[Minimalna_długość_kodu]],Zadanie1_Zalacznik1_projekty68[[#This Row],[E]])</f>
        <v>795.27145553702644</v>
      </c>
      <c r="O11" s="3">
        <f>$A$23*POWER(Zadanie1_Zalacznik1_projekty68[[#This Row],[Maksymalna_długość_kodu]],Zadanie1_Zalacznik1_projekty68[[#This Row],[E]])</f>
        <v>871.00153096679469</v>
      </c>
      <c r="P11" s="3">
        <f>AVERAGE(Zadanie1_Zalacznik1_projekty68[[#This Row],[K1]],Zadanie1_Zalacznik1_projekty68[[#This Row],[K2]])</f>
        <v>833.13649325191057</v>
      </c>
      <c r="Q11" s="3">
        <f>ROUNDUP(Zadanie1_Zalacznik1_projekty68[[#This Row],[K ostateczne]]/(2.5*POWER(Zadanie1_Zalacznik1_projekty68[[#This Row],[K ostateczne]],'dane, 1, 2'!$C$23)),0)</f>
        <v>3</v>
      </c>
      <c r="R11" s="3">
        <f>Zadanie1_Zalacznik1_projekty68[[#This Row],[Nr_projektu]]</f>
        <v>10</v>
      </c>
      <c r="S11" s="6"/>
      <c r="T11" s="7"/>
    </row>
    <row r="14" spans="1:20" x14ac:dyDescent="0.3">
      <c r="A14" t="s">
        <v>28</v>
      </c>
      <c r="B14" t="s">
        <v>17</v>
      </c>
      <c r="C14" t="s">
        <v>18</v>
      </c>
      <c r="D14" t="s">
        <v>29</v>
      </c>
      <c r="E14" t="s">
        <v>30</v>
      </c>
      <c r="F14" t="s">
        <v>37</v>
      </c>
      <c r="G14" t="s">
        <v>38</v>
      </c>
      <c r="H14" t="s">
        <v>39</v>
      </c>
      <c r="I14" t="s">
        <v>40</v>
      </c>
      <c r="J14" t="s">
        <v>41</v>
      </c>
    </row>
    <row r="15" spans="1:20" x14ac:dyDescent="0.3">
      <c r="A15">
        <v>1</v>
      </c>
      <c r="B15">
        <v>6.2</v>
      </c>
      <c r="C15">
        <v>5.07</v>
      </c>
      <c r="D15">
        <v>7.07</v>
      </c>
      <c r="E15">
        <v>5.48</v>
      </c>
      <c r="F15" s="5">
        <f>Zadanie1_Zalacznik1_wspolczynniki79[[#This Row],[Kategoria]]</f>
        <v>1</v>
      </c>
      <c r="G15">
        <f>Zadanie1_Zalacznik1_wspolczynniki79[[#This Row],[Typowość]]</f>
        <v>6.2</v>
      </c>
      <c r="H15">
        <f>Zadanie1_Zalacznik1_wspolczynniki79[[#This Row],[Elastyczność]]</f>
        <v>5.07</v>
      </c>
      <c r="I15">
        <f>Zadanie1_Zalacznik1_wspolczynniki79[[#This Row],[Zarządzanie ryzykiem]]</f>
        <v>7.07</v>
      </c>
      <c r="J15" s="3">
        <f>Zadanie1_Zalacznik1_wspolczynniki79[[#This Row],[Spójność zespołu]]</f>
        <v>5.48</v>
      </c>
    </row>
    <row r="16" spans="1:20" x14ac:dyDescent="0.3">
      <c r="A16">
        <v>2</v>
      </c>
      <c r="B16">
        <v>4.96</v>
      </c>
      <c r="C16">
        <v>4.05</v>
      </c>
      <c r="D16">
        <v>5.65</v>
      </c>
      <c r="E16">
        <v>4.38</v>
      </c>
      <c r="F16" s="5">
        <f>Zadanie1_Zalacznik1_wspolczynniki79[[#This Row],[Kategoria]]</f>
        <v>2</v>
      </c>
      <c r="G16">
        <f>Zadanie1_Zalacznik1_wspolczynniki79[[#This Row],[Typowość]]</f>
        <v>4.96</v>
      </c>
      <c r="H16">
        <f>Zadanie1_Zalacznik1_wspolczynniki79[[#This Row],[Elastyczność]]</f>
        <v>4.05</v>
      </c>
      <c r="I16">
        <f>Zadanie1_Zalacznik1_wspolczynniki79[[#This Row],[Zarządzanie ryzykiem]]</f>
        <v>5.65</v>
      </c>
      <c r="J16" s="3">
        <f>Zadanie1_Zalacznik1_wspolczynniki79[[#This Row],[Spójność zespołu]]</f>
        <v>4.38</v>
      </c>
    </row>
    <row r="17" spans="1:10" x14ac:dyDescent="0.3">
      <c r="A17">
        <v>3</v>
      </c>
      <c r="B17">
        <v>3.72</v>
      </c>
      <c r="C17">
        <v>3.04</v>
      </c>
      <c r="D17">
        <v>4.24</v>
      </c>
      <c r="E17">
        <v>3.29</v>
      </c>
      <c r="F17" s="5">
        <f>Zadanie1_Zalacznik1_wspolczynniki79[[#This Row],[Kategoria]]</f>
        <v>3</v>
      </c>
      <c r="G17">
        <f>Zadanie1_Zalacznik1_wspolczynniki79[[#This Row],[Typowość]]</f>
        <v>3.72</v>
      </c>
      <c r="H17">
        <f>Zadanie1_Zalacznik1_wspolczynniki79[[#This Row],[Elastyczność]]</f>
        <v>3.04</v>
      </c>
      <c r="I17">
        <f>Zadanie1_Zalacznik1_wspolczynniki79[[#This Row],[Zarządzanie ryzykiem]]</f>
        <v>4.24</v>
      </c>
      <c r="J17" s="3">
        <f>Zadanie1_Zalacznik1_wspolczynniki79[[#This Row],[Spójność zespołu]]</f>
        <v>3.29</v>
      </c>
    </row>
    <row r="18" spans="1:10" x14ac:dyDescent="0.3">
      <c r="A18">
        <v>4</v>
      </c>
      <c r="B18">
        <v>2.48</v>
      </c>
      <c r="C18">
        <v>2.0299999999999998</v>
      </c>
      <c r="D18">
        <v>2.83</v>
      </c>
      <c r="E18">
        <v>2.19</v>
      </c>
      <c r="F18" s="5">
        <f>Zadanie1_Zalacznik1_wspolczynniki79[[#This Row],[Kategoria]]</f>
        <v>4</v>
      </c>
      <c r="G18">
        <f>Zadanie1_Zalacznik1_wspolczynniki79[[#This Row],[Typowość]]</f>
        <v>2.48</v>
      </c>
      <c r="H18">
        <f>Zadanie1_Zalacznik1_wspolczynniki79[[#This Row],[Elastyczność]]</f>
        <v>2.0299999999999998</v>
      </c>
      <c r="I18">
        <f>Zadanie1_Zalacznik1_wspolczynniki79[[#This Row],[Zarządzanie ryzykiem]]</f>
        <v>2.83</v>
      </c>
      <c r="J18" s="3">
        <f>Zadanie1_Zalacznik1_wspolczynniki79[[#This Row],[Spójność zespołu]]</f>
        <v>2.19</v>
      </c>
    </row>
    <row r="19" spans="1:10" x14ac:dyDescent="0.3">
      <c r="A19">
        <v>5</v>
      </c>
      <c r="B19">
        <v>1.24</v>
      </c>
      <c r="C19">
        <v>1.01</v>
      </c>
      <c r="D19">
        <v>1.41</v>
      </c>
      <c r="E19">
        <v>1.1000000000000001</v>
      </c>
      <c r="F19" s="5">
        <f>Zadanie1_Zalacznik1_wspolczynniki79[[#This Row],[Kategoria]]</f>
        <v>5</v>
      </c>
      <c r="G19">
        <f>Zadanie1_Zalacznik1_wspolczynniki79[[#This Row],[Typowość]]</f>
        <v>1.24</v>
      </c>
      <c r="H19">
        <f>Zadanie1_Zalacznik1_wspolczynniki79[[#This Row],[Elastyczność]]</f>
        <v>1.01</v>
      </c>
      <c r="I19">
        <f>Zadanie1_Zalacznik1_wspolczynniki79[[#This Row],[Zarządzanie ryzykiem]]</f>
        <v>1.41</v>
      </c>
      <c r="J19" s="3">
        <f>Zadanie1_Zalacznik1_wspolczynniki79[[#This Row],[Spójność zespołu]]</f>
        <v>1.1000000000000001</v>
      </c>
    </row>
    <row r="21" spans="1:10" x14ac:dyDescent="0.3">
      <c r="A21" s="6" t="s">
        <v>31</v>
      </c>
      <c r="B21" s="6"/>
      <c r="C21" s="6"/>
    </row>
    <row r="22" spans="1:10" x14ac:dyDescent="0.3">
      <c r="A22" s="4" t="s">
        <v>32</v>
      </c>
      <c r="B22" s="4" t="s">
        <v>33</v>
      </c>
      <c r="C22" s="4" t="s">
        <v>34</v>
      </c>
    </row>
    <row r="23" spans="1:10" x14ac:dyDescent="0.3">
      <c r="A23">
        <v>2.94</v>
      </c>
      <c r="B23">
        <v>0.39</v>
      </c>
      <c r="C23">
        <v>0.71</v>
      </c>
    </row>
  </sheetData>
  <mergeCells count="7">
    <mergeCell ref="A21:C21"/>
    <mergeCell ref="S2:S4"/>
    <mergeCell ref="T2:T4"/>
    <mergeCell ref="S5:S7"/>
    <mergeCell ref="T5:T7"/>
    <mergeCell ref="S8:S11"/>
    <mergeCell ref="T8:T11"/>
  </mergeCell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97966-BA67-4B16-9DA9-C769F704CE68}">
  <dimension ref="A1:B11"/>
  <sheetViews>
    <sheetView zoomScale="115" zoomScaleNormal="115" workbookViewId="0">
      <selection activeCell="B2" sqref="B2"/>
    </sheetView>
  </sheetViews>
  <sheetFormatPr defaultRowHeight="25.8" x14ac:dyDescent="0.5"/>
  <cols>
    <col min="1" max="1" width="46.6640625" style="1" bestFit="1" customWidth="1"/>
    <col min="2" max="2" width="74.6640625" style="1" bestFit="1" customWidth="1"/>
    <col min="3" max="16384" width="8.88671875" style="1"/>
  </cols>
  <sheetData>
    <row r="1" spans="1:2" x14ac:dyDescent="0.5">
      <c r="A1" s="1" t="s">
        <v>0</v>
      </c>
      <c r="B1" s="1" t="s">
        <v>10</v>
      </c>
    </row>
    <row r="2" spans="1:2" x14ac:dyDescent="0.5">
      <c r="A2" s="1" t="s">
        <v>1</v>
      </c>
      <c r="B2" s="1" t="s">
        <v>11</v>
      </c>
    </row>
    <row r="4" spans="1:2" x14ac:dyDescent="0.5">
      <c r="A4" s="2" t="s">
        <v>2</v>
      </c>
      <c r="B4" s="2" t="s">
        <v>12</v>
      </c>
    </row>
    <row r="5" spans="1:2" x14ac:dyDescent="0.5">
      <c r="A5" s="2" t="s">
        <v>3</v>
      </c>
      <c r="B5" s="2" t="s">
        <v>13</v>
      </c>
    </row>
    <row r="6" spans="1:2" x14ac:dyDescent="0.5">
      <c r="A6" s="1" t="s">
        <v>4</v>
      </c>
    </row>
    <row r="7" spans="1:2" x14ac:dyDescent="0.5">
      <c r="A7" s="2" t="s">
        <v>5</v>
      </c>
    </row>
    <row r="8" spans="1:2" x14ac:dyDescent="0.5">
      <c r="A8" s="2" t="s">
        <v>6</v>
      </c>
    </row>
    <row r="9" spans="1:2" x14ac:dyDescent="0.5">
      <c r="A9" s="2" t="s">
        <v>7</v>
      </c>
    </row>
    <row r="10" spans="1:2" x14ac:dyDescent="0.5">
      <c r="A10" s="2" t="s">
        <v>8</v>
      </c>
    </row>
    <row r="11" spans="1:2" x14ac:dyDescent="0.5">
      <c r="A11" s="2" t="s">
        <v>9</v>
      </c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A F A A B Q S w M E F A A C A A g A N I d b U j w Q F S K m A A A A + Q A A A B I A H A B D b 2 5 m a W c v U G F j a 2 F n Z S 5 4 b W w g o h g A K K A U A A A A A A A A A A A A A A A A A A A A A A A A A A A A h Y + 9 D o I w G E V f h X S n f 0 S j 5 q M M r p C Q m B j X p l R o h E K g W N 7 N w U f y F S R R 1 M 3 x n p z h 3 M f t D s n U 1 M F V 9 4 N p b Y w Y p i j Q V r W F s W W M R n c O N y g R k E t 1 k a U O Z t k O u 2 k o Y l Q 5 1 + 0 I 8 d 5 j H + G 2 L w m n l J F T l h 5 U p R u J P r L 5 L 4 f G D k 5 a p Z G A 4 y t G c L x m e M W 2 H L O I M i A L h 8 z Y r 8 P n Z E y B / E D Y j 7 U b e y 2 6 O s x T I M s E 8 r 4 h n l B L A w Q U A A I A C A A 0 h 1 t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I d b U k 6 P w D o 4 A g A A N R U A A B M A H A B G b 3 J t d W x h c y 9 T Z W N 0 a W 9 u M S 5 t I K I Y A C i g F A A A A A A A A A A A A A A A A A A A A A A A A A A A A O 2 W X 2 / T M B D A n 6 n U 7 2 B l L 6 m U V X R s I I H y M L V D T L B 2 0 P K S B V V e c h Q 3 i S + y n X V O t Z d J i A / B x + g T E m 9 d v x d u u 9 H u j 7 Z J T C q w 5 C W 2 7 3 y + O / 9 0 Z w m B Y s h J e / 6 v v S q X y i X 5 h Q o I y Z r l 0 Z B y B r V 1 j 8 Y 0 y D m L a u u p w D 5 E S l v E J T G o c o m Y b / J D j E f h 5 B T N Y l 0 e V R s Y Z A l w Z b 9 m M V T r y J W Z S N u q v / Q / S h D S Z z 0 U f b 8 B M l K Y + l 6 j 9 a 6 5 S z y y 3 9 p r f f C 2 / Z p / 2 9 F V d a y s i n P Q g J g l T I F w r S e W Q + o Y Z w m X 7 g u H 7 P A A Q 8 Z 7 b m 1 j 6 6 l D 3 m e o o K 1 0 D O 5 i W G 0 i h 0 8 V Z x 7 B m t W k v c n p e D S I G E G S Y j j Q k 5 8 y R 6 4 T M 8 s Z J g y m M X f o o d m 7 L z A x h t 4 A D U 0 4 9 u / 4 H X J w L t q O 4 3 Z g f B f S V S J b P s g z l r h J N h K l 0 4 X J j q B c f k a R z O P o 6 B S k f T + 3 n O H Q a o r u e X 4 y k 4 t d r p 5 v V q c 2 T h w y t P Y Y Z w m N O e 0 a J 7 M e T r 6 f f e t G G N 6 k S i O p 7 6 l r B j i Y K V y X 7 c R U K m 1 u 7 k J u g g W i 4 F j N x B 4 V e V f o X E c M k u u 7 2 y n 2 u z n I F I 0 P l 8 U n l X K J 8 Z u T e T e + A 2 M y D n L N z Y y t g O F L 5 9 8 B 8 t a j B P k t V W A y y + g d v M 1 4 4 l l y C O I W 4 J Y U p s i d f Q 3 z 6 Z 2 Q J f S u 6 r X T 8 a g / t 0 K W E F x W e 0 A G i b 1 R K T g s O F w B h x f 9 d E U I F u 2 8 a O c P 2 s 6 J / a w o p X 8 j z I + p l K 4 E w a K U F q X 0 T 0 v p A u H N A u E C 4 X 8 R 4 S u v g Z V w X L w G / v v X w C 9 Q S w E C L Q A U A A I A C A A 0 h 1 t S P B A V I q Y A A A D 5 A A A A E g A A A A A A A A A A A A A A A A A A A A A A Q 2 9 u Z m l n L 1 B h Y 2 t h Z 2 U u e G 1 s U E s B A i 0 A F A A C A A g A N I d b U g / K 6 a u k A A A A 6 Q A A A B M A A A A A A A A A A A A A A A A A 8 g A A A F t D b 2 5 0 Z W 5 0 X 1 R 5 c G V z X S 5 4 b W x Q S w E C L Q A U A A I A C A A 0 h 1 t S T o / A O j g C A A A 1 F Q A A E w A A A A A A A A A A A A A A A A D j A Q A A R m 9 y b X V s Y X M v U 2 V j d G l v b j E u b V B L B Q Y A A A A A A w A D A M I A A A B o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2 Z A A A A A A A A B R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F k Y W 5 p Z T E t W m F s Y W N 6 b m l r M S 1 w c m 9 q Z W t 0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2 R h b m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W m F k Y W 5 p Z T F f W m F s Y W N 6 b m l r M V 9 w c m 9 q Z W t 0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y N 1 Q x N T o x M D o z M S 4 2 M D A 3 M z I 3 W i I g L z 4 8 R W 5 0 c n k g V H l w Z T 0 i R m l s b E N v b H V t b l R 5 c G V z I i B W Y W x 1 Z T 0 i c 0 F 3 T U R B d 1 l E Q X c 9 P S I g L z 4 8 R W 5 0 c n k g V H l w Z T 0 i R m l s b E N v b H V t b k 5 h b W V z I i B W Y W x 1 Z T 0 i c 1 s m c X V v d D t O c l 9 w c m 9 q Z W t 0 d S Z x d W 9 0 O y w m c X V v d D t N a W 5 p b W F s b m F f Z M W C d W d v x Z v E h 1 9 r b 2 R 1 J n F 1 b 3 Q 7 L C Z x d W 9 0 O 0 1 h a 3 N 5 b W F s b m F f Z M W C d W d v x Z v E h 1 9 r b 2 R 1 J n F 1 b 3 Q 7 L C Z x d W 9 0 O 1 R 5 c G 9 3 b 8 W b x I c m c X V v d D s s J n F 1 b 3 Q 7 R W x h c 3 R 5 Y 3 p u b 8 W b x I c m c X V v d D s s J n F 1 b 3 Q 7 W m F y e l 9 y e X p 5 a 2 l l b S Z x d W 9 0 O y w m c X V v d D t T c G 9 q X 3 p l c 3 B v x Y J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W m F k Y W 5 p Z T E t W m F s Y W N 6 b m l r M S 1 w c m 9 q Z W t 0 e S 9 a b W l l b m l v b m 8 g d H l w L n t O c l 9 w c m 9 q Z W t 0 d S w w f S Z x d W 9 0 O y w m c X V v d D t T Z W N 0 a W 9 u M S 9 a Y W R h b m l l M S 1 a Y W x h Y 3 p u a W s x L X B y b 2 p l a 3 R 5 L 1 p t a W V u a W 9 u b y B 0 e X A u e 0 1 p b m l t Y W x u Y V 9 k x Y J 1 Z 2 / F m 8 S H X 2 t v Z H U s M X 0 m c X V v d D s s J n F 1 b 3 Q 7 U 2 V j d G l v b j E v W m F k Y W 5 p Z T E t W m F s Y W N 6 b m l r M S 1 w c m 9 q Z W t 0 e S 9 a b W l l b m l v b m 8 g d H l w L n t N Y W t z e W 1 h b G 5 h X 2 T F g n V n b 8 W b x I d f a 2 9 k d S w y f S Z x d W 9 0 O y w m c X V v d D t T Z W N 0 a W 9 u M S 9 a Y W R h b m l l M S 1 a Y W x h Y 3 p u a W s x L X B y b 2 p l a 3 R 5 L 1 p t a W V u a W 9 u b y B 0 e X A u e 1 R 5 c G 9 3 b 8 W b x I c s M 3 0 m c X V v d D s s J n F 1 b 3 Q 7 U 2 V j d G l v b j E v W m F k Y W 5 p Z T E t W m F s Y W N 6 b m l r M S 1 w c m 9 q Z W t 0 e S 9 a b W l l b m l v b m 8 g d H l w L n t F b G F z d H l j e m 5 v x Z v E h y w 0 f S Z x d W 9 0 O y w m c X V v d D t T Z W N 0 a W 9 u M S 9 a Y W R h b m l l M S 1 a Y W x h Y 3 p u a W s x L X B y b 2 p l a 3 R 5 L 1 p t a W V u a W 9 u b y B 0 e X A u e 1 p h c n p f c n l 6 e W t p Z W 0 s N X 0 m c X V v d D s s J n F 1 b 3 Q 7 U 2 V j d G l v b j E v W m F k Y W 5 p Z T E t W m F s Y W N 6 b m l r M S 1 w c m 9 q Z W t 0 e S 9 a b W l l b m l v b m 8 g d H l w L n t T c G 9 q X 3 p l c 3 B v x Y J 1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p h Z G F u a W U x L V p h b G F j e m 5 p a z E t c H J v a m V r d H k v W m 1 p Z W 5 p b 2 5 v I H R 5 c C 5 7 T n J f c H J v a m V r d H U s M H 0 m c X V v d D s s J n F 1 b 3 Q 7 U 2 V j d G l v b j E v W m F k Y W 5 p Z T E t W m F s Y W N 6 b m l r M S 1 w c m 9 q Z W t 0 e S 9 a b W l l b m l v b m 8 g d H l w L n t N a W 5 p b W F s b m F f Z M W C d W d v x Z v E h 1 9 r b 2 R 1 L D F 9 J n F 1 b 3 Q 7 L C Z x d W 9 0 O 1 N l Y 3 R p b 2 4 x L 1 p h Z G F u a W U x L V p h b G F j e m 5 p a z E t c H J v a m V r d H k v W m 1 p Z W 5 p b 2 5 v I H R 5 c C 5 7 T W F r c 3 l t Y W x u Y V 9 k x Y J 1 Z 2 / F m 8 S H X 2 t v Z H U s M n 0 m c X V v d D s s J n F 1 b 3 Q 7 U 2 V j d G l v b j E v W m F k Y W 5 p Z T E t W m F s Y W N 6 b m l r M S 1 w c m 9 q Z W t 0 e S 9 a b W l l b m l v b m 8 g d H l w L n t U e X B v d 2 / F m 8 S H L D N 9 J n F 1 b 3 Q 7 L C Z x d W 9 0 O 1 N l Y 3 R p b 2 4 x L 1 p h Z G F u a W U x L V p h b G F j e m 5 p a z E t c H J v a m V r d H k v W m 1 p Z W 5 p b 2 5 v I H R 5 c C 5 7 R W x h c 3 R 5 Y 3 p u b 8 W b x I c s N H 0 m c X V v d D s s J n F 1 b 3 Q 7 U 2 V j d G l v b j E v W m F k Y W 5 p Z T E t W m F s Y W N 6 b m l r M S 1 w c m 9 q Z W t 0 e S 9 a b W l l b m l v b m 8 g d H l w L n t a Y X J 6 X 3 J 5 e n l r a W V t L D V 9 J n F 1 b 3 Q 7 L C Z x d W 9 0 O 1 N l Y 3 R p b 2 4 x L 1 p h Z G F u a W U x L V p h b G F j e m 5 p a z E t c H J v a m V r d H k v W m 1 p Z W 5 p b 2 5 v I H R 5 c C 5 7 U 3 B v a l 9 6 Z X N w b 8 W C d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W m F k Y W 5 p Z T E t W m F s Y W N 6 b m l r M S 1 w c m 9 q Z W t 0 e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Y W R h b m l l M S 1 a Y W x h Y 3 p u a W s x L X B y b 2 p l a 3 R 5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F k Y W 5 p Z T E t W m F s Y W N 6 b m l r M S 1 w c m 9 q Z W t 0 e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Y W R h b m l l M S 1 a Y W x h Y 3 p u a W s x L X d z c G 9 s Y 3 p 5 b m 5 p a 2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k Y W 5 l I i A v P j x F b n R y e S B U e X B l P S J S Z W N v d m V y e V R h c m d l d E N v b H V t b i I g V m F s d W U 9 I m w x I i A v P j x F b n R y e S B U e X B l P S J S Z W N v d m V y e V R h c m d l d F J v d y I g V m F s d W U 9 I m w x N C I g L z 4 8 R W 5 0 c n k g V H l w Z T 0 i R m l s b F R h c m d l d C I g V m F s d W U 9 I n N a Y W R h b m l l M V 9 a Y W x h Y 3 p u a W s x X 3 d z c G 9 s Y 3 p 5 b m 5 p a 2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y N 1 Q x N T o x M D o 1 M i 4 2 O T Q y O D I z W i I g L z 4 8 R W 5 0 c n k g V H l w Z T 0 i R m l s b E N v b H V t b l R 5 c G V z I i B W Y W x 1 Z T 0 i c 0 F 3 V U Z C U V U 9 I i A v P j x F b n R y e S B U e X B l P S J G a W x s Q 2 9 s d W 1 u T m F t Z X M i I F Z h b H V l P S J z W y Z x d W 9 0 O 0 t h d G V n b 3 J p Y S Z x d W 9 0 O y w m c X V v d D t U e X B v d 2 / F m 8 S H J n F 1 b 3 Q 7 L C Z x d W 9 0 O 0 V s Y X N 0 e W N 6 b m / F m 8 S H J n F 1 b 3 Q 7 L C Z x d W 9 0 O 1 p h c n r E h W R 6 Y W 5 p Z S B y e X p 5 a 2 l l b S Z x d W 9 0 O y w m c X V v d D t T c M O z a m 5 v x Z v E h y B 6 Z X N w b 8 W C d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p h Z G F u a W U x L V p h b G F j e m 5 p a z E t d 3 N w b 2 x j e n l u b m l r a S 9 a b W l l b m l v b m 8 g d H l w L n t L Y X R l Z 2 9 y a W E s M H 0 m c X V v d D s s J n F 1 b 3 Q 7 U 2 V j d G l v b j E v W m F k Y W 5 p Z T E t W m F s Y W N 6 b m l r M S 1 3 c 3 B v b G N 6 e W 5 u a W t p L 1 p t a W V u a W 9 u b y B 0 e X A u e 1 R 5 c G 9 3 b 8 W b x I c s M X 0 m c X V v d D s s J n F 1 b 3 Q 7 U 2 V j d G l v b j E v W m F k Y W 5 p Z T E t W m F s Y W N 6 b m l r M S 1 3 c 3 B v b G N 6 e W 5 u a W t p L 1 p t a W V u a W 9 u b y B 0 e X A u e 0 V s Y X N 0 e W N 6 b m / F m 8 S H L D J 9 J n F 1 b 3 Q 7 L C Z x d W 9 0 O 1 N l Y 3 R p b 2 4 x L 1 p h Z G F u a W U x L V p h b G F j e m 5 p a z E t d 3 N w b 2 x j e n l u b m l r a S 9 a b W l l b m l v b m 8 g d H l w L n t a Y X J 6 x I V k e m F u a W U g c n l 6 e W t p Z W 0 s M 3 0 m c X V v d D s s J n F 1 b 3 Q 7 U 2 V j d G l v b j E v W m F k Y W 5 p Z T E t W m F s Y W N 6 b m l r M S 1 3 c 3 B v b G N 6 e W 5 u a W t p L 1 p t a W V u a W 9 u b y B 0 e X A u e 1 N w w 7 N q b m / F m 8 S H I H p l c 3 B v x Y J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p h Z G F u a W U x L V p h b G F j e m 5 p a z E t d 3 N w b 2 x j e n l u b m l r a S 9 a b W l l b m l v b m 8 g d H l w L n t L Y X R l Z 2 9 y a W E s M H 0 m c X V v d D s s J n F 1 b 3 Q 7 U 2 V j d G l v b j E v W m F k Y W 5 p Z T E t W m F s Y W N 6 b m l r M S 1 3 c 3 B v b G N 6 e W 5 u a W t p L 1 p t a W V u a W 9 u b y B 0 e X A u e 1 R 5 c G 9 3 b 8 W b x I c s M X 0 m c X V v d D s s J n F 1 b 3 Q 7 U 2 V j d G l v b j E v W m F k Y W 5 p Z T E t W m F s Y W N 6 b m l r M S 1 3 c 3 B v b G N 6 e W 5 u a W t p L 1 p t a W V u a W 9 u b y B 0 e X A u e 0 V s Y X N 0 e W N 6 b m / F m 8 S H L D J 9 J n F 1 b 3 Q 7 L C Z x d W 9 0 O 1 N l Y 3 R p b 2 4 x L 1 p h Z G F u a W U x L V p h b G F j e m 5 p a z E t d 3 N w b 2 x j e n l u b m l r a S 9 a b W l l b m l v b m 8 g d H l w L n t a Y X J 6 x I V k e m F u a W U g c n l 6 e W t p Z W 0 s M 3 0 m c X V v d D s s J n F 1 b 3 Q 7 U 2 V j d G l v b j E v W m F k Y W 5 p Z T E t W m F s Y W N 6 b m l r M S 1 3 c 3 B v b G N 6 e W 5 u a W t p L 1 p t a W V u a W 9 u b y B 0 e X A u e 1 N w w 7 N q b m / F m 8 S H I H p l c 3 B v x Y J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a Y W R h b m l l M S 1 a Y W x h Y 3 p u a W s x L X d z c G 9 s Y 3 p 5 b m 5 p a 2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F k Y W 5 p Z T E t W m F s Y W N 6 b m l r M S 1 3 c 3 B v b G N 6 e W 5 u a W t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F k Y W 5 p Z T E t W m F s Y W N 6 b m l r M S 1 3 c 3 B v b G N 6 e W 5 u a W t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h Z G F u a W U x L V p h b G F j e m 5 p a z E t d 3 N w b 2 x j e n l u b m l r a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N o Z W V 0 I i B W Y W x 1 Z T 0 i c 2 R h b m U i I C 8 + P E V u d H J 5 I F R 5 c G U 9 I l J l Y 2 9 2 Z X J 5 V G F y Z 2 V 0 Q 2 9 s d W 1 u I i B W Y W x 1 Z T 0 i b D E i I C 8 + P E V u d H J 5 I F R 5 c G U 9 I l J l Y 2 9 2 Z X J 5 V G F y Z 2 V 0 U m 9 3 I i B W Y W x 1 Z T 0 i b D E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y N 1 Q x N T o x M D o 1 M i 4 2 O T Q y O D I z W i I g L z 4 8 R W 5 0 c n k g V H l w Z T 0 i R m l s b E N v b H V t b l R 5 c G V z I i B W Y W x 1 Z T 0 i c 0 F 3 V U Z C U V U 9 I i A v P j x F b n R y e S B U e X B l P S J G a W x s Q 2 9 s d W 1 u T m F t Z X M i I F Z h b H V l P S J z W y Z x d W 9 0 O 0 t h d G V n b 3 J p Y S Z x d W 9 0 O y w m c X V v d D t U e X B v d 2 / F m 8 S H J n F 1 b 3 Q 7 L C Z x d W 9 0 O 0 V s Y X N 0 e W N 6 b m / F m 8 S H J n F 1 b 3 Q 7 L C Z x d W 9 0 O 1 p h c n r E h W R 6 Y W 5 p Z S B y e X p 5 a 2 l l b S Z x d W 9 0 O y w m c X V v d D t T c M O z a m 5 v x Z v E h y B 6 Z X N w b 8 W C d S Z x d W 9 0 O 1 0 i I C 8 + P E V u d H J 5 I F R 5 c G U 9 I k Z p b G x T d G F 0 d X M i I F Z h b H V l P S J z Q 2 9 t c G x l d G U i I C 8 + P E V u d H J 5 I F R 5 c G U 9 I k Z p b G x D b 3 V u d C I g V m F s d W U 9 I m w 1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a Y W R h b m l l M S 1 a Y W x h Y 3 p u a W s x L X d z c G 9 s Y 3 p 5 b m 5 p a 2 k v W m 1 p Z W 5 p b 2 5 v I H R 5 c C 5 7 S 2 F 0 Z W d v c m l h L D B 9 J n F 1 b 3 Q 7 L C Z x d W 9 0 O 1 N l Y 3 R p b 2 4 x L 1 p h Z G F u a W U x L V p h b G F j e m 5 p a z E t d 3 N w b 2 x j e n l u b m l r a S 9 a b W l l b m l v b m 8 g d H l w L n t U e X B v d 2 / F m 8 S H L D F 9 J n F 1 b 3 Q 7 L C Z x d W 9 0 O 1 N l Y 3 R p b 2 4 x L 1 p h Z G F u a W U x L V p h b G F j e m 5 p a z E t d 3 N w b 2 x j e n l u b m l r a S 9 a b W l l b m l v b m 8 g d H l w L n t F b G F z d H l j e m 5 v x Z v E h y w y f S Z x d W 9 0 O y w m c X V v d D t T Z W N 0 a W 9 u M S 9 a Y W R h b m l l M S 1 a Y W x h Y 3 p u a W s x L X d z c G 9 s Y 3 p 5 b m 5 p a 2 k v W m 1 p Z W 5 p b 2 5 v I H R 5 c C 5 7 W m F y e s S F Z H p h b m l l I H J 5 e n l r a W V t L D N 9 J n F 1 b 3 Q 7 L C Z x d W 9 0 O 1 N l Y 3 R p b 2 4 x L 1 p h Z G F u a W U x L V p h b G F j e m 5 p a z E t d 3 N w b 2 x j e n l u b m l r a S 9 a b W l l b m l v b m 8 g d H l w L n t T c M O z a m 5 v x Z v E h y B 6 Z X N w b 8 W C d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a Y W R h b m l l M S 1 a Y W x h Y 3 p u a W s x L X d z c G 9 s Y 3 p 5 b m 5 p a 2 k v W m 1 p Z W 5 p b 2 5 v I H R 5 c C 5 7 S 2 F 0 Z W d v c m l h L D B 9 J n F 1 b 3 Q 7 L C Z x d W 9 0 O 1 N l Y 3 R p b 2 4 x L 1 p h Z G F u a W U x L V p h b G F j e m 5 p a z E t d 3 N w b 2 x j e n l u b m l r a S 9 a b W l l b m l v b m 8 g d H l w L n t U e X B v d 2 / F m 8 S H L D F 9 J n F 1 b 3 Q 7 L C Z x d W 9 0 O 1 N l Y 3 R p b 2 4 x L 1 p h Z G F u a W U x L V p h b G F j e m 5 p a z E t d 3 N w b 2 x j e n l u b m l r a S 9 a b W l l b m l v b m 8 g d H l w L n t F b G F z d H l j e m 5 v x Z v E h y w y f S Z x d W 9 0 O y w m c X V v d D t T Z W N 0 a W 9 u M S 9 a Y W R h b m l l M S 1 a Y W x h Y 3 p u a W s x L X d z c G 9 s Y 3 p 5 b m 5 p a 2 k v W m 1 p Z W 5 p b 2 5 v I H R 5 c C 5 7 W m F y e s S F Z H p h b m l l I H J 5 e n l r a W V t L D N 9 J n F 1 b 3 Q 7 L C Z x d W 9 0 O 1 N l Y 3 R p b 2 4 x L 1 p h Z G F u a W U x L V p h b G F j e m 5 p a z E t d 3 N w b 2 x j e n l u b m l r a S 9 a b W l l b m l v b m 8 g d H l w L n t T c M O z a m 5 v x Z v E h y B 6 Z X N w b 8 W C d S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p h Z G F u a W U x L V p h b G F j e m 5 p a z E t d 3 N w b 2 x j e n l u b m l r a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Y W R h b m l l M S 1 a Y W x h Y 3 p u a W s x L X d z c G 9 s Y 3 p 5 b m 5 p a 2 k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Y W R h b m l l M S 1 a Y W x h Y 3 p u a W s x L X d z c G 9 s Y 3 p 5 b m 5 p a 2 k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F k Y W 5 p Z T E t W m F s Y W N 6 b m l r M S 1 w c m 9 q Z W t 0 e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N o Z W V 0 I i B W Y W x 1 Z T 0 i c 2 R h b m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I 3 V D E 1 O j E w O j M x L j Y w M D c z M j d a I i A v P j x F b n R y e S B U e X B l P S J G a W x s Q 2 9 s d W 1 u V H l w Z X M i I F Z h b H V l P S J z Q X d N R E F 3 W U R B d z 0 9 I i A v P j x F b n R y e S B U e X B l P S J G a W x s Q 2 9 s d W 1 u T m F t Z X M i I F Z h b H V l P S J z W y Z x d W 9 0 O 0 5 y X 3 B y b 2 p l a 3 R 1 J n F 1 b 3 Q 7 L C Z x d W 9 0 O 0 1 p b m l t Y W x u Y V 9 k x Y J 1 Z 2 / F m 8 S H X 2 t v Z H U m c X V v d D s s J n F 1 b 3 Q 7 T W F r c 3 l t Y W x u Y V 9 k x Y J 1 Z 2 / F m 8 S H X 2 t v Z H U m c X V v d D s s J n F 1 b 3 Q 7 V H l w b 3 d v x Z v E h y Z x d W 9 0 O y w m c X V v d D t F b G F z d H l j e m 5 v x Z v E h y Z x d W 9 0 O y w m c X V v d D t a Y X J 6 X 3 J 5 e n l r a W V t J n F 1 b 3 Q 7 L C Z x d W 9 0 O 1 N w b 2 p f e m V z c G / F g n U m c X V v d D t d I i A v P j x F b n R y e S B U e X B l P S J G a W x s U 3 R h d H V z I i B W Y W x 1 Z T 0 i c 0 N v b X B s Z X R l I i A v P j x F b n R y e S B U e X B l P S J G a W x s Q 2 9 1 b n Q i I F Z h b H V l P S J s M T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p h Z G F u a W U x L V p h b G F j e m 5 p a z E t c H J v a m V r d H k v W m 1 p Z W 5 p b 2 5 v I H R 5 c C 5 7 T n J f c H J v a m V r d H U s M H 0 m c X V v d D s s J n F 1 b 3 Q 7 U 2 V j d G l v b j E v W m F k Y W 5 p Z T E t W m F s Y W N 6 b m l r M S 1 w c m 9 q Z W t 0 e S 9 a b W l l b m l v b m 8 g d H l w L n t N a W 5 p b W F s b m F f Z M W C d W d v x Z v E h 1 9 r b 2 R 1 L D F 9 J n F 1 b 3 Q 7 L C Z x d W 9 0 O 1 N l Y 3 R p b 2 4 x L 1 p h Z G F u a W U x L V p h b G F j e m 5 p a z E t c H J v a m V r d H k v W m 1 p Z W 5 p b 2 5 v I H R 5 c C 5 7 T W F r c 3 l t Y W x u Y V 9 k x Y J 1 Z 2 / F m 8 S H X 2 t v Z H U s M n 0 m c X V v d D s s J n F 1 b 3 Q 7 U 2 V j d G l v b j E v W m F k Y W 5 p Z T E t W m F s Y W N 6 b m l r M S 1 w c m 9 q Z W t 0 e S 9 a b W l l b m l v b m 8 g d H l w L n t U e X B v d 2 / F m 8 S H L D N 9 J n F 1 b 3 Q 7 L C Z x d W 9 0 O 1 N l Y 3 R p b 2 4 x L 1 p h Z G F u a W U x L V p h b G F j e m 5 p a z E t c H J v a m V r d H k v W m 1 p Z W 5 p b 2 5 v I H R 5 c C 5 7 R W x h c 3 R 5 Y 3 p u b 8 W b x I c s N H 0 m c X V v d D s s J n F 1 b 3 Q 7 U 2 V j d G l v b j E v W m F k Y W 5 p Z T E t W m F s Y W N 6 b m l r M S 1 w c m 9 q Z W t 0 e S 9 a b W l l b m l v b m 8 g d H l w L n t a Y X J 6 X 3 J 5 e n l r a W V t L D V 9 J n F 1 b 3 Q 7 L C Z x d W 9 0 O 1 N l Y 3 R p b 2 4 x L 1 p h Z G F u a W U x L V p h b G F j e m 5 p a z E t c H J v a m V r d H k v W m 1 p Z W 5 p b 2 5 v I H R 5 c C 5 7 U 3 B v a l 9 6 Z X N w b 8 W C d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a Y W R h b m l l M S 1 a Y W x h Y 3 p u a W s x L X B y b 2 p l a 3 R 5 L 1 p t a W V u a W 9 u b y B 0 e X A u e 0 5 y X 3 B y b 2 p l a 3 R 1 L D B 9 J n F 1 b 3 Q 7 L C Z x d W 9 0 O 1 N l Y 3 R p b 2 4 x L 1 p h Z G F u a W U x L V p h b G F j e m 5 p a z E t c H J v a m V r d H k v W m 1 p Z W 5 p b 2 5 v I H R 5 c C 5 7 T W l u a W 1 h b G 5 h X 2 T F g n V n b 8 W b x I d f a 2 9 k d S w x f S Z x d W 9 0 O y w m c X V v d D t T Z W N 0 a W 9 u M S 9 a Y W R h b m l l M S 1 a Y W x h Y 3 p u a W s x L X B y b 2 p l a 3 R 5 L 1 p t a W V u a W 9 u b y B 0 e X A u e 0 1 h a 3 N 5 b W F s b m F f Z M W C d W d v x Z v E h 1 9 r b 2 R 1 L D J 9 J n F 1 b 3 Q 7 L C Z x d W 9 0 O 1 N l Y 3 R p b 2 4 x L 1 p h Z G F u a W U x L V p h b G F j e m 5 p a z E t c H J v a m V r d H k v W m 1 p Z W 5 p b 2 5 v I H R 5 c C 5 7 V H l w b 3 d v x Z v E h y w z f S Z x d W 9 0 O y w m c X V v d D t T Z W N 0 a W 9 u M S 9 a Y W R h b m l l M S 1 a Y W x h Y 3 p u a W s x L X B y b 2 p l a 3 R 5 L 1 p t a W V u a W 9 u b y B 0 e X A u e 0 V s Y X N 0 e W N 6 b m / F m 8 S H L D R 9 J n F 1 b 3 Q 7 L C Z x d W 9 0 O 1 N l Y 3 R p b 2 4 x L 1 p h Z G F u a W U x L V p h b G F j e m 5 p a z E t c H J v a m V r d H k v W m 1 p Z W 5 p b 2 5 v I H R 5 c C 5 7 W m F y e l 9 y e X p 5 a 2 l l b S w 1 f S Z x d W 9 0 O y w m c X V v d D t T Z W N 0 a W 9 u M S 9 a Y W R h b m l l M S 1 a Y W x h Y 3 p u a W s x L X B y b 2 p l a 3 R 5 L 1 p t a W V u a W 9 u b y B 0 e X A u e 1 N w b 2 p f e m V z c G / F g n U s N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a Y W R h b m l l M S 1 a Y W x h Y 3 p u a W s x L X B y b 2 p l a 3 R 5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h Z G F u a W U x L V p h b G F j e m 5 p a z E t c H J v a m V r d H k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Y W R h b m l l M S 1 a Y W x h Y 3 p u a W s x L X B y b 2 p l a 3 R 5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h Z G F u a W U x L V p h b G F j e m 5 p a z E t d 3 N w b 2 x j e n l u b m l r a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N o Z W V 0 I i B W Y W x 1 Z T 0 i c 2 R h b m U i I C 8 + P E V u d H J 5 I F R 5 c G U 9 I l J l Y 2 9 2 Z X J 5 V G F y Z 2 V 0 Q 2 9 s d W 1 u I i B W Y W x 1 Z T 0 i b D E i I C 8 + P E V u d H J 5 I F R 5 c G U 9 I l J l Y 2 9 2 Z X J 5 V G F y Z 2 V 0 U m 9 3 I i B W Y W x 1 Z T 0 i b D E 0 I i A v P j x F b n R y e S B U e X B l P S J G a W x s V G F y Z 2 V 0 I i B W Y W x 1 Z T 0 i c 1 p h Z G F u a W U x X 1 p h b G F j e m 5 p a z F f d 3 N w b 2 x j e n l u b m l r a T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I 3 V D E 1 O j E w O j U y L j Y 5 N D I 4 M j N a I i A v P j x F b n R y e S B U e X B l P S J G a W x s Q 2 9 s d W 1 u V H l w Z X M i I F Z h b H V l P S J z Q X d V R k J R V T 0 i I C 8 + P E V u d H J 5 I F R 5 c G U 9 I k Z p b G x D b 2 x 1 b W 5 O Y W 1 l c y I g V m F s d W U 9 I n N b J n F 1 b 3 Q 7 S 2 F 0 Z W d v c m l h J n F 1 b 3 Q 7 L C Z x d W 9 0 O 1 R 5 c G 9 3 b 8 W b x I c m c X V v d D s s J n F 1 b 3 Q 7 R W x h c 3 R 5 Y 3 p u b 8 W b x I c m c X V v d D s s J n F 1 b 3 Q 7 W m F y e s S F Z H p h b m l l I H J 5 e n l r a W V t J n F 1 b 3 Q 7 L C Z x d W 9 0 O 1 N w w 7 N q b m / F m 8 S H I H p l c 3 B v x Y J 1 J n F 1 b 3 Q 7 X S I g L z 4 8 R W 5 0 c n k g V H l w Z T 0 i R m l s b F N 0 Y X R 1 c y I g V m F s d W U 9 I n N D b 2 1 w b G V 0 Z S I g L z 4 8 R W 5 0 c n k g V H l w Z T 0 i R m l s b E N v d W 5 0 I i B W Y W x 1 Z T 0 i b D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p h Z G F u a W U x L V p h b G F j e m 5 p a z E t d 3 N w b 2 x j e n l u b m l r a S 9 a b W l l b m l v b m 8 g d H l w L n t L Y X R l Z 2 9 y a W E s M H 0 m c X V v d D s s J n F 1 b 3 Q 7 U 2 V j d G l v b j E v W m F k Y W 5 p Z T E t W m F s Y W N 6 b m l r M S 1 3 c 3 B v b G N 6 e W 5 u a W t p L 1 p t a W V u a W 9 u b y B 0 e X A u e 1 R 5 c G 9 3 b 8 W b x I c s M X 0 m c X V v d D s s J n F 1 b 3 Q 7 U 2 V j d G l v b j E v W m F k Y W 5 p Z T E t W m F s Y W N 6 b m l r M S 1 3 c 3 B v b G N 6 e W 5 u a W t p L 1 p t a W V u a W 9 u b y B 0 e X A u e 0 V s Y X N 0 e W N 6 b m / F m 8 S H L D J 9 J n F 1 b 3 Q 7 L C Z x d W 9 0 O 1 N l Y 3 R p b 2 4 x L 1 p h Z G F u a W U x L V p h b G F j e m 5 p a z E t d 3 N w b 2 x j e n l u b m l r a S 9 a b W l l b m l v b m 8 g d H l w L n t a Y X J 6 x I V k e m F u a W U g c n l 6 e W t p Z W 0 s M 3 0 m c X V v d D s s J n F 1 b 3 Q 7 U 2 V j d G l v b j E v W m F k Y W 5 p Z T E t W m F s Y W N 6 b m l r M S 1 3 c 3 B v b G N 6 e W 5 u a W t p L 1 p t a W V u a W 9 u b y B 0 e X A u e 1 N w w 7 N q b m / F m 8 S H I H p l c 3 B v x Y J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p h Z G F u a W U x L V p h b G F j e m 5 p a z E t d 3 N w b 2 x j e n l u b m l r a S 9 a b W l l b m l v b m 8 g d H l w L n t L Y X R l Z 2 9 y a W E s M H 0 m c X V v d D s s J n F 1 b 3 Q 7 U 2 V j d G l v b j E v W m F k Y W 5 p Z T E t W m F s Y W N 6 b m l r M S 1 3 c 3 B v b G N 6 e W 5 u a W t p L 1 p t a W V u a W 9 u b y B 0 e X A u e 1 R 5 c G 9 3 b 8 W b x I c s M X 0 m c X V v d D s s J n F 1 b 3 Q 7 U 2 V j d G l v b j E v W m F k Y W 5 p Z T E t W m F s Y W N 6 b m l r M S 1 3 c 3 B v b G N 6 e W 5 u a W t p L 1 p t a W V u a W 9 u b y B 0 e X A u e 0 V s Y X N 0 e W N 6 b m / F m 8 S H L D J 9 J n F 1 b 3 Q 7 L C Z x d W 9 0 O 1 N l Y 3 R p b 2 4 x L 1 p h Z G F u a W U x L V p h b G F j e m 5 p a z E t d 3 N w b 2 x j e n l u b m l r a S 9 a b W l l b m l v b m 8 g d H l w L n t a Y X J 6 x I V k e m F u a W U g c n l 6 e W t p Z W 0 s M 3 0 m c X V v d D s s J n F 1 b 3 Q 7 U 2 V j d G l v b j E v W m F k Y W 5 p Z T E t W m F s Y W N 6 b m l r M S 1 3 c 3 B v b G N 6 e W 5 u a W t p L 1 p t a W V u a W 9 u b y B 0 e X A u e 1 N w w 7 N q b m / F m 8 S H I H p l c 3 B v x Y J 1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W m F k Y W 5 p Z T E t W m F s Y W N 6 b m l r M S 1 3 c 3 B v b G N 6 e W 5 u a W t p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h Z G F u a W U x L V p h b G F j e m 5 p a z E t d 3 N w b 2 x j e n l u b m l r a S U y M C g z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h Z G F u a W U x L V p h b G F j e m 5 p a z E t d 3 N w b 2 x j e n l u b m l r a S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Y W R h b m l l M S 1 a Y W x h Y 3 p u a W s x L X B y b 2 p l a 3 R 5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Z G F u Z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a Y W R h b m l l M V 9 a Y W x h Y 3 p u a W s x X 3 B y b 2 p l a 3 R 5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j d U M T U 6 M T A 6 M z E u N j A w N z M y N 1 o i I C 8 + P E V u d H J 5 I F R 5 c G U 9 I k Z p b G x D b 2 x 1 b W 5 U e X B l c y I g V m F s d W U 9 I n N B d 0 1 E Q X d Z R E F 3 P T 0 i I C 8 + P E V u d H J 5 I F R 5 c G U 9 I k Z p b G x D b 2 x 1 b W 5 O Y W 1 l c y I g V m F s d W U 9 I n N b J n F 1 b 3 Q 7 T n J f c H J v a m V r d H U m c X V v d D s s J n F 1 b 3 Q 7 T W l u a W 1 h b G 5 h X 2 T F g n V n b 8 W b x I d f a 2 9 k d S Z x d W 9 0 O y w m c X V v d D t N Y W t z e W 1 h b G 5 h X 2 T F g n V n b 8 W b x I d f a 2 9 k d S Z x d W 9 0 O y w m c X V v d D t U e X B v d 2 / F m 8 S H J n F 1 b 3 Q 7 L C Z x d W 9 0 O 0 V s Y X N 0 e W N 6 b m / F m 8 S H J n F 1 b 3 Q 7 L C Z x d W 9 0 O 1 p h c n p f c n l 6 e W t p Z W 0 m c X V v d D s s J n F 1 b 3 Q 7 U 3 B v a l 9 6 Z X N w b 8 W C d S Z x d W 9 0 O 1 0 i I C 8 + P E V u d H J 5 I F R 5 c G U 9 I k Z p b G x T d G F 0 d X M i I F Z h b H V l P S J z Q 2 9 t c G x l d G U i I C 8 + P E V u d H J 5 I F R 5 c G U 9 I k Z p b G x D b 3 V u d C I g V m F s d W U 9 I m w x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W m F k Y W 5 p Z T E t W m F s Y W N 6 b m l r M S 1 w c m 9 q Z W t 0 e S 9 a b W l l b m l v b m 8 g d H l w L n t O c l 9 w c m 9 q Z W t 0 d S w w f S Z x d W 9 0 O y w m c X V v d D t T Z W N 0 a W 9 u M S 9 a Y W R h b m l l M S 1 a Y W x h Y 3 p u a W s x L X B y b 2 p l a 3 R 5 L 1 p t a W V u a W 9 u b y B 0 e X A u e 0 1 p b m l t Y W x u Y V 9 k x Y J 1 Z 2 / F m 8 S H X 2 t v Z H U s M X 0 m c X V v d D s s J n F 1 b 3 Q 7 U 2 V j d G l v b j E v W m F k Y W 5 p Z T E t W m F s Y W N 6 b m l r M S 1 w c m 9 q Z W t 0 e S 9 a b W l l b m l v b m 8 g d H l w L n t N Y W t z e W 1 h b G 5 h X 2 T F g n V n b 8 W b x I d f a 2 9 k d S w y f S Z x d W 9 0 O y w m c X V v d D t T Z W N 0 a W 9 u M S 9 a Y W R h b m l l M S 1 a Y W x h Y 3 p u a W s x L X B y b 2 p l a 3 R 5 L 1 p t a W V u a W 9 u b y B 0 e X A u e 1 R 5 c G 9 3 b 8 W b x I c s M 3 0 m c X V v d D s s J n F 1 b 3 Q 7 U 2 V j d G l v b j E v W m F k Y W 5 p Z T E t W m F s Y W N 6 b m l r M S 1 w c m 9 q Z W t 0 e S 9 a b W l l b m l v b m 8 g d H l w L n t F b G F z d H l j e m 5 v x Z v E h y w 0 f S Z x d W 9 0 O y w m c X V v d D t T Z W N 0 a W 9 u M S 9 a Y W R h b m l l M S 1 a Y W x h Y 3 p u a W s x L X B y b 2 p l a 3 R 5 L 1 p t a W V u a W 9 u b y B 0 e X A u e 1 p h c n p f c n l 6 e W t p Z W 0 s N X 0 m c X V v d D s s J n F 1 b 3 Q 7 U 2 V j d G l v b j E v W m F k Y W 5 p Z T E t W m F s Y W N 6 b m l r M S 1 w c m 9 q Z W t 0 e S 9 a b W l l b m l v b m 8 g d H l w L n t T c G 9 q X 3 p l c 3 B v x Y J 1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p h Z G F u a W U x L V p h b G F j e m 5 p a z E t c H J v a m V r d H k v W m 1 p Z W 5 p b 2 5 v I H R 5 c C 5 7 T n J f c H J v a m V r d H U s M H 0 m c X V v d D s s J n F 1 b 3 Q 7 U 2 V j d G l v b j E v W m F k Y W 5 p Z T E t W m F s Y W N 6 b m l r M S 1 w c m 9 q Z W t 0 e S 9 a b W l l b m l v b m 8 g d H l w L n t N a W 5 p b W F s b m F f Z M W C d W d v x Z v E h 1 9 r b 2 R 1 L D F 9 J n F 1 b 3 Q 7 L C Z x d W 9 0 O 1 N l Y 3 R p b 2 4 x L 1 p h Z G F u a W U x L V p h b G F j e m 5 p a z E t c H J v a m V r d H k v W m 1 p Z W 5 p b 2 5 v I H R 5 c C 5 7 T W F r c 3 l t Y W x u Y V 9 k x Y J 1 Z 2 / F m 8 S H X 2 t v Z H U s M n 0 m c X V v d D s s J n F 1 b 3 Q 7 U 2 V j d G l v b j E v W m F k Y W 5 p Z T E t W m F s Y W N 6 b m l r M S 1 w c m 9 q Z W t 0 e S 9 a b W l l b m l v b m 8 g d H l w L n t U e X B v d 2 / F m 8 S H L D N 9 J n F 1 b 3 Q 7 L C Z x d W 9 0 O 1 N l Y 3 R p b 2 4 x L 1 p h Z G F u a W U x L V p h b G F j e m 5 p a z E t c H J v a m V r d H k v W m 1 p Z W 5 p b 2 5 v I H R 5 c C 5 7 R W x h c 3 R 5 Y 3 p u b 8 W b x I c s N H 0 m c X V v d D s s J n F 1 b 3 Q 7 U 2 V j d G l v b j E v W m F k Y W 5 p Z T E t W m F s Y W N 6 b m l r M S 1 w c m 9 q Z W t 0 e S 9 a b W l l b m l v b m 8 g d H l w L n t a Y X J 6 X 3 J 5 e n l r a W V t L D V 9 J n F 1 b 3 Q 7 L C Z x d W 9 0 O 1 N l Y 3 R p b 2 4 x L 1 p h Z G F u a W U x L V p h b G F j e m 5 p a z E t c H J v a m V r d H k v W m 1 p Z W 5 p b 2 5 v I H R 5 c C 5 7 U 3 B v a l 9 6 Z X N w b 8 W C d S w 2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p h Z G F u a W U x L V p h b G F j e m 5 p a z E t c H J v a m V r d H k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F k Y W 5 p Z T E t W m F s Y W N 6 b m l r M S 1 w c m 9 q Z W t 0 e S U y M C g z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h Z G F u a W U x L V p h b G F j e m 5 p a z E t c H J v a m V r d H k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F k Y W 5 p Z T E t W m F s Y W N 6 b m l r M S 1 w c m 9 q Z W t 0 e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S Z W N v d m V y e V R h c m d l d F N o Z W V 0 I i B W Y W x 1 Z T 0 i c 2 R h b m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W m F k Y W 5 p Z T F f W m F s Y W N 6 b m l r M V 9 w c m 9 q Z W t 0 e T Y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E t M D I t M j d U M T U 6 M T A 6 M z E u N j A w N z M y N 1 o i I C 8 + P E V u d H J 5 I F R 5 c G U 9 I k Z p b G x D b 2 x 1 b W 5 U e X B l c y I g V m F s d W U 9 I n N B d 0 1 E Q X d Z R E F 3 P T 0 i I C 8 + P E V u d H J 5 I F R 5 c G U 9 I k Z p b G x D b 2 x 1 b W 5 O Y W 1 l c y I g V m F s d W U 9 I n N b J n F 1 b 3 Q 7 T n J f c H J v a m V r d H U m c X V v d D s s J n F 1 b 3 Q 7 T W l u a W 1 h b G 5 h X 2 T F g n V n b 8 W b x I d f a 2 9 k d S Z x d W 9 0 O y w m c X V v d D t N Y W t z e W 1 h b G 5 h X 2 T F g n V n b 8 W b x I d f a 2 9 k d S Z x d W 9 0 O y w m c X V v d D t U e X B v d 2 / F m 8 S H J n F 1 b 3 Q 7 L C Z x d W 9 0 O 0 V s Y X N 0 e W N 6 b m / F m 8 S H J n F 1 b 3 Q 7 L C Z x d W 9 0 O 1 p h c n p f c n l 6 e W t p Z W 0 m c X V v d D s s J n F 1 b 3 Q 7 U 3 B v a l 9 6 Z X N w b 8 W C d S Z x d W 9 0 O 1 0 i I C 8 + P E V u d H J 5 I F R 5 c G U 9 I k Z p b G x T d G F 0 d X M i I F Z h b H V l P S J z Q 2 9 t c G x l d G U i I C 8 + P E V u d H J 5 I F R 5 c G U 9 I k Z p b G x D b 3 V u d C I g V m F s d W U 9 I m w x M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a Y W R h b m l l M S 1 a Y W x h Y 3 p u a W s x L X B y b 2 p l a 3 R 5 L 1 p t a W V u a W 9 u b y B 0 e X A u e 0 5 y X 3 B y b 2 p l a 3 R 1 L D B 9 J n F 1 b 3 Q 7 L C Z x d W 9 0 O 1 N l Y 3 R p b 2 4 x L 1 p h Z G F u a W U x L V p h b G F j e m 5 p a z E t c H J v a m V r d H k v W m 1 p Z W 5 p b 2 5 v I H R 5 c C 5 7 T W l u a W 1 h b G 5 h X 2 T F g n V n b 8 W b x I d f a 2 9 k d S w x f S Z x d W 9 0 O y w m c X V v d D t T Z W N 0 a W 9 u M S 9 a Y W R h b m l l M S 1 a Y W x h Y 3 p u a W s x L X B y b 2 p l a 3 R 5 L 1 p t a W V u a W 9 u b y B 0 e X A u e 0 1 h a 3 N 5 b W F s b m F f Z M W C d W d v x Z v E h 1 9 r b 2 R 1 L D J 9 J n F 1 b 3 Q 7 L C Z x d W 9 0 O 1 N l Y 3 R p b 2 4 x L 1 p h Z G F u a W U x L V p h b G F j e m 5 p a z E t c H J v a m V r d H k v W m 1 p Z W 5 p b 2 5 v I H R 5 c C 5 7 V H l w b 3 d v x Z v E h y w z f S Z x d W 9 0 O y w m c X V v d D t T Z W N 0 a W 9 u M S 9 a Y W R h b m l l M S 1 a Y W x h Y 3 p u a W s x L X B y b 2 p l a 3 R 5 L 1 p t a W V u a W 9 u b y B 0 e X A u e 0 V s Y X N 0 e W N 6 b m / F m 8 S H L D R 9 J n F 1 b 3 Q 7 L C Z x d W 9 0 O 1 N l Y 3 R p b 2 4 x L 1 p h Z G F u a W U x L V p h b G F j e m 5 p a z E t c H J v a m V r d H k v W m 1 p Z W 5 p b 2 5 v I H R 5 c C 5 7 W m F y e l 9 y e X p 5 a 2 l l b S w 1 f S Z x d W 9 0 O y w m c X V v d D t T Z W N 0 a W 9 u M S 9 a Y W R h b m l l M S 1 a Y W x h Y 3 p u a W s x L X B y b 2 p l a 3 R 5 L 1 p t a W V u a W 9 u b y B 0 e X A u e 1 N w b 2 p f e m V z c G / F g n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W m F k Y W 5 p Z T E t W m F s Y W N 6 b m l r M S 1 w c m 9 q Z W t 0 e S 9 a b W l l b m l v b m 8 g d H l w L n t O c l 9 w c m 9 q Z W t 0 d S w w f S Z x d W 9 0 O y w m c X V v d D t T Z W N 0 a W 9 u M S 9 a Y W R h b m l l M S 1 a Y W x h Y 3 p u a W s x L X B y b 2 p l a 3 R 5 L 1 p t a W V u a W 9 u b y B 0 e X A u e 0 1 p b m l t Y W x u Y V 9 k x Y J 1 Z 2 / F m 8 S H X 2 t v Z H U s M X 0 m c X V v d D s s J n F 1 b 3 Q 7 U 2 V j d G l v b j E v W m F k Y W 5 p Z T E t W m F s Y W N 6 b m l r M S 1 w c m 9 q Z W t 0 e S 9 a b W l l b m l v b m 8 g d H l w L n t N Y W t z e W 1 h b G 5 h X 2 T F g n V n b 8 W b x I d f a 2 9 k d S w y f S Z x d W 9 0 O y w m c X V v d D t T Z W N 0 a W 9 u M S 9 a Y W R h b m l l M S 1 a Y W x h Y 3 p u a W s x L X B y b 2 p l a 3 R 5 L 1 p t a W V u a W 9 u b y B 0 e X A u e 1 R 5 c G 9 3 b 8 W b x I c s M 3 0 m c X V v d D s s J n F 1 b 3 Q 7 U 2 V j d G l v b j E v W m F k Y W 5 p Z T E t W m F s Y W N 6 b m l r M S 1 w c m 9 q Z W t 0 e S 9 a b W l l b m l v b m 8 g d H l w L n t F b G F z d H l j e m 5 v x Z v E h y w 0 f S Z x d W 9 0 O y w m c X V v d D t T Z W N 0 a W 9 u M S 9 a Y W R h b m l l M S 1 a Y W x h Y 3 p u a W s x L X B y b 2 p l a 3 R 5 L 1 p t a W V u a W 9 u b y B 0 e X A u e 1 p h c n p f c n l 6 e W t p Z W 0 s N X 0 m c X V v d D s s J n F 1 b 3 Q 7 U 2 V j d G l v b j E v W m F k Y W 5 p Z T E t W m F s Y W N 6 b m l r M S 1 w c m 9 q Z W t 0 e S 9 a b W l l b m l v b m 8 g d H l w L n t T c G 9 q X 3 p l c 3 B v x Y J 1 L D Z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W m F k Y W 5 p Z T E t W m F s Y W N 6 b m l r M S 1 w c m 9 q Z W t 0 e S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Y W R h b m l l M S 1 a Y W x h Y 3 p u a W s x L X B y b 2 p l a 3 R 5 J T I w K D Q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F k Y W 5 p Z T E t W m F s Y W N 6 b m l r M S 1 w c m 9 q Z W t 0 e S U y M C g 0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Y W R h b m l l M S 1 a Y W x h Y 3 p u a W s x L X d z c G 9 s Y 3 p 5 b m 5 p a 2 k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U m V j b 3 Z l c n l U Y X J n Z X R T a G V l d C I g V m F s d W U 9 I n N k Y W 5 l I i A v P j x F b n R y e S B U e X B l P S J S Z W N v d m V y e V R h c m d l d E N v b H V t b i I g V m F s d W U 9 I m w x I i A v P j x F b n R y e S B U e X B l P S J S Z W N v d m V y e V R h c m d l d F J v d y I g V m F s d W U 9 I m w x N C I g L z 4 8 R W 5 0 c n k g V H l w Z T 0 i R m l s b F R h c m d l d C I g V m F s d W U 9 I n N a Y W R h b m l l M V 9 a Y W x h Y 3 p u a W s x X 3 d z c G 9 s Y 3 p 5 b m 5 p a 2 k 3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x L T A y L T I 3 V D E 1 O j E w O j U y L j Y 5 N D I 4 M j N a I i A v P j x F b n R y e S B U e X B l P S J G a W x s Q 2 9 s d W 1 u V H l w Z X M i I F Z h b H V l P S J z Q X d V R k J R V T 0 i I C 8 + P E V u d H J 5 I F R 5 c G U 9 I k Z p b G x D b 2 x 1 b W 5 O Y W 1 l c y I g V m F s d W U 9 I n N b J n F 1 b 3 Q 7 S 2 F 0 Z W d v c m l h J n F 1 b 3 Q 7 L C Z x d W 9 0 O 1 R 5 c G 9 3 b 8 W b x I c m c X V v d D s s J n F 1 b 3 Q 7 R W x h c 3 R 5 Y 3 p u b 8 W b x I c m c X V v d D s s J n F 1 b 3 Q 7 W m F y e s S F Z H p h b m l l I H J 5 e n l r a W V t J n F 1 b 3 Q 7 L C Z x d W 9 0 O 1 N w w 7 N q b m / F m 8 S H I H p l c 3 B v x Y J 1 J n F 1 b 3 Q 7 X S I g L z 4 8 R W 5 0 c n k g V H l w Z T 0 i R m l s b F N 0 Y X R 1 c y I g V m F s d W U 9 I n N D b 2 1 w b G V 0 Z S I g L z 4 8 R W 5 0 c n k g V H l w Z T 0 i R m l s b E N v d W 5 0 I i B W Y W x 1 Z T 0 i b D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W m F k Y W 5 p Z T E t W m F s Y W N 6 b m l r M S 1 3 c 3 B v b G N 6 e W 5 u a W t p L 1 p t a W V u a W 9 u b y B 0 e X A u e 0 t h d G V n b 3 J p Y S w w f S Z x d W 9 0 O y w m c X V v d D t T Z W N 0 a W 9 u M S 9 a Y W R h b m l l M S 1 a Y W x h Y 3 p u a W s x L X d z c G 9 s Y 3 p 5 b m 5 p a 2 k v W m 1 p Z W 5 p b 2 5 v I H R 5 c C 5 7 V H l w b 3 d v x Z v E h y w x f S Z x d W 9 0 O y w m c X V v d D t T Z W N 0 a W 9 u M S 9 a Y W R h b m l l M S 1 a Y W x h Y 3 p u a W s x L X d z c G 9 s Y 3 p 5 b m 5 p a 2 k v W m 1 p Z W 5 p b 2 5 v I H R 5 c C 5 7 R W x h c 3 R 5 Y 3 p u b 8 W b x I c s M n 0 m c X V v d D s s J n F 1 b 3 Q 7 U 2 V j d G l v b j E v W m F k Y W 5 p Z T E t W m F s Y W N 6 b m l r M S 1 3 c 3 B v b G N 6 e W 5 u a W t p L 1 p t a W V u a W 9 u b y B 0 e X A u e 1 p h c n r E h W R 6 Y W 5 p Z S B y e X p 5 a 2 l l b S w z f S Z x d W 9 0 O y w m c X V v d D t T Z W N 0 a W 9 u M S 9 a Y W R h b m l l M S 1 a Y W x h Y 3 p u a W s x L X d z c G 9 s Y 3 p 5 b m 5 p a 2 k v W m 1 p Z W 5 p b 2 5 v I H R 5 c C 5 7 U 3 D D s 2 p u b 8 W b x I c g e m V z c G / F g n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W m F k Y W 5 p Z T E t W m F s Y W N 6 b m l r M S 1 3 c 3 B v b G N 6 e W 5 u a W t p L 1 p t a W V u a W 9 u b y B 0 e X A u e 0 t h d G V n b 3 J p Y S w w f S Z x d W 9 0 O y w m c X V v d D t T Z W N 0 a W 9 u M S 9 a Y W R h b m l l M S 1 a Y W x h Y 3 p u a W s x L X d z c G 9 s Y 3 p 5 b m 5 p a 2 k v W m 1 p Z W 5 p b 2 5 v I H R 5 c C 5 7 V H l w b 3 d v x Z v E h y w x f S Z x d W 9 0 O y w m c X V v d D t T Z W N 0 a W 9 u M S 9 a Y W R h b m l l M S 1 a Y W x h Y 3 p u a W s x L X d z c G 9 s Y 3 p 5 b m 5 p a 2 k v W m 1 p Z W 5 p b 2 5 v I H R 5 c C 5 7 R W x h c 3 R 5 Y 3 p u b 8 W b x I c s M n 0 m c X V v d D s s J n F 1 b 3 Q 7 U 2 V j d G l v b j E v W m F k Y W 5 p Z T E t W m F s Y W N 6 b m l r M S 1 3 c 3 B v b G N 6 e W 5 u a W t p L 1 p t a W V u a W 9 u b y B 0 e X A u e 1 p h c n r E h W R 6 Y W 5 p Z S B y e X p 5 a 2 l l b S w z f S Z x d W 9 0 O y w m c X V v d D t T Z W N 0 a W 9 u M S 9 a Y W R h b m l l M S 1 a Y W x h Y 3 p u a W s x L X d z c G 9 s Y 3 p 5 b m 5 p a 2 k v W m 1 p Z W 5 p b 2 5 v I H R 5 c C 5 7 U 3 D D s 2 p u b 8 W b x I c g e m V z c G / F g n U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a Y W R h b m l l M S 1 a Y W x h Y 3 p u a W s x L X d z c G 9 s Y 3 p 5 b m 5 p a 2 k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F k Y W 5 p Z T E t W m F s Y W N 6 b m l r M S 1 3 c 3 B v b G N 6 e W 5 u a W t p J T I w K D Q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F k Y W 5 p Z T E t W m F s Y W N 6 b m l r M S 1 3 c 3 B v b G N 6 e W 5 u a W t p J T I w K D Q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O 9 j p X 1 W n b Q b l J 1 e 9 y k c O J A A A A A A I A A A A A A B B m A A A A A Q A A I A A A A H l r w / q l l J y g q D V x u p M j j H o b c h S 2 y O a 4 G 2 T k 6 W I e R Q 6 o A A A A A A 6 A A A A A A g A A I A A A A L t f F r g M V 6 T g I 4 E 6 M H n p Z 3 7 T 1 J v O H x 2 1 j R h I o 4 R R 4 0 1 0 U A A A A L D U J 2 4 p s X 1 f 0 c l D w p K e M X u g W k b 9 F A K i + 2 P 3 o 9 t D x A B k T U h P m U a b K R f C N X g Y W Q p c Q m W K u r O M a l / b F H L F e e p J h u y f C F p C g z z W 2 F B + C 8 C d o v w I Q A A A A P j 3 M k c E h B V A I P E 9 X T t + i p j N G x T v y A 9 0 7 5 Z H K Z d 1 d J u C H l G z 8 P H Z e 7 0 5 M K V u w G w J k S W u 7 U 1 / M s / e c B f + k 4 H L 9 8 Y = < / D a t a M a s h u p > 
</file>

<file path=customXml/itemProps1.xml><?xml version="1.0" encoding="utf-8"?>
<ds:datastoreItem xmlns:ds="http://schemas.openxmlformats.org/officeDocument/2006/customXml" ds:itemID="{77023DD6-95EB-46EA-9CEF-7B8CE8287B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dane, 1, 2</vt:lpstr>
      <vt:lpstr>3</vt:lpstr>
      <vt:lpstr>4</vt:lpstr>
      <vt:lpstr>wzory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2021-03-02T18:19:04Z</dcterms:modified>
</cp:coreProperties>
</file>