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3ABDB28C-C245-4D03-91AB-B0267BE866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usz1" sheetId="2" r:id="rId1"/>
    <sheet name="3" sheetId="3" r:id="rId2"/>
    <sheet name="4" sheetId="1" state="hidden" r:id="rId3"/>
    <sheet name="Arkusz3" sheetId="4" r:id="rId4"/>
  </sheets>
  <definedNames>
    <definedName name="DaneZewnętrzne_1" localSheetId="1" hidden="1">'3'!$A$1:$G$11</definedName>
    <definedName name="DaneZewnętrzne_1" localSheetId="2" hidden="1">'4'!$A$1:$G$11</definedName>
    <definedName name="DaneZewnętrzne_1" localSheetId="0" hidden="1">Arkusz1!$A$1:$G$11</definedName>
    <definedName name="DaneZewnętrzne_1" localSheetId="3" hidden="1">Arkusz3!$A$1:$G$11</definedName>
    <definedName name="DaneZewnętrzne_2" localSheetId="1" hidden="1">'3'!$A$14:$E$19</definedName>
    <definedName name="DaneZewnętrzne_2" localSheetId="2" hidden="1">'4'!$A$14:$E$19</definedName>
    <definedName name="DaneZewnętrzne_2" localSheetId="0" hidden="1">Arkusz1!$A$14:$E$19</definedName>
    <definedName name="DaneZewnętrzne_2" localSheetId="3" hidden="1">Arkusz3!$A$14:$E$19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H26" i="4"/>
  <c r="H25" i="4"/>
  <c r="H24" i="4"/>
  <c r="H23" i="4"/>
  <c r="H22" i="4"/>
  <c r="H21" i="4"/>
  <c r="H20" i="4"/>
  <c r="H19" i="4"/>
  <c r="H18" i="4"/>
  <c r="H17" i="4"/>
  <c r="H16" i="4"/>
  <c r="H15" i="4"/>
  <c r="V11" i="4"/>
  <c r="P11" i="4"/>
  <c r="M11" i="4"/>
  <c r="L11" i="4"/>
  <c r="K11" i="4"/>
  <c r="J11" i="4"/>
  <c r="I11" i="4"/>
  <c r="H11" i="4"/>
  <c r="Q11" i="4" s="1"/>
  <c r="V10" i="4"/>
  <c r="L10" i="4"/>
  <c r="K10" i="4"/>
  <c r="Q10" i="4" s="1"/>
  <c r="J10" i="4"/>
  <c r="I10" i="4"/>
  <c r="H10" i="4"/>
  <c r="N10" i="4" s="1"/>
  <c r="V9" i="4"/>
  <c r="L9" i="4"/>
  <c r="K9" i="4"/>
  <c r="J9" i="4"/>
  <c r="I9" i="4"/>
  <c r="M9" i="4" s="1"/>
  <c r="H9" i="4"/>
  <c r="Q9" i="4" s="1"/>
  <c r="AC8" i="4"/>
  <c r="V8" i="4"/>
  <c r="P8" i="4"/>
  <c r="R8" i="4" s="1"/>
  <c r="M8" i="4"/>
  <c r="L8" i="4"/>
  <c r="K8" i="4"/>
  <c r="J8" i="4"/>
  <c r="Q8" i="4" s="1"/>
  <c r="I8" i="4"/>
  <c r="H8" i="4"/>
  <c r="N8" i="4" s="1"/>
  <c r="V7" i="4"/>
  <c r="N7" i="4"/>
  <c r="L7" i="4"/>
  <c r="K7" i="4"/>
  <c r="J7" i="4"/>
  <c r="I7" i="4"/>
  <c r="H7" i="4"/>
  <c r="Q7" i="4" s="1"/>
  <c r="V6" i="4"/>
  <c r="L6" i="4"/>
  <c r="K6" i="4"/>
  <c r="J6" i="4"/>
  <c r="I6" i="4"/>
  <c r="M6" i="4" s="1"/>
  <c r="O6" i="4" s="1"/>
  <c r="H6" i="4"/>
  <c r="N6" i="4" s="1"/>
  <c r="V5" i="4"/>
  <c r="L5" i="4"/>
  <c r="K5" i="4"/>
  <c r="Q5" i="4" s="1"/>
  <c r="J5" i="4"/>
  <c r="I5" i="4"/>
  <c r="H5" i="4"/>
  <c r="N5" i="4" s="1"/>
  <c r="V4" i="4"/>
  <c r="L4" i="4"/>
  <c r="K4" i="4"/>
  <c r="J4" i="4"/>
  <c r="I4" i="4"/>
  <c r="P4" i="4" s="1"/>
  <c r="R4" i="4" s="1"/>
  <c r="H4" i="4"/>
  <c r="Q4" i="4" s="1"/>
  <c r="V3" i="4"/>
  <c r="L3" i="4"/>
  <c r="K3" i="4"/>
  <c r="J3" i="4"/>
  <c r="I3" i="4"/>
  <c r="M3" i="4" s="1"/>
  <c r="O3" i="4" s="1"/>
  <c r="H3" i="4"/>
  <c r="N3" i="4" s="1"/>
  <c r="AA2" i="4"/>
  <c r="AB2" i="4" s="1"/>
  <c r="V2" i="4"/>
  <c r="L2" i="4"/>
  <c r="K2" i="4"/>
  <c r="Q2" i="4" s="1"/>
  <c r="J2" i="4"/>
  <c r="I2" i="4"/>
  <c r="H2" i="4"/>
  <c r="M2" i="4" s="1"/>
  <c r="AC8" i="3"/>
  <c r="AB8" i="3"/>
  <c r="AB2" i="3"/>
  <c r="AA8" i="3"/>
  <c r="AA5" i="3"/>
  <c r="AA2" i="3"/>
  <c r="H26" i="3"/>
  <c r="H25" i="3"/>
  <c r="H24" i="3"/>
  <c r="H23" i="3"/>
  <c r="H22" i="3"/>
  <c r="H21" i="3"/>
  <c r="H20" i="3"/>
  <c r="H19" i="3"/>
  <c r="H18" i="3"/>
  <c r="H17" i="3"/>
  <c r="H16" i="3"/>
  <c r="H15" i="3"/>
  <c r="V11" i="3"/>
  <c r="M11" i="3"/>
  <c r="L11" i="3"/>
  <c r="K11" i="3"/>
  <c r="J11" i="3"/>
  <c r="I11" i="3"/>
  <c r="H11" i="3"/>
  <c r="Q11" i="3" s="1"/>
  <c r="V10" i="3"/>
  <c r="L10" i="3"/>
  <c r="K10" i="3"/>
  <c r="Q10" i="3" s="1"/>
  <c r="J10" i="3"/>
  <c r="I10" i="3"/>
  <c r="H10" i="3"/>
  <c r="N10" i="3" s="1"/>
  <c r="V9" i="3"/>
  <c r="L9" i="3"/>
  <c r="K9" i="3"/>
  <c r="J9" i="3"/>
  <c r="I9" i="3"/>
  <c r="P9" i="3" s="1"/>
  <c r="H9" i="3"/>
  <c r="M9" i="3" s="1"/>
  <c r="V8" i="3"/>
  <c r="M8" i="3"/>
  <c r="L8" i="3"/>
  <c r="K8" i="3"/>
  <c r="J8" i="3"/>
  <c r="I8" i="3"/>
  <c r="H8" i="3"/>
  <c r="Q8" i="3" s="1"/>
  <c r="V7" i="3"/>
  <c r="L7" i="3"/>
  <c r="K7" i="3"/>
  <c r="Q7" i="3" s="1"/>
  <c r="J7" i="3"/>
  <c r="I7" i="3"/>
  <c r="H7" i="3"/>
  <c r="N7" i="3" s="1"/>
  <c r="V6" i="3"/>
  <c r="L6" i="3"/>
  <c r="K6" i="3"/>
  <c r="J6" i="3"/>
  <c r="I6" i="3"/>
  <c r="H6" i="3"/>
  <c r="M6" i="3" s="1"/>
  <c r="V5" i="3"/>
  <c r="M5" i="3"/>
  <c r="L5" i="3"/>
  <c r="K5" i="3"/>
  <c r="J5" i="3"/>
  <c r="I5" i="3"/>
  <c r="H5" i="3"/>
  <c r="Q5" i="3" s="1"/>
  <c r="V4" i="3"/>
  <c r="Q4" i="3"/>
  <c r="L4" i="3"/>
  <c r="K4" i="3"/>
  <c r="M4" i="3" s="1"/>
  <c r="O4" i="3" s="1"/>
  <c r="J4" i="3"/>
  <c r="I4" i="3"/>
  <c r="H4" i="3"/>
  <c r="N4" i="3" s="1"/>
  <c r="V3" i="3"/>
  <c r="L3" i="3"/>
  <c r="K3" i="3"/>
  <c r="J3" i="3"/>
  <c r="I3" i="3"/>
  <c r="H3" i="3"/>
  <c r="N3" i="3" s="1"/>
  <c r="V2" i="3"/>
  <c r="L2" i="3"/>
  <c r="K2" i="3"/>
  <c r="Q2" i="3" s="1"/>
  <c r="J2" i="3"/>
  <c r="I2" i="3"/>
  <c r="H2" i="3"/>
  <c r="N2" i="3" s="1"/>
  <c r="W2" i="2"/>
  <c r="W3" i="2"/>
  <c r="W4" i="2"/>
  <c r="W5" i="2"/>
  <c r="W6" i="2"/>
  <c r="W7" i="2"/>
  <c r="W8" i="2"/>
  <c r="W9" i="2"/>
  <c r="W10" i="2"/>
  <c r="W11" i="2"/>
  <c r="J11" i="2"/>
  <c r="J10" i="2"/>
  <c r="J9" i="2"/>
  <c r="J8" i="2"/>
  <c r="J7" i="2"/>
  <c r="J6" i="2"/>
  <c r="J5" i="2"/>
  <c r="J2" i="2"/>
  <c r="J3" i="2"/>
  <c r="J4" i="2"/>
  <c r="I11" i="2"/>
  <c r="I10" i="2"/>
  <c r="I9" i="2"/>
  <c r="I8" i="2"/>
  <c r="I7" i="2"/>
  <c r="I6" i="2"/>
  <c r="I5" i="2"/>
  <c r="I4" i="2"/>
  <c r="I2" i="2"/>
  <c r="I3" i="2"/>
  <c r="H25" i="2"/>
  <c r="H26" i="2"/>
  <c r="H23" i="2"/>
  <c r="H24" i="2"/>
  <c r="H16" i="2"/>
  <c r="H17" i="2"/>
  <c r="H18" i="2"/>
  <c r="H19" i="2"/>
  <c r="H20" i="2"/>
  <c r="H21" i="2"/>
  <c r="H22" i="2"/>
  <c r="H15" i="2"/>
  <c r="L2" i="2"/>
  <c r="L3" i="2"/>
  <c r="L4" i="2"/>
  <c r="L5" i="2"/>
  <c r="L6" i="2"/>
  <c r="L7" i="2"/>
  <c r="L8" i="2"/>
  <c r="L9" i="2"/>
  <c r="L10" i="2"/>
  <c r="L11" i="2"/>
  <c r="K2" i="2"/>
  <c r="K3" i="2"/>
  <c r="K4" i="2"/>
  <c r="K5" i="2"/>
  <c r="K6" i="2"/>
  <c r="K7" i="2"/>
  <c r="K8" i="2"/>
  <c r="K9" i="2"/>
  <c r="K10" i="2"/>
  <c r="K11" i="2"/>
  <c r="H2" i="2"/>
  <c r="H3" i="2"/>
  <c r="H4" i="2"/>
  <c r="H5" i="2"/>
  <c r="H6" i="2"/>
  <c r="H7" i="2"/>
  <c r="H8" i="2"/>
  <c r="H9" i="2"/>
  <c r="H10" i="2"/>
  <c r="H11" i="2"/>
  <c r="R11" i="4" l="1"/>
  <c r="O8" i="4"/>
  <c r="S8" i="4" s="1"/>
  <c r="T8" i="4" s="1"/>
  <c r="N2" i="4"/>
  <c r="O2" i="4" s="1"/>
  <c r="P3" i="4"/>
  <c r="M4" i="4"/>
  <c r="O4" i="4" s="1"/>
  <c r="S4" i="4" s="1"/>
  <c r="T4" i="4" s="1"/>
  <c r="W4" i="4" s="1"/>
  <c r="P6" i="4"/>
  <c r="P2" i="4"/>
  <c r="R2" i="4" s="1"/>
  <c r="Q3" i="4"/>
  <c r="N4" i="4"/>
  <c r="P5" i="4"/>
  <c r="R5" i="4" s="1"/>
  <c r="Q6" i="4"/>
  <c r="M7" i="4"/>
  <c r="O7" i="4" s="1"/>
  <c r="N9" i="4"/>
  <c r="O9" i="4" s="1"/>
  <c r="P10" i="4"/>
  <c r="R10" i="4" s="1"/>
  <c r="P9" i="4"/>
  <c r="R9" i="4" s="1"/>
  <c r="N11" i="4"/>
  <c r="O11" i="4" s="1"/>
  <c r="S11" i="4" s="1"/>
  <c r="T11" i="4" s="1"/>
  <c r="W11" i="4" s="1"/>
  <c r="M5" i="4"/>
  <c r="O5" i="4" s="1"/>
  <c r="S5" i="4" s="1"/>
  <c r="T5" i="4" s="1"/>
  <c r="P7" i="4"/>
  <c r="R7" i="4" s="1"/>
  <c r="M10" i="4"/>
  <c r="O10" i="4" s="1"/>
  <c r="O8" i="3"/>
  <c r="S8" i="3" s="1"/>
  <c r="T8" i="3" s="1"/>
  <c r="W8" i="3" s="1"/>
  <c r="O11" i="3"/>
  <c r="P2" i="3"/>
  <c r="R2" i="3" s="1"/>
  <c r="M3" i="3"/>
  <c r="O3" i="3" s="1"/>
  <c r="P4" i="3"/>
  <c r="R4" i="3" s="1"/>
  <c r="S4" i="3" s="1"/>
  <c r="T4" i="3" s="1"/>
  <c r="W4" i="3" s="1"/>
  <c r="X7" i="3" s="1"/>
  <c r="N6" i="3"/>
  <c r="O6" i="3" s="1"/>
  <c r="P7" i="3"/>
  <c r="R7" i="3" s="1"/>
  <c r="N9" i="3"/>
  <c r="O9" i="3" s="1"/>
  <c r="P10" i="3"/>
  <c r="R10" i="3" s="1"/>
  <c r="M7" i="3"/>
  <c r="O7" i="3" s="1"/>
  <c r="S7" i="3" s="1"/>
  <c r="T7" i="3" s="1"/>
  <c r="W7" i="3" s="1"/>
  <c r="M10" i="3"/>
  <c r="O10" i="3" s="1"/>
  <c r="S10" i="3" s="1"/>
  <c r="T10" i="3" s="1"/>
  <c r="W10" i="3" s="1"/>
  <c r="N5" i="3"/>
  <c r="O5" i="3" s="1"/>
  <c r="S5" i="3" s="1"/>
  <c r="T5" i="3" s="1"/>
  <c r="W5" i="3" s="1"/>
  <c r="X8" i="3" s="1"/>
  <c r="P6" i="3"/>
  <c r="N8" i="3"/>
  <c r="M2" i="3"/>
  <c r="O2" i="3" s="1"/>
  <c r="S2" i="3" s="1"/>
  <c r="T2" i="3" s="1"/>
  <c r="W2" i="3" s="1"/>
  <c r="P3" i="3"/>
  <c r="Q3" i="3"/>
  <c r="P5" i="3"/>
  <c r="R5" i="3" s="1"/>
  <c r="P8" i="3"/>
  <c r="R8" i="3" s="1"/>
  <c r="P11" i="3"/>
  <c r="R11" i="3" s="1"/>
  <c r="N11" i="3"/>
  <c r="Q6" i="3"/>
  <c r="Q9" i="3"/>
  <c r="R9" i="3" s="1"/>
  <c r="N6" i="2"/>
  <c r="N7" i="2"/>
  <c r="M11" i="2"/>
  <c r="P9" i="2"/>
  <c r="P3" i="2"/>
  <c r="Q7" i="2"/>
  <c r="N4" i="2"/>
  <c r="P8" i="2"/>
  <c r="N2" i="2"/>
  <c r="M6" i="2"/>
  <c r="O6" i="2" s="1"/>
  <c r="Q9" i="2"/>
  <c r="P7" i="2"/>
  <c r="R7" i="2" s="1"/>
  <c r="N8" i="2"/>
  <c r="M2" i="2"/>
  <c r="P6" i="2"/>
  <c r="N5" i="2"/>
  <c r="M10" i="2"/>
  <c r="N3" i="2"/>
  <c r="Q2" i="2"/>
  <c r="M7" i="2"/>
  <c r="O7" i="2" s="1"/>
  <c r="N10" i="2"/>
  <c r="P2" i="2"/>
  <c r="N9" i="2"/>
  <c r="Q6" i="2"/>
  <c r="M4" i="2"/>
  <c r="O4" i="2" s="1"/>
  <c r="Q11" i="2"/>
  <c r="Q5" i="2"/>
  <c r="M9" i="2"/>
  <c r="M3" i="2"/>
  <c r="P11" i="2"/>
  <c r="P5" i="2"/>
  <c r="Q10" i="2"/>
  <c r="Q4" i="2"/>
  <c r="M8" i="2"/>
  <c r="P10" i="2"/>
  <c r="P4" i="2"/>
  <c r="Q3" i="2"/>
  <c r="N11" i="2"/>
  <c r="M5" i="2"/>
  <c r="Q8" i="2"/>
  <c r="R3" i="2"/>
  <c r="O3" i="2" l="1"/>
  <c r="S2" i="4"/>
  <c r="T2" i="4" s="1"/>
  <c r="S9" i="4"/>
  <c r="T9" i="4" s="1"/>
  <c r="W9" i="4" s="1"/>
  <c r="S7" i="4"/>
  <c r="T7" i="4" s="1"/>
  <c r="W7" i="4" s="1"/>
  <c r="X7" i="4" s="1"/>
  <c r="R6" i="4"/>
  <c r="S6" i="4" s="1"/>
  <c r="T6" i="4" s="1"/>
  <c r="W6" i="4" s="1"/>
  <c r="R3" i="4"/>
  <c r="S3" i="4" s="1"/>
  <c r="T3" i="4" s="1"/>
  <c r="W3" i="4" s="1"/>
  <c r="W5" i="4"/>
  <c r="S10" i="4"/>
  <c r="T10" i="4" s="1"/>
  <c r="W10" i="4" s="1"/>
  <c r="W8" i="4"/>
  <c r="X11" i="4" s="1"/>
  <c r="S9" i="3"/>
  <c r="T9" i="3" s="1"/>
  <c r="W9" i="3" s="1"/>
  <c r="S11" i="3"/>
  <c r="T11" i="3" s="1"/>
  <c r="W11" i="3" s="1"/>
  <c r="X11" i="3" s="1"/>
  <c r="R6" i="3"/>
  <c r="S6" i="3" s="1"/>
  <c r="T6" i="3" s="1"/>
  <c r="W6" i="3" s="1"/>
  <c r="X9" i="3" s="1"/>
  <c r="X10" i="3"/>
  <c r="S3" i="3"/>
  <c r="T3" i="3" s="1"/>
  <c r="W3" i="3" s="1"/>
  <c r="R3" i="3"/>
  <c r="X5" i="3"/>
  <c r="O5" i="2"/>
  <c r="T5" i="2" s="1"/>
  <c r="U5" i="2" s="1"/>
  <c r="X5" i="2" s="1"/>
  <c r="R4" i="2"/>
  <c r="T4" i="2" s="1"/>
  <c r="U4" i="2" s="1"/>
  <c r="X4" i="2" s="1"/>
  <c r="R6" i="2"/>
  <c r="R9" i="2"/>
  <c r="R8" i="2"/>
  <c r="R5" i="2"/>
  <c r="O2" i="2"/>
  <c r="O11" i="2"/>
  <c r="O8" i="2"/>
  <c r="O9" i="2"/>
  <c r="T9" i="2" s="1"/>
  <c r="U9" i="2" s="1"/>
  <c r="X9" i="2" s="1"/>
  <c r="O10" i="2"/>
  <c r="R11" i="2"/>
  <c r="T7" i="2"/>
  <c r="U7" i="2" s="1"/>
  <c r="X7" i="2" s="1"/>
  <c r="R2" i="2"/>
  <c r="R10" i="2"/>
  <c r="T6" i="2"/>
  <c r="U6" i="2" s="1"/>
  <c r="X6" i="2" s="1"/>
  <c r="T3" i="2"/>
  <c r="U3" i="2" s="1"/>
  <c r="X3" i="2" s="1"/>
  <c r="T2" i="2" l="1"/>
  <c r="U2" i="2" s="1"/>
  <c r="X2" i="2" s="1"/>
  <c r="Y5" i="2" s="1"/>
  <c r="AA8" i="4"/>
  <c r="AB8" i="4" s="1"/>
  <c r="U15" i="4"/>
  <c r="X9" i="4"/>
  <c r="U16" i="4"/>
  <c r="X6" i="4"/>
  <c r="W2" i="4"/>
  <c r="X4" i="4" s="1"/>
  <c r="U14" i="4"/>
  <c r="X10" i="4"/>
  <c r="X8" i="4"/>
  <c r="AA5" i="4"/>
  <c r="X6" i="3"/>
  <c r="X4" i="3"/>
  <c r="Y6" i="2"/>
  <c r="Y9" i="2"/>
  <c r="Y4" i="2"/>
  <c r="Y7" i="2"/>
  <c r="T8" i="2"/>
  <c r="U8" i="2" s="1"/>
  <c r="X8" i="2" s="1"/>
  <c r="Y8" i="2" s="1"/>
  <c r="T11" i="2"/>
  <c r="U11" i="2" s="1"/>
  <c r="X11" i="2" s="1"/>
  <c r="T10" i="2"/>
  <c r="U10" i="2" s="1"/>
  <c r="X10" i="2" s="1"/>
  <c r="Y10" i="2" s="1"/>
  <c r="X5" i="4" l="1"/>
  <c r="Y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5F1AC-6CA5-47F6-B73B-BE1B50B88D26}" keepAlive="1" name="Zapytanie — Zadanie1-Zalacznik1-projekty" description="Połączenie z zapytaniem „Zadanie1-Zalacznik1-projekty” w skoroszycie." type="5" refreshedVersion="6" background="1" saveData="1">
    <dbPr connection="Provider=Microsoft.Mashup.OleDb.1;Data Source=$Workbook$;Location=Zadanie1-Zalacznik1-projekty;Extended Properties=&quot;&quot;" command="SELECT * FROM [Zadanie1-Zalacznik1-projekty]"/>
  </connection>
  <connection id="2" xr16:uid="{446F9AA8-205A-4E94-87C8-29F0925A6FD7}" keepAlive="1" name="Zapytanie — Zadanie1-Zalacznik1-projekty (2)" description="Połączenie z zapytaniem „Zadanie1-Zalacznik1-projekty (2)” w skoroszycie." type="5" refreshedVersion="6" background="1" saveData="1">
    <dbPr connection="Provider=Microsoft.Mashup.OleDb.1;Data Source=$Workbook$;Location=&quot;Zadanie1-Zalacznik1-projekty (2)&quot;;Extended Properties=&quot;&quot;" command="SELECT * FROM [Zadanie1-Zalacznik1-projekty (2)]"/>
  </connection>
  <connection id="3" xr16:uid="{D73111A9-3E78-498A-A7E2-805D836C20EA}" keepAlive="1" name="Zapytanie — Zadanie1-Zalacznik1-projekty (3)" description="Połączenie z zapytaniem „Zadanie1-Zalacznik1-projekty (3)” w skoroszycie." type="5" refreshedVersion="6" background="1" saveData="1">
    <dbPr connection="Provider=Microsoft.Mashup.OleDb.1;Data Source=$Workbook$;Location=&quot;Zadanie1-Zalacznik1-projekty (3)&quot;;Extended Properties=&quot;&quot;" command="SELECT * FROM [Zadanie1-Zalacznik1-projekty (3)]"/>
  </connection>
  <connection id="4" xr16:uid="{40AEA716-517C-4930-87E8-78010DB32769}" keepAlive="1" name="Zapytanie — Zadanie1-Zalacznik1-projekty (4)" description="Połączenie z zapytaniem „Zadanie1-Zalacznik1-projekty (4)” w skoroszycie." type="5" refreshedVersion="6" background="1" saveData="1">
    <dbPr connection="Provider=Microsoft.Mashup.OleDb.1;Data Source=$Workbook$;Location=&quot;Zadanie1-Zalacznik1-projekty (4)&quot;;Extended Properties=&quot;&quot;" command="SELECT * FROM [Zadanie1-Zalacznik1-projekty (4)]"/>
  </connection>
  <connection id="5" xr16:uid="{9EA2A8C2-51AA-4CB6-AC23-4BD5C89E0A49}" keepAlive="1" name="Zapytanie — Zadanie1-Zalacznik1-wspolczynniki" description="Połączenie z zapytaniem „Zadanie1-Zalacznik1-wspolczynniki” w skoroszycie." type="5" refreshedVersion="6" background="1" saveData="1">
    <dbPr connection="Provider=Microsoft.Mashup.OleDb.1;Data Source=$Workbook$;Location=Zadanie1-Zalacznik1-wspolczynniki;Extended Properties=&quot;&quot;" command="SELECT * FROM [Zadanie1-Zalacznik1-wspolczynniki]"/>
  </connection>
  <connection id="6" xr16:uid="{E18A9F6C-7E55-4C36-A147-368646E25EF0}" keepAlive="1" name="Zapytanie — Zadanie1-Zalacznik1-wspolczynniki (2)" description="Połączenie z zapytaniem „Zadanie1-Zalacznik1-wspolczynniki (2)” w skoroszycie." type="5" refreshedVersion="6" background="1" saveData="1">
    <dbPr connection="Provider=Microsoft.Mashup.OleDb.1;Data Source=$Workbook$;Location=&quot;Zadanie1-Zalacznik1-wspolczynniki (2)&quot;;Extended Properties=&quot;&quot;" command="SELECT * FROM [Zadanie1-Zalacznik1-wspolczynniki (2)]"/>
  </connection>
  <connection id="7" xr16:uid="{3A512D94-5F23-49AB-B8E9-E0DB685B096E}" keepAlive="1" name="Zapytanie — Zadanie1-Zalacznik1-wspolczynniki (3)" description="Połączenie z zapytaniem „Zadanie1-Zalacznik1-wspolczynniki (3)” w skoroszycie." type="5" refreshedVersion="6" background="1" saveData="1">
    <dbPr connection="Provider=Microsoft.Mashup.OleDb.1;Data Source=$Workbook$;Location=&quot;Zadanie1-Zalacznik1-wspolczynniki (3)&quot;;Extended Properties=&quot;&quot;" command="SELECT * FROM [Zadanie1-Zalacznik1-wspolczynniki (3)]"/>
  </connection>
  <connection id="8" xr16:uid="{FD3A3083-B76A-485F-B6AD-2A471B52FA17}" keepAlive="1" name="Zapytanie — Zadanie1-Zalacznik1-wspolczynniki (4)" description="Połączenie z zapytaniem „Zadanie1-Zalacznik1-wspolczynniki (4)” w skoroszycie." type="5" refreshedVersion="6" background="1" saveData="1">
    <dbPr connection="Provider=Microsoft.Mashup.OleDb.1;Data Source=$Workbook$;Location=&quot;Zadanie1-Zalacznik1-wspolczynniki (4)&quot;;Extended Properties=&quot;&quot;" command="SELECT * FROM [Zadanie1-Zalacznik1-wspolczynniki (4)]"/>
  </connection>
</connections>
</file>

<file path=xl/sharedStrings.xml><?xml version="1.0" encoding="utf-8"?>
<sst xmlns="http://schemas.openxmlformats.org/spreadsheetml/2006/main" count="160" uniqueCount="66">
  <si>
    <t>Nr_projektu</t>
  </si>
  <si>
    <t>Minimalna_długość_kodu</t>
  </si>
  <si>
    <t>Maksymalna_długość_kodu</t>
  </si>
  <si>
    <t>Typowość</t>
  </si>
  <si>
    <t>Elastyczność</t>
  </si>
  <si>
    <t>Zarz_ryzykiem</t>
  </si>
  <si>
    <t>Spoj_zespołu</t>
  </si>
  <si>
    <t>1</t>
  </si>
  <si>
    <t>2</t>
  </si>
  <si>
    <t>3</t>
  </si>
  <si>
    <t>4l5</t>
  </si>
  <si>
    <t>4</t>
  </si>
  <si>
    <t>5</t>
  </si>
  <si>
    <t>3l4</t>
  </si>
  <si>
    <t>Kategoria</t>
  </si>
  <si>
    <t>Zarządzanie ryzykiem</t>
  </si>
  <si>
    <t>Spójność zespołu</t>
  </si>
  <si>
    <t>a</t>
  </si>
  <si>
    <t>b</t>
  </si>
  <si>
    <t>c</t>
  </si>
  <si>
    <t>P - minimalna liczba pracowników</t>
  </si>
  <si>
    <t>Kolumna1</t>
  </si>
  <si>
    <t>Kolumna2</t>
  </si>
  <si>
    <t>K min - lewo</t>
  </si>
  <si>
    <t>K min - prawo</t>
  </si>
  <si>
    <t>K min średnia</t>
  </si>
  <si>
    <t>K max lewo</t>
  </si>
  <si>
    <t>K max prawo</t>
  </si>
  <si>
    <t>K max średnia</t>
  </si>
  <si>
    <t>K ostateczne</t>
  </si>
  <si>
    <t>typowość - wartość</t>
  </si>
  <si>
    <t>Kolumna3</t>
  </si>
  <si>
    <t>zarządzanie ryz - wartość</t>
  </si>
  <si>
    <t>spójność - wartość</t>
  </si>
  <si>
    <t>elastyczność lewy - wartość</t>
  </si>
  <si>
    <t>elastyczność prawy - wartość</t>
  </si>
  <si>
    <t>zatrudnieni w firmie</t>
  </si>
  <si>
    <t>ile brakuje osób</t>
  </si>
  <si>
    <t>projket - id</t>
  </si>
  <si>
    <t>do zatrudnienia</t>
  </si>
  <si>
    <t>zostaje 1</t>
  </si>
  <si>
    <t>zostaje 1 + 5</t>
  </si>
  <si>
    <t>zostaje 6 + 3</t>
  </si>
  <si>
    <t>dalej wystarczy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</si>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</sst>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89">
    <dxf>
      <numFmt numFmtId="0" formatCode="General"/>
    </dxf>
    <dxf>
      <font>
        <b/>
        <charset val="238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braki w osobach do projektu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Arkusz1!$W$2:$W$11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Arkusz1!$X$2:$X$11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4-4989-87AF-B03670A4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75199"/>
        <c:axId val="533790767"/>
      </c:barChart>
      <c:catAx>
        <c:axId val="5481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numer projektu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790767"/>
        <c:crosses val="autoZero"/>
        <c:auto val="1"/>
        <c:lblAlgn val="ctr"/>
        <c:lblOffset val="100"/>
        <c:noMultiLvlLbl val="0"/>
      </c:catAx>
      <c:valAx>
        <c:axId val="5337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ilość brakująchych osób</a:t>
                </a:r>
                <a:endParaRPr lang="es-E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1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braki w osobach do projektu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Arkusz1!$W$2:$W$11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Arkusz1!$X$2:$X$11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A-461F-BD2C-3F52ADD5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75199"/>
        <c:axId val="533790767"/>
      </c:barChart>
      <c:catAx>
        <c:axId val="5481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numer projektu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790767"/>
        <c:crosses val="autoZero"/>
        <c:auto val="1"/>
        <c:lblAlgn val="ctr"/>
        <c:lblOffset val="100"/>
        <c:noMultiLvlLbl val="0"/>
      </c:catAx>
      <c:valAx>
        <c:axId val="5337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ilość brakująchych osób</a:t>
                </a:r>
                <a:endParaRPr lang="es-E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1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685800</xdr:colOff>
      <xdr:row>12</xdr:row>
      <xdr:rowOff>76200</xdr:rowOff>
    </xdr:from>
    <xdr:to>
      <xdr:col>23</xdr:col>
      <xdr:colOff>198120</xdr:colOff>
      <xdr:row>35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9DBF1A-319E-49B8-8AFD-BDAD3B17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14</xdr:row>
      <xdr:rowOff>22860</xdr:rowOff>
    </xdr:from>
    <xdr:to>
      <xdr:col>19</xdr:col>
      <xdr:colOff>762000</xdr:colOff>
      <xdr:row>34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49323B-0D69-41AD-91AD-AE2DB9C19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A3F388-AD2D-42E0-AEED-A3A67731735F}" autoFormatId="16" applyNumberFormats="0" applyBorderFormats="0" applyFontFormats="0" applyPatternFormats="0" applyAlignmentFormats="0" applyWidthHeightFormats="0">
  <queryTableRefresh nextId="27" unboundColumnsRight="18">
    <queryTableFields count="25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16" dataBound="0" tableColumnId="19"/>
      <queryTableField id="19" dataBound="0" tableColumnId="23"/>
      <queryTableField id="20" dataBound="0" tableColumnId="25"/>
      <queryTableField id="18" dataBound="0" tableColumnId="22"/>
      <queryTableField id="17" dataBound="0" tableColumnId="21"/>
      <queryTableField id="8" dataBound="0" tableColumnId="8"/>
      <queryTableField id="12" dataBound="0" tableColumnId="14"/>
      <queryTableField id="11" dataBound="0" tableColumnId="11"/>
      <queryTableField id="14" dataBound="0" tableColumnId="16"/>
      <queryTableField id="13" dataBound="0" tableColumnId="15"/>
      <queryTableField id="10" dataBound="0" tableColumnId="10"/>
      <queryTableField id="26" dataBound="0" tableColumnId="31"/>
      <queryTableField id="15" dataBound="0" tableColumnId="18"/>
      <queryTableField id="9" dataBound="0" tableColumnId="9"/>
      <queryTableField id="21" dataBound="0" tableColumnId="26"/>
      <queryTableField id="23" dataBound="0" tableColumnId="28"/>
      <queryTableField id="22" dataBound="0" tableColumnId="27"/>
      <queryTableField id="24" dataBound="0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6378E002-866D-4CEB-B724-D2A122D4FAAD}" autoFormatId="16" applyNumberFormats="0" applyBorderFormats="0" applyFontFormats="0" applyPatternFormats="0" applyAlignmentFormats="0" applyWidthHeightFormats="0">
  <queryTableRefresh nextId="6">
    <queryTableFields count="5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850C85D-ECC5-429D-86F4-B4E99EA699EF}" autoFormatId="16" applyNumberFormats="0" applyBorderFormats="0" applyFontFormats="0" applyPatternFormats="0" applyAlignmentFormats="0" applyWidthHeightFormats="0">
  <queryTableRefresh nextId="25" unboundColumnsRight="17">
    <queryTableFields count="24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16" dataBound="0" tableColumnId="19"/>
      <queryTableField id="19" dataBound="0" tableColumnId="23"/>
      <queryTableField id="20" dataBound="0" tableColumnId="25"/>
      <queryTableField id="18" dataBound="0" tableColumnId="22"/>
      <queryTableField id="17" dataBound="0" tableColumnId="21"/>
      <queryTableField id="8" dataBound="0" tableColumnId="8"/>
      <queryTableField id="12" dataBound="0" tableColumnId="14"/>
      <queryTableField id="11" dataBound="0" tableColumnId="11"/>
      <queryTableField id="14" dataBound="0" tableColumnId="16"/>
      <queryTableField id="13" dataBound="0" tableColumnId="15"/>
      <queryTableField id="10" dataBound="0" tableColumnId="10"/>
      <queryTableField id="15" dataBound="0" tableColumnId="18"/>
      <queryTableField id="9" dataBound="0" tableColumnId="9"/>
      <queryTableField id="21" dataBound="0" tableColumnId="26"/>
      <queryTableField id="23" dataBound="0" tableColumnId="28"/>
      <queryTableField id="22" dataBound="0" tableColumnId="27"/>
      <queryTableField id="24" dataBound="0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8A27E64F-2CD7-4549-815B-75965CA70869}" autoFormatId="16" applyNumberFormats="0" applyBorderFormats="0" applyFontFormats="0" applyPatternFormats="0" applyAlignmentFormats="0" applyWidthHeightFormats="0">
  <queryTableRefresh nextId="6">
    <queryTableFields count="5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D6DE002-8D3E-41CC-BFAD-0E93AA95C5BA}" autoFormatId="16" applyNumberFormats="0" applyBorderFormats="0" applyFontFormats="0" applyPatternFormats="0" applyAlignmentFormats="0" applyWidthHeightFormats="0">
  <queryTableRefresh nextId="25" unboundColumnsRight="17">
    <queryTableFields count="24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16" dataBound="0" tableColumnId="19"/>
      <queryTableField id="19" dataBound="0" tableColumnId="23"/>
      <queryTableField id="20" dataBound="0" tableColumnId="25"/>
      <queryTableField id="18" dataBound="0" tableColumnId="22"/>
      <queryTableField id="17" dataBound="0" tableColumnId="21"/>
      <queryTableField id="8" dataBound="0" tableColumnId="8"/>
      <queryTableField id="12" dataBound="0" tableColumnId="14"/>
      <queryTableField id="11" dataBound="0" tableColumnId="11"/>
      <queryTableField id="14" dataBound="0" tableColumnId="16"/>
      <queryTableField id="13" dataBound="0" tableColumnId="15"/>
      <queryTableField id="10" dataBound="0" tableColumnId="10"/>
      <queryTableField id="15" dataBound="0" tableColumnId="18"/>
      <queryTableField id="9" dataBound="0" tableColumnId="9"/>
      <queryTableField id="21" dataBound="0" tableColumnId="26"/>
      <queryTableField id="23" dataBound="0" tableColumnId="28"/>
      <queryTableField id="22" dataBound="0" tableColumnId="27"/>
      <queryTableField id="24" dataBound="0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F2C78B14-E92D-4F1B-BF5E-EB077A92D9F0}" autoFormatId="16" applyNumberFormats="0" applyBorderFormats="0" applyFontFormats="0" applyPatternFormats="0" applyAlignmentFormats="0" applyWidthHeightFormats="0">
  <queryTableRefresh nextId="6">
    <queryTableFields count="5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CC2AED53-A7F8-455C-BDF5-44F98E63602F}" autoFormatId="16" applyNumberFormats="0" applyBorderFormats="0" applyFontFormats="0" applyPatternFormats="0" applyAlignmentFormats="0" applyWidthHeightFormats="0">
  <queryTableRefresh nextId="25" unboundColumnsRight="17">
    <queryTableFields count="24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16" dataBound="0" tableColumnId="19"/>
      <queryTableField id="19" dataBound="0" tableColumnId="23"/>
      <queryTableField id="20" dataBound="0" tableColumnId="25"/>
      <queryTableField id="18" dataBound="0" tableColumnId="22"/>
      <queryTableField id="17" dataBound="0" tableColumnId="21"/>
      <queryTableField id="8" dataBound="0" tableColumnId="8"/>
      <queryTableField id="12" dataBound="0" tableColumnId="14"/>
      <queryTableField id="11" dataBound="0" tableColumnId="11"/>
      <queryTableField id="14" dataBound="0" tableColumnId="16"/>
      <queryTableField id="13" dataBound="0" tableColumnId="15"/>
      <queryTableField id="10" dataBound="0" tableColumnId="10"/>
      <queryTableField id="15" dataBound="0" tableColumnId="18"/>
      <queryTableField id="9" dataBound="0" tableColumnId="9"/>
      <queryTableField id="21" dataBound="0" tableColumnId="26"/>
      <queryTableField id="23" dataBound="0" tableColumnId="28"/>
      <queryTableField id="22" dataBound="0" tableColumnId="27"/>
      <queryTableField id="24" dataBound="0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22BD94C3-9BB9-4EAC-B08F-360C11BA5D42}" autoFormatId="16" applyNumberFormats="0" applyBorderFormats="0" applyFontFormats="0" applyPatternFormats="0" applyAlignmentFormats="0" applyWidthHeightFormats="0">
  <queryTableRefresh nextId="6">
    <queryTableFields count="5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BFF2F-3646-4E05-B515-47A2FCE369AD}" name="Zadanie1_Zalacznik1_projekty" displayName="Zadanie1_Zalacznik1_projekty" ref="A1:Y11" tableType="queryTable" totalsRowShown="0">
  <autoFilter ref="A1:Y11" xr:uid="{532EC6F7-6BA4-4720-B713-3C89D179D394}"/>
  <tableColumns count="25">
    <tableColumn id="1" xr3:uid="{7C99EE30-CA1E-4B6D-9D2A-AD9D51EE3B02}" uniqueName="1" name="Nr_projektu" queryTableFieldId="1"/>
    <tableColumn id="2" xr3:uid="{73485A05-27E5-444D-93F7-1CE571A8AE48}" uniqueName="2" name="Minimalna_długość_kodu" queryTableFieldId="2"/>
    <tableColumn id="3" xr3:uid="{974E0250-27FD-43C4-A700-C135C41E990B}" uniqueName="3" name="Maksymalna_długość_kodu" queryTableFieldId="3"/>
    <tableColumn id="4" xr3:uid="{0D599633-7E85-40D8-A057-C62DBBED0DE0}" uniqueName="4" name="Typowość" queryTableFieldId="4" dataDxfId="87"/>
    <tableColumn id="5" xr3:uid="{AA28417D-9B05-4D41-8A58-357000923E92}" uniqueName="5" name="Elastyczność" queryTableFieldId="5" dataDxfId="86"/>
    <tableColumn id="6" xr3:uid="{44A1654B-81DA-4559-A7A1-A4B4B30D4FD5}" uniqueName="6" name="Zarz_ryzykiem" queryTableFieldId="6" dataDxfId="85"/>
    <tableColumn id="7" xr3:uid="{6B3937E4-8CE9-47B8-AEF0-2CCC57B6C7E4}" uniqueName="7" name="Spoj_zespołu" queryTableFieldId="7" dataDxfId="84"/>
    <tableColumn id="19" xr3:uid="{A50B53BE-5AF2-440B-A3F5-9AE75652E4D4}" uniqueName="19" name="typowość - wartość" queryTableFieldId="16" dataDxfId="83">
      <calculatedColumnFormula>VLOOKUP(Zadanie1_Zalacznik1_projekty[[#This Row],[Typowość]],Zadanie1_Zalacznik1_wspolczynniki[[Kategoria]:[Typowość]],2,FALSE)</calculatedColumnFormula>
    </tableColumn>
    <tableColumn id="23" xr3:uid="{79FE7D4F-3B0E-4D08-B8D6-1CDE78C8766C}" uniqueName="23" name="elastyczność lewy - wartość" queryTableFieldId="19" dataDxfId="82">
      <calculatedColumnFormula>VLOOKUP(1,Zadanie1_Zalacznik1_wspolczynniki[[#All],[Kategoria]:[Elastyczność]],3,FALSE)</calculatedColumnFormula>
    </tableColumn>
    <tableColumn id="25" xr3:uid="{BC49FA61-5A54-47F7-9D46-FFDA8DDC9693}" uniqueName="25" name="elastyczność prawy - wartość" queryTableFieldId="20" dataDxfId="81">
      <calculatedColumnFormula>VLOOKUP(2,Zadanie1_Zalacznik1_wspolczynniki[[#All],[Kategoria]:[Elastyczność]],3,FALSE)</calculatedColumnFormula>
    </tableColumn>
    <tableColumn id="22" xr3:uid="{3F96F66F-8248-44C3-A733-E57B1667420D}" uniqueName="22" name="zarządzanie ryz - wartość" queryTableFieldId="18" dataDxfId="80">
      <calculatedColumnFormula>VLOOKUP(Zadanie1_Zalacznik1_projekty[[#This Row],[Zarz_ryzykiem]],Zadanie1_Zalacznik1_wspolczynniki[[#All],[Kategoria]:[Zarządzanie ryzykiem]],4,FALSE)</calculatedColumnFormula>
    </tableColumn>
    <tableColumn id="21" xr3:uid="{460771BC-E868-46CA-99E3-63BC005D08E2}" uniqueName="21" name="spójność - wartość" queryTableFieldId="17" dataDxfId="79">
      <calculatedColumnFormula>VLOOKUP(Zadanie1_Zalacznik1_projekty[[#This Row],[Spoj_zespołu]],Zadanie1_Zalacznik1_wspolczynniki[#All],5,FALSE)</calculatedColumnFormula>
    </tableColumn>
    <tableColumn id="8" xr3:uid="{6EE18A4B-3D20-4BF6-9DD2-7CA3B0F3E45A}" uniqueName="8" name="K min - lewo" queryTableFieldId="8" dataDxfId="78">
      <calculatedColumnFormula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calculatedColumnFormula>
    </tableColumn>
    <tableColumn id="14" xr3:uid="{6A8405C3-4737-40F6-9A1B-135C3097B26F}" uniqueName="14" name="K min - prawo" queryTableFieldId="12" dataDxfId="77">
      <calculatedColumnFormula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calculatedColumnFormula>
    </tableColumn>
    <tableColumn id="11" xr3:uid="{BD902AB8-70FF-46C0-97B6-8CCF399B0CFF}" uniqueName="11" name="K min średnia" queryTableFieldId="11" dataDxfId="76">
      <calculatedColumnFormula>AVERAGE(Zadanie1_Zalacznik1_projekty[[#This Row],[K min - lewo]],Zadanie1_Zalacznik1_projekty[[#This Row],[K min - prawo]])</calculatedColumnFormula>
    </tableColumn>
    <tableColumn id="16" xr3:uid="{6A7E0FB4-B0DF-494F-8673-CE137069F6AB}" uniqueName="16" name="K max lewo" queryTableFieldId="14" dataDxfId="75">
      <calculatedColumnFormula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calculatedColumnFormula>
    </tableColumn>
    <tableColumn id="15" xr3:uid="{D4BF981F-6315-497C-A068-FD7F62BA9E1E}" uniqueName="15" name="K max prawo" queryTableFieldId="13" dataDxfId="74">
      <calculatedColumnFormula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calculatedColumnFormula>
    </tableColumn>
    <tableColumn id="10" xr3:uid="{C175A0CC-3DCB-42B0-AA23-51D472E6D32A}" uniqueName="10" name="K max średnia" queryTableFieldId="10" dataDxfId="73">
      <calculatedColumnFormula>AVERAGE(Zadanie1_Zalacznik1_projekty[[#This Row],[K max lewo]],Zadanie1_Zalacznik1_projekty[[#This Row],[K max prawo]])</calculatedColumnFormula>
    </tableColumn>
    <tableColumn id="31" xr3:uid="{BEB68B0D-1E25-4FFD-8EFC-9A8D53F78704}" uniqueName="31" name="projekt" queryTableFieldId="26" dataDxfId="0">
      <calculatedColumnFormula>Zadanie1_Zalacznik1_projekty[[#This Row],[Nr_projektu]]</calculatedColumnFormula>
    </tableColumn>
    <tableColumn id="18" xr3:uid="{40809CB0-4D7D-4756-9718-9495110819B7}" uniqueName="18" name="K ostateczne" queryTableFieldId="15" dataDxfId="72">
      <calculatedColumnFormula>AVERAGE(Zadanie1_Zalacznik1_projekty[[#This Row],[K min średnia]],Zadanie1_Zalacznik1_projekty[[#This Row],[K max średnia]])</calculatedColumnFormula>
    </tableColumn>
    <tableColumn id="9" xr3:uid="{C9DC9752-C613-4B93-948D-9FB2628279B6}" uniqueName="9" name="P - minimalna liczba pracowników" queryTableFieldId="9" dataDxfId="71">
      <calculatedColumnFormula>INT(Zadanie1_Zalacznik1_projekty[[#This Row],[K ostateczne]]/(2.5*POWER(Zadanie1_Zalacznik1_projekty[[#This Row],[K ostateczne]],$B$24)))</calculatedColumnFormula>
    </tableColumn>
    <tableColumn id="26" xr3:uid="{EDD0FE69-0173-4E28-BE76-2F8B1C68841A}" uniqueName="26" name="zatrudnieni w firmie" queryTableFieldId="21" dataDxfId="70"/>
    <tableColumn id="28" xr3:uid="{F35DD7FF-84D9-4FE3-8075-EF6296F30E20}" uniqueName="28" name="projket - id" queryTableFieldId="23" dataDxfId="69">
      <calculatedColumnFormula>Zadanie1_Zalacznik1_projekty[[#This Row],[Nr_projektu]]</calculatedColumnFormula>
    </tableColumn>
    <tableColumn id="27" xr3:uid="{A9E6D0E8-5D38-446B-A0E0-0BEDB97C2AB3}" uniqueName="27" name="ile brakuje osób" queryTableFieldId="22" dataDxfId="68">
      <calculatedColumnFormula>Zadanie1_Zalacznik1_projekty[[#This Row],[P - minimalna liczba pracowników]]-Zadanie1_Zalacznik1_projekty[[#This Row],[zatrudnieni w firmie]]</calculatedColumnFormula>
    </tableColumn>
    <tableColumn id="29" xr3:uid="{B7960426-5B4B-4E30-B67A-3F3A43E4DC08}" uniqueName="29" name="do zatrudnienia" queryTableFieldId="24" dataDxfId="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E830B7-8D9D-408D-B482-BE17A1E302F2}" name="Zadanie1_Zalacznik1_wspolczynniki" displayName="Zadanie1_Zalacznik1_wspolczynniki" ref="A14:E19" tableType="queryTable" totalsRowShown="0">
  <autoFilter ref="A14:E19" xr:uid="{2D7B3A87-341E-4DC6-ABD0-DCAD70996B74}"/>
  <tableColumns count="5">
    <tableColumn id="1" xr3:uid="{4DD12A96-052D-47A7-9AFC-D9D96A00B3A9}" uniqueName="1" name="Kategoria" queryTableFieldId="1" dataDxfId="88"/>
    <tableColumn id="2" xr3:uid="{2FCA1502-57BE-484C-A644-CC877AAA2FFA}" uniqueName="2" name="Typowość" queryTableFieldId="2"/>
    <tableColumn id="3" xr3:uid="{98202FCF-5D7A-4302-9AC9-17FD0031AC38}" uniqueName="3" name="Elastyczność" queryTableFieldId="3"/>
    <tableColumn id="4" xr3:uid="{BC61DB4F-79FC-45BE-8BC1-419CF7D50747}" uniqueName="4" name="Zarządzanie ryzykiem" queryTableFieldId="4"/>
    <tableColumn id="5" xr3:uid="{6A564BC3-3462-4C24-87A3-87159AD943C8}" uniqueName="5" name="Spójność zespołu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EA0D3B-77D6-423F-AE2F-92896F627C5E}" name="Zadanie1_Zalacznik1_projekty6" displayName="Zadanie1_Zalacznik1_projekty6" ref="A1:X11" tableType="queryTable" totalsRowShown="0">
  <autoFilter ref="A1:X11" xr:uid="{12730372-62BC-46E7-80C7-683CAD0A8429}"/>
  <tableColumns count="24">
    <tableColumn id="1" xr3:uid="{04ED54DF-585A-4A9C-85A2-E8FFE1A21730}" uniqueName="1" name="Nr_projektu" queryTableFieldId="1"/>
    <tableColumn id="2" xr3:uid="{B89DD8E8-A53F-42BA-A566-370512AC86A5}" uniqueName="2" name="Minimalna_długość_kodu" queryTableFieldId="2"/>
    <tableColumn id="3" xr3:uid="{60289886-D6DC-40D7-BF28-6001521B9D91}" uniqueName="3" name="Maksymalna_długość_kodu" queryTableFieldId="3"/>
    <tableColumn id="4" xr3:uid="{A8FE8668-F312-409F-9C6B-15D96E2A9C1F}" uniqueName="4" name="Typowość" queryTableFieldId="4" dataDxfId="44"/>
    <tableColumn id="5" xr3:uid="{BF893E45-A666-43F9-A3E2-5058E17E31A3}" uniqueName="5" name="Elastyczność" queryTableFieldId="5" dataDxfId="43"/>
    <tableColumn id="6" xr3:uid="{47400DB1-F255-4F2E-B39A-882DCDF2788C}" uniqueName="6" name="Zarz_ryzykiem" queryTableFieldId="6" dataDxfId="42"/>
    <tableColumn id="7" xr3:uid="{011F0D5C-0505-4B92-B1CA-2CF28A31EEBF}" uniqueName="7" name="Spoj_zespołu" queryTableFieldId="7" dataDxfId="41"/>
    <tableColumn id="19" xr3:uid="{41715887-A7C5-4EB8-B3F7-D31B8C86FD1E}" uniqueName="19" name="typowość - wartość" queryTableFieldId="16" dataDxfId="40">
      <calculatedColumnFormula>VLOOKUP(Zadanie1_Zalacznik1_projekty6[[#This Row],[Typowość]],Zadanie1_Zalacznik1_wspolczynniki7[[Kategoria]:[Typowość]],2,FALSE)</calculatedColumnFormula>
    </tableColumn>
    <tableColumn id="23" xr3:uid="{C084CF00-E174-4EC4-9D70-50BE6E7E6985}" uniqueName="23" name="elastyczność lewy - wartość" queryTableFieldId="19" dataDxfId="39">
      <calculatedColumnFormula>VLOOKUP(1,Zadanie1_Zalacznik1_wspolczynniki[[#All],[Kategoria]:[Elastyczność]],3,FALSE)</calculatedColumnFormula>
    </tableColumn>
    <tableColumn id="25" xr3:uid="{2AB2E532-8366-45F8-AF34-863CD7D8A373}" uniqueName="25" name="elastyczność prawy - wartość" queryTableFieldId="20" dataDxfId="38">
      <calculatedColumnFormula>VLOOKUP(2,Zadanie1_Zalacznik1_wspolczynniki[[#All],[Kategoria]:[Elastyczność]],3,FALSE)</calculatedColumnFormula>
    </tableColumn>
    <tableColumn id="22" xr3:uid="{2C390598-2685-4754-9369-91BBC6D4ABE6}" uniqueName="22" name="zarządzanie ryz - wartość" queryTableFieldId="18" dataDxfId="37">
      <calculatedColumnFormula>VLOOKUP(Zadanie1_Zalacznik1_projekty6[[#This Row],[Zarz_ryzykiem]],Zadanie1_Zalacznik1_wspolczynniki7[[#All],[Kategoria]:[Zarządzanie ryzykiem]],4,FALSE)</calculatedColumnFormula>
    </tableColumn>
    <tableColumn id="21" xr3:uid="{FF2BFDE0-54A7-4808-A5AE-957D41129ED0}" uniqueName="21" name="spójność - wartość" queryTableFieldId="17" dataDxfId="36">
      <calculatedColumnFormula>VLOOKUP(Zadanie1_Zalacznik1_projekty6[[#This Row],[Spoj_zespołu]],Zadanie1_Zalacznik1_wspolczynniki7[#All],5,FALSE)</calculatedColumnFormula>
    </tableColumn>
    <tableColumn id="8" xr3:uid="{0EE3331C-056F-46EA-9475-07D44A5CC894}" uniqueName="8" name="K min - lewo" queryTableFieldId="8" dataDxfId="35">
      <calculatedColumnFormula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calculatedColumnFormula>
    </tableColumn>
    <tableColumn id="14" xr3:uid="{781E332A-5CDB-44B5-A4DA-BD246957E08D}" uniqueName="14" name="K min - prawo" queryTableFieldId="12" dataDxfId="34">
      <calculatedColumnFormula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calculatedColumnFormula>
    </tableColumn>
    <tableColumn id="11" xr3:uid="{E30E2DF8-5FE9-49FE-956F-7E9260CAC9B4}" uniqueName="11" name="K min średnia" queryTableFieldId="11" dataDxfId="33">
      <calculatedColumnFormula>AVERAGE(Zadanie1_Zalacznik1_projekty6[[#This Row],[K min - lewo]],Zadanie1_Zalacznik1_projekty6[[#This Row],[K min - prawo]])</calculatedColumnFormula>
    </tableColumn>
    <tableColumn id="16" xr3:uid="{95060A7B-DBA6-43CA-A4C4-01A457935322}" uniqueName="16" name="K max lewo" queryTableFieldId="14" dataDxfId="32">
      <calculatedColumnFormula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calculatedColumnFormula>
    </tableColumn>
    <tableColumn id="15" xr3:uid="{5FF47A8D-D54B-428B-A618-7A568EFD30BF}" uniqueName="15" name="K max prawo" queryTableFieldId="13" dataDxfId="31">
      <calculatedColumnFormula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calculatedColumnFormula>
    </tableColumn>
    <tableColumn id="10" xr3:uid="{33FADA5E-977D-4427-90C4-6143C1894ABD}" uniqueName="10" name="K max średnia" queryTableFieldId="10" dataDxfId="30">
      <calculatedColumnFormula>AVERAGE(Zadanie1_Zalacznik1_projekty6[[#This Row],[K max lewo]],Zadanie1_Zalacznik1_projekty6[[#This Row],[K max prawo]])</calculatedColumnFormula>
    </tableColumn>
    <tableColumn id="18" xr3:uid="{6336C1DE-36C9-4037-AEC5-568130DCB965}" uniqueName="18" name="K ostateczne" queryTableFieldId="15" dataDxfId="29">
      <calculatedColumnFormula>AVERAGE(Zadanie1_Zalacznik1_projekty6[[#This Row],[K min średnia]],Zadanie1_Zalacznik1_projekty6[[#This Row],[K max średnia]])</calculatedColumnFormula>
    </tableColumn>
    <tableColumn id="9" xr3:uid="{62BB9557-2BF9-4CEB-8C3D-F13F13F4838E}" uniqueName="9" name="P - minimalna liczba pracowników" queryTableFieldId="9" dataDxfId="28">
      <calculatedColumnFormula>INT(Zadanie1_Zalacznik1_projekty6[[#This Row],[K ostateczne]]/(2.5*POWER(Zadanie1_Zalacznik1_projekty6[[#This Row],[K ostateczne]],$B$24)))</calculatedColumnFormula>
    </tableColumn>
    <tableColumn id="26" xr3:uid="{61AA44B1-85EE-4538-9F5B-A0E4097A31BD}" uniqueName="26" name="zatrudnieni w firmie" queryTableFieldId="21" dataDxfId="27"/>
    <tableColumn id="28" xr3:uid="{4304F62E-5CB7-4C39-A089-F70F5190DDC2}" uniqueName="28" name="projket - id" queryTableFieldId="23" dataDxfId="26">
      <calculatedColumnFormula>Zadanie1_Zalacznik1_projekty6[[#This Row],[Nr_projektu]]</calculatedColumnFormula>
    </tableColumn>
    <tableColumn id="27" xr3:uid="{E11A5122-5AE9-4449-9584-7F7A96E0B06F}" uniqueName="27" name="ile brakuje osób" queryTableFieldId="22" dataDxfId="25">
      <calculatedColumnFormula>Zadanie1_Zalacznik1_projekty6[[#This Row],[P - minimalna liczba pracowników]]-Zadanie1_Zalacznik1_projekty6[[#This Row],[zatrudnieni w firmie]]</calculatedColumnFormula>
    </tableColumn>
    <tableColumn id="29" xr3:uid="{D69D06B6-2576-4CD4-9B3D-AC09DF35F725}" uniqueName="29" name="do zatrudnienia" queryTableFieldId="24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C76F5B-6139-49C3-A5C2-E4E95F9DE05F}" name="Zadanie1_Zalacznik1_wspolczynniki7" displayName="Zadanie1_Zalacznik1_wspolczynniki7" ref="A14:E19" tableType="queryTable" totalsRowShown="0">
  <autoFilter ref="A14:E19" xr:uid="{658A2B0B-0409-40CA-A01C-F429E05106DC}"/>
  <tableColumns count="5">
    <tableColumn id="1" xr3:uid="{BE6BAB57-F59C-466D-BAF3-AD5884E84733}" uniqueName="1" name="Kategoria" queryTableFieldId="1" dataDxfId="23"/>
    <tableColumn id="2" xr3:uid="{AD73D560-0AAE-4B6B-A5B2-EFCB1A6725C6}" uniqueName="2" name="Typowość" queryTableFieldId="2"/>
    <tableColumn id="3" xr3:uid="{7B25EAF0-1451-4745-9396-43A84D3713AD}" uniqueName="3" name="Elastyczność" queryTableFieldId="3"/>
    <tableColumn id="4" xr3:uid="{66C583CB-8804-4901-A306-F4F8D381CA10}" uniqueName="4" name="Zarządzanie ryzykiem" queryTableFieldId="4"/>
    <tableColumn id="5" xr3:uid="{7C7C234B-54BD-4BB3-83E5-5AEF214CADC8}" uniqueName="5" name="Spójność zespołu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C5E4-00BB-4F50-99C3-6BFC82D7F058}" name="Zadanie1_Zalacznik1_projekty4" displayName="Zadanie1_Zalacznik1_projekty4" ref="A1:X11" tableType="queryTable" totalsRowShown="0">
  <autoFilter ref="A1:X11" xr:uid="{EBFB0702-F5F9-4A88-9958-FEB040F80032}"/>
  <tableColumns count="24">
    <tableColumn id="1" xr3:uid="{3D2F55EF-A7A7-4BBE-9D3A-C0AA5ED00EEF}" uniqueName="1" name="Kolumna1" queryTableFieldId="1"/>
    <tableColumn id="2" xr3:uid="{4DCE5943-1D73-405D-989C-225DFB348B54}" uniqueName="2" name="Kolumna2" queryTableFieldId="2"/>
    <tableColumn id="3" xr3:uid="{53A97891-DC6C-415B-BB55-4A36887AC3D2}" uniqueName="3" name="Kolumna3" queryTableFieldId="3"/>
    <tableColumn id="4" xr3:uid="{8DB79F90-DBBB-47D7-991D-A22C79AD9B02}" uniqueName="4" name="Kolumna4" queryTableFieldId="4" dataDxfId="66"/>
    <tableColumn id="5" xr3:uid="{57D2F24E-74C4-4C27-A3EF-6AB6EEA181D6}" uniqueName="5" name="Kolumna5" queryTableFieldId="5" dataDxfId="65"/>
    <tableColumn id="6" xr3:uid="{C97BF7A1-8A93-4732-B13A-2237F6CF0F39}" uniqueName="6" name="Kolumna6" queryTableFieldId="6" dataDxfId="64"/>
    <tableColumn id="7" xr3:uid="{3BCC9A7D-0ACA-47D8-8DA4-F783F433D63B}" uniqueName="7" name="Kolumna7" queryTableFieldId="7" dataDxfId="63"/>
    <tableColumn id="19" xr3:uid="{4642C22F-363A-4673-8953-6BE7512CA4C7}" uniqueName="19" name="Kolumna8" queryTableFieldId="16" dataDxfId="62">
      <calculatedColumnFormula>VLOOKUP(Zadanie1_Zalacznik1_projekty4[[#This Row],[Kolumna4]],Zadanie1_Zalacznik1_wspolczynniki5[[Kolumna1]:[Kolumna2]],2,FALSE)</calculatedColumnFormula>
    </tableColumn>
    <tableColumn id="23" xr3:uid="{15E31F2D-8AED-4E86-ADDD-83AE6076FEF1}" uniqueName="23" name="Kolumna9" queryTableFieldId="19" dataDxfId="61">
      <calculatedColumnFormula>VLOOKUP(1,Zadanie1_Zalacznik1_wspolczynniki[[#All],[Kategoria]:[Elastyczność]],3,FALSE)</calculatedColumnFormula>
    </tableColumn>
    <tableColumn id="25" xr3:uid="{BE72CDBB-334D-43CF-89BE-E84DC139F26E}" uniqueName="25" name="Kolumna10" queryTableFieldId="20" dataDxfId="60">
      <calculatedColumnFormula>VLOOKUP(2,Zadanie1_Zalacznik1_wspolczynniki[[#All],[Kategoria]:[Elastyczność]],3,FALSE)</calculatedColumnFormula>
    </tableColumn>
    <tableColumn id="22" xr3:uid="{A07C8CE3-0C77-4097-A36E-9EBE2F11EAE3}" uniqueName="22" name="Kolumna11" queryTableFieldId="18" dataDxfId="59">
      <calculatedColumnFormula>VLOOKUP(Zadanie1_Zalacznik1_projekty4[[#This Row],[Kolumna6]],Zadanie1_Zalacznik1_wspolczynniki5[[#All],[Kolumna1]:[Kolumna4]],4,FALSE)</calculatedColumnFormula>
    </tableColumn>
    <tableColumn id="21" xr3:uid="{B3B20580-831C-4E8E-A27C-F27AE00A49A2}" uniqueName="21" name="Kolumna12" queryTableFieldId="17" dataDxfId="58">
      <calculatedColumnFormula>VLOOKUP(Zadanie1_Zalacznik1_projekty4[[#This Row],[Kolumna7]],Zadanie1_Zalacznik1_wspolczynniki5[#All],5,FALSE)</calculatedColumnFormula>
    </tableColumn>
    <tableColumn id="8" xr3:uid="{58FD78D3-B0CA-478E-836D-6125AF0E33FB}" uniqueName="8" name="Kolumna13" queryTableFieldId="8" dataDxfId="57">
      <calculatedColumnFormula>$B$22*POWER(Zadanie1_Zalacznik1_projekty4[[#This Row],[Kolumna2]],$B$23+0.01*(Zadanie1_Zalacznik1_projekty4[[#This Row],[Kolumna8]]+Zadanie1_Zalacznik1_projekty4[[#This Row],[Kolumna9]]+Zadanie1_Zalacznik1_projekty4[[#This Row],[Kolumna11]]+Zadanie1_Zalacznik1_projekty4[[#This Row],[Kolumna12]]))</calculatedColumnFormula>
    </tableColumn>
    <tableColumn id="14" xr3:uid="{402564C4-82BC-4179-851C-21155C23E0BD}" uniqueName="14" name="Kolumna14" queryTableFieldId="12" dataDxfId="56">
      <calculatedColumnFormula>$B$22*POWER(Zadanie1_Zalacznik1_projekty4[[#This Row],[Kolumna2]],$B$23+0.01*(Zadanie1_Zalacznik1_projekty4[[#This Row],[Kolumna8]]+Zadanie1_Zalacznik1_projekty4[[#This Row],[Kolumna10]]+Zadanie1_Zalacznik1_projekty4[[#This Row],[Kolumna11]]+Zadanie1_Zalacznik1_projekty4[[#This Row],[Kolumna12]]))</calculatedColumnFormula>
    </tableColumn>
    <tableColumn id="11" xr3:uid="{D3A389CF-2F76-4A66-87E4-84071057CEA3}" uniqueName="11" name="Kolumna15" queryTableFieldId="11" dataDxfId="55">
      <calculatedColumnFormula>AVERAGE(Zadanie1_Zalacznik1_projekty4[[#This Row],[Kolumna13]],Zadanie1_Zalacznik1_projekty4[[#This Row],[Kolumna14]])</calculatedColumnFormula>
    </tableColumn>
    <tableColumn id="16" xr3:uid="{5DECF49B-BD95-4B46-AA1C-5299FEC956BE}" uniqueName="16" name="Kolumna16" queryTableFieldId="14" dataDxfId="54">
      <calculatedColumnFormula>$B$22*POWER(Zadanie1_Zalacznik1_projekty4[[#This Row],[Kolumna3]],$B$23+0.01*(Zadanie1_Zalacznik1_projekty4[[#This Row],[Kolumna8]]+Zadanie1_Zalacznik1_projekty4[[#This Row],[Kolumna9]]+Zadanie1_Zalacznik1_projekty4[[#This Row],[Kolumna11]]+Zadanie1_Zalacznik1_projekty4[[#This Row],[Kolumna12]]))</calculatedColumnFormula>
    </tableColumn>
    <tableColumn id="15" xr3:uid="{5B295926-446A-4793-889C-FEE887DF20E9}" uniqueName="15" name="Kolumna17" queryTableFieldId="13" dataDxfId="53">
      <calculatedColumnFormula>$B$22*POWER(Zadanie1_Zalacznik1_projekty4[[#This Row],[Kolumna3]],$B$23+0.01*(Zadanie1_Zalacznik1_projekty4[[#This Row],[Kolumna8]]+Zadanie1_Zalacznik1_projekty4[[#This Row],[Kolumna10]]+Zadanie1_Zalacznik1_projekty4[[#This Row],[Kolumna11]]+Zadanie1_Zalacznik1_projekty4[[#This Row],[Kolumna12]]))</calculatedColumnFormula>
    </tableColumn>
    <tableColumn id="10" xr3:uid="{B1501CE3-BF73-4CC0-A977-DEC3E386DA6C}" uniqueName="10" name="Kolumna18" queryTableFieldId="10" dataDxfId="52">
      <calculatedColumnFormula>AVERAGE(Zadanie1_Zalacznik1_projekty4[[#This Row],[Kolumna16]],Zadanie1_Zalacznik1_projekty4[[#This Row],[Kolumna17]])</calculatedColumnFormula>
    </tableColumn>
    <tableColumn id="18" xr3:uid="{285F99AE-1CE7-4378-96F9-C9D57C104E84}" uniqueName="18" name="Kolumna19" queryTableFieldId="15" dataDxfId="51">
      <calculatedColumnFormula>AVERAGE(Zadanie1_Zalacznik1_projekty4[[#This Row],[Kolumna15]],Zadanie1_Zalacznik1_projekty4[[#This Row],[Kolumna18]])</calculatedColumnFormula>
    </tableColumn>
    <tableColumn id="9" xr3:uid="{057E1C6B-C65B-41BA-9F03-651EC4CA87EF}" uniqueName="9" name="Kolumna20" queryTableFieldId="9" dataDxfId="50">
      <calculatedColumnFormula>INT(Zadanie1_Zalacznik1_projekty4[[#This Row],[Kolumna19]]/(2.5*POWER(Zadanie1_Zalacznik1_projekty4[[#This Row],[Kolumna19]],$B$24)))</calculatedColumnFormula>
    </tableColumn>
    <tableColumn id="26" xr3:uid="{C12567FD-9E81-409C-831E-1380D81F8A40}" uniqueName="26" name="Kolumna21" queryTableFieldId="21" dataDxfId="49"/>
    <tableColumn id="28" xr3:uid="{286E43ED-8D5B-4118-80D8-2E54B6E70751}" uniqueName="28" name="Kolumna22" queryTableFieldId="23" dataDxfId="48">
      <calculatedColumnFormula>Zadanie1_Zalacznik1_projekty4[[#This Row],[Kolumna1]]</calculatedColumnFormula>
    </tableColumn>
    <tableColumn id="27" xr3:uid="{DFEBDBC2-8F8E-404C-99F8-E234517440C8}" uniqueName="27" name="Kolumna23" queryTableFieldId="22" dataDxfId="47">
      <calculatedColumnFormula>Zadanie1_Zalacznik1_projekty4[[#This Row],[Kolumna20]]-Zadanie1_Zalacznik1_projekty4[[#This Row],[Kolumna21]]</calculatedColumnFormula>
    </tableColumn>
    <tableColumn id="29" xr3:uid="{9930E666-1927-46AD-AAB1-8D35892619B7}" uniqueName="29" name="Kolumna24" queryTableFieldId="24" dataDxfId="4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C33D1F-0BA7-41CB-8FDB-AF1A86488831}" name="Zadanie1_Zalacznik1_wspolczynniki5" displayName="Zadanie1_Zalacznik1_wspolczynniki5" ref="A14:E19" tableType="queryTable" totalsRowShown="0">
  <autoFilter ref="A14:E19" xr:uid="{89AE112D-5E93-46A1-973C-ED633B197DE9}"/>
  <tableColumns count="5">
    <tableColumn id="1" xr3:uid="{D68519E6-98CE-4B63-8A5B-D8FFE81F3C3F}" uniqueName="1" name="Kolumna1" queryTableFieldId="1" dataDxfId="45"/>
    <tableColumn id="2" xr3:uid="{DC8E088C-C757-44A9-BBA1-8D009BCBDD8D}" uniqueName="2" name="Kolumna2" queryTableFieldId="2"/>
    <tableColumn id="3" xr3:uid="{031C8087-31AD-435B-8253-33BB01A7083B}" uniqueName="3" name="Kolumna3" queryTableFieldId="3"/>
    <tableColumn id="4" xr3:uid="{E6D39883-2FDF-43FC-9F70-B70F5120C1DD}" uniqueName="4" name="Kolumna4" queryTableFieldId="4"/>
    <tableColumn id="5" xr3:uid="{635164CB-39A5-4C3E-B02C-5CDE0C457A59}" uniqueName="5" name="Kolumna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27C9C-5CDC-436E-BA6F-5A37E6E9B69E}" name="Zadanie1_Zalacznik1_projekty68" displayName="Zadanie1_Zalacznik1_projekty68" ref="A1:X11" tableType="queryTable" totalsRowShown="0">
  <autoFilter ref="A1:X11" xr:uid="{4E7D9ED0-455D-432E-879C-53C79654ABFB}"/>
  <tableColumns count="24">
    <tableColumn id="1" xr3:uid="{3281F7B0-9E26-48D8-B780-DCAA52018609}" uniqueName="1" name="Nr_projektu" queryTableFieldId="1"/>
    <tableColumn id="2" xr3:uid="{790F4CA2-81FA-4F3C-B3FF-8136E734227E}" uniqueName="2" name="Minimalna_długość_kodu" queryTableFieldId="2"/>
    <tableColumn id="3" xr3:uid="{F4E9FD19-E533-4280-8925-B5F36560D635}" uniqueName="3" name="Maksymalna_długość_kodu" queryTableFieldId="3"/>
    <tableColumn id="4" xr3:uid="{7CB06E51-6C4A-4B59-8240-298871508CB8}" uniqueName="4" name="Typowość" queryTableFieldId="4" dataDxfId="22"/>
    <tableColumn id="5" xr3:uid="{2F2B3A9A-ED0F-4FFB-A829-87008F8E3F9B}" uniqueName="5" name="Elastyczność" queryTableFieldId="5" dataDxfId="21"/>
    <tableColumn id="6" xr3:uid="{4D394C24-BBC8-425A-B507-64749225217E}" uniqueName="6" name="Zarz_ryzykiem" queryTableFieldId="6" dataDxfId="20"/>
    <tableColumn id="7" xr3:uid="{7061380B-FF6C-47AA-AAD3-DA104EEF42A5}" uniqueName="7" name="Spoj_zespołu" queryTableFieldId="7" dataDxfId="19"/>
    <tableColumn id="19" xr3:uid="{51DD0901-4508-446B-A637-81152BD1CBB6}" uniqueName="19" name="typowość - wartość" queryTableFieldId="16" dataDxfId="18">
      <calculatedColumnFormula>VLOOKUP(Zadanie1_Zalacznik1_projekty68[[#This Row],[Typowość]],Zadanie1_Zalacznik1_wspolczynniki79[[Kategoria]:[Typowość]],2,FALSE)</calculatedColumnFormula>
    </tableColumn>
    <tableColumn id="23" xr3:uid="{D2CA27A3-D94E-4C58-AC6A-F5A7A5A4FC1C}" uniqueName="23" name="elastyczność lewy - wartość" queryTableFieldId="19" dataDxfId="17">
      <calculatedColumnFormula>VLOOKUP(1,Zadanie1_Zalacznik1_wspolczynniki[[#All],[Kategoria]:[Elastyczność]],3,FALSE)</calculatedColumnFormula>
    </tableColumn>
    <tableColumn id="25" xr3:uid="{3AF24D47-6A61-42D8-9BAA-BD6FE34477F5}" uniqueName="25" name="elastyczność prawy - wartość" queryTableFieldId="20" dataDxfId="16">
      <calculatedColumnFormula>VLOOKUP(2,Zadanie1_Zalacznik1_wspolczynniki[[#All],[Kategoria]:[Elastyczność]],3,FALSE)</calculatedColumnFormula>
    </tableColumn>
    <tableColumn id="22" xr3:uid="{4C804EAB-7089-41A3-A551-BB90F86F8D3A}" uniqueName="22" name="zarządzanie ryz - wartość" queryTableFieldId="18" dataDxfId="15">
      <calculatedColumnFormula>VLOOKUP(Zadanie1_Zalacznik1_projekty68[[#This Row],[Zarz_ryzykiem]],Zadanie1_Zalacznik1_wspolczynniki79[[#All],[Kategoria]:[Zarządzanie ryzykiem]],4,FALSE)</calculatedColumnFormula>
    </tableColumn>
    <tableColumn id="21" xr3:uid="{2407B4D5-A50B-4C7E-9F0B-A11C064B1453}" uniqueName="21" name="spójność - wartość" queryTableFieldId="17" dataDxfId="14">
      <calculatedColumnFormula>VLOOKUP(Zadanie1_Zalacznik1_projekty68[[#This Row],[Spoj_zespołu]],Zadanie1_Zalacznik1_wspolczynniki79[#All],5,FALSE)</calculatedColumnFormula>
    </tableColumn>
    <tableColumn id="8" xr3:uid="{A8530B75-2F0E-473E-B855-0F0E39F98BEF}" uniqueName="8" name="K min - lewo" queryTableFieldId="8" dataDxfId="13">
      <calculatedColumnFormula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calculatedColumnFormula>
    </tableColumn>
    <tableColumn id="14" xr3:uid="{F0D089A5-7837-4C7E-AB8C-5C061707E049}" uniqueName="14" name="K min - prawo" queryTableFieldId="12" dataDxfId="12">
      <calculatedColumnFormula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calculatedColumnFormula>
    </tableColumn>
    <tableColumn id="11" xr3:uid="{1064EE47-B2E1-46F9-9A7D-3FB46C514373}" uniqueName="11" name="K min średnia" queryTableFieldId="11" dataDxfId="11">
      <calculatedColumnFormula>AVERAGE(Zadanie1_Zalacznik1_projekty68[[#This Row],[K min - lewo]],Zadanie1_Zalacznik1_projekty68[[#This Row],[K min - prawo]])</calculatedColumnFormula>
    </tableColumn>
    <tableColumn id="16" xr3:uid="{6DB9241A-A0B5-4DF7-A76C-265257681685}" uniqueName="16" name="K max lewo" queryTableFieldId="14" dataDxfId="10">
      <calculatedColumnFormula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calculatedColumnFormula>
    </tableColumn>
    <tableColumn id="15" xr3:uid="{590B938A-1D88-428C-B43D-155EB8200744}" uniqueName="15" name="K max prawo" queryTableFieldId="13" dataDxfId="9">
      <calculatedColumnFormula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calculatedColumnFormula>
    </tableColumn>
    <tableColumn id="10" xr3:uid="{AAB80EBB-4AE8-4505-BD98-05CAE72A828C}" uniqueName="10" name="K max średnia" queryTableFieldId="10" dataDxfId="8">
      <calculatedColumnFormula>AVERAGE(Zadanie1_Zalacznik1_projekty68[[#This Row],[K max lewo]],Zadanie1_Zalacznik1_projekty68[[#This Row],[K max prawo]])</calculatedColumnFormula>
    </tableColumn>
    <tableColumn id="18" xr3:uid="{B2C520B6-01CC-42BA-99A2-0BEFA316F482}" uniqueName="18" name="K ostateczne" queryTableFieldId="15" dataDxfId="3">
      <calculatedColumnFormula>AVERAGE(Zadanie1_Zalacznik1_projekty68[[#This Row],[K min średnia]],Zadanie1_Zalacznik1_projekty68[[#This Row],[K max średnia]])</calculatedColumnFormula>
    </tableColumn>
    <tableColumn id="9" xr3:uid="{77D4CD49-7F16-42FD-B8F7-886EDACBDBFA}" uniqueName="9" name="P - minimalna liczba pracowników" queryTableFieldId="9" dataDxfId="1">
      <calculatedColumnFormula>INT(Zadanie1_Zalacznik1_projekty68[[#This Row],[K ostateczne]]/(2.5*POWER(Zadanie1_Zalacznik1_projekty68[[#This Row],[K ostateczne]],$B$24)))</calculatedColumnFormula>
    </tableColumn>
    <tableColumn id="26" xr3:uid="{2FF00B36-73BC-4DFD-8318-CE5FE9290ED8}" uniqueName="26" name="zatrudnieni w firmie" queryTableFieldId="21" dataDxfId="2"/>
    <tableColumn id="28" xr3:uid="{7750F20B-C2DC-4D30-AE14-086F59D34031}" uniqueName="28" name="projket - id" queryTableFieldId="23" dataDxfId="7">
      <calculatedColumnFormula>Zadanie1_Zalacznik1_projekty68[[#This Row],[Nr_projektu]]</calculatedColumnFormula>
    </tableColumn>
    <tableColumn id="27" xr3:uid="{8987CB0D-3885-4744-96CF-03CDA93E296D}" uniqueName="27" name="ile brakuje osób" queryTableFieldId="22" dataDxfId="6">
      <calculatedColumnFormula>Zadanie1_Zalacznik1_projekty68[[#This Row],[P - minimalna liczba pracowników]]-Zadanie1_Zalacznik1_projekty68[[#This Row],[zatrudnieni w firmie]]</calculatedColumnFormula>
    </tableColumn>
    <tableColumn id="29" xr3:uid="{C43C409C-8E55-4A52-833E-D2223DAF51C5}" uniqueName="29" name="do zatrudnienia" queryTableFieldId="24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80AB71-D46F-4CC7-92A0-F71178E83CA8}" name="Zadanie1_Zalacznik1_wspolczynniki79" displayName="Zadanie1_Zalacznik1_wspolczynniki79" ref="A14:E19" tableType="queryTable" totalsRowShown="0">
  <autoFilter ref="A14:E19" xr:uid="{7B7C2F8A-D768-41B1-AF8F-FDA0B5E03BB5}"/>
  <tableColumns count="5">
    <tableColumn id="1" xr3:uid="{26C04870-5B6F-4C64-ABCE-03D40F6DEEF8}" uniqueName="1" name="Kategoria" queryTableFieldId="1" dataDxfId="4"/>
    <tableColumn id="2" xr3:uid="{A2BD6674-6FB1-4D45-9207-66B59BF163A8}" uniqueName="2" name="Typowość" queryTableFieldId="2"/>
    <tableColumn id="3" xr3:uid="{2141AAC3-F53B-499B-BF53-15157C9FFCDF}" uniqueName="3" name="Elastyczność" queryTableFieldId="3"/>
    <tableColumn id="4" xr3:uid="{8EB26BD2-9DBF-42CA-9639-EF1F515639DC}" uniqueName="4" name="Zarządzanie ryzykiem" queryTableFieldId="4"/>
    <tableColumn id="5" xr3:uid="{BB6E9D65-4A60-48F1-89ED-92576BDFA3CA}" uniqueName="5" name="Spójność zespołu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5ED8-6FAE-4FBF-9AD2-D20E20EFB908}">
  <dimension ref="A1:AA26"/>
  <sheetViews>
    <sheetView tabSelected="1" topLeftCell="J1" workbookViewId="0">
      <selection activeCell="P30" sqref="P30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5.33203125" bestFit="1" customWidth="1"/>
    <col min="7" max="7" width="14.44140625" bestFit="1" customWidth="1"/>
    <col min="8" max="8" width="19.6640625" bestFit="1" customWidth="1"/>
    <col min="9" max="11" width="14.44140625" customWidth="1"/>
    <col min="12" max="12" width="18.88671875" bestFit="1" customWidth="1"/>
    <col min="13" max="13" width="13.5546875" bestFit="1" customWidth="1"/>
    <col min="14" max="14" width="14.88671875" bestFit="1" customWidth="1"/>
    <col min="15" max="15" width="14.5546875" bestFit="1" customWidth="1"/>
    <col min="16" max="16" width="12.77734375" bestFit="1" customWidth="1"/>
    <col min="17" max="17" width="14.109375" bestFit="1" customWidth="1"/>
    <col min="18" max="18" width="14.88671875" bestFit="1" customWidth="1"/>
    <col min="19" max="19" width="14.88671875" customWidth="1"/>
    <col min="20" max="20" width="13.77734375" bestFit="1" customWidth="1"/>
    <col min="21" max="21" width="32.21875" bestFit="1" customWidth="1"/>
    <col min="22" max="22" width="20.109375" bestFit="1" customWidth="1"/>
    <col min="23" max="23" width="20.109375" customWidth="1"/>
    <col min="24" max="24" width="16.6640625" bestFit="1" customWidth="1"/>
    <col min="25" max="25" width="16.44140625" hidden="1" customWidth="1"/>
    <col min="26" max="26" width="11.109375" hidden="1" customWidth="1"/>
    <col min="27" max="27" width="0" hidden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34</v>
      </c>
      <c r="J1" t="s">
        <v>35</v>
      </c>
      <c r="K1" t="s">
        <v>32</v>
      </c>
      <c r="L1" t="s">
        <v>33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65</v>
      </c>
      <c r="T1" t="s">
        <v>29</v>
      </c>
      <c r="U1" t="s">
        <v>20</v>
      </c>
      <c r="V1" t="s">
        <v>36</v>
      </c>
      <c r="W1" t="s">
        <v>38</v>
      </c>
      <c r="X1" t="s">
        <v>37</v>
      </c>
      <c r="Y1" t="s">
        <v>39</v>
      </c>
    </row>
    <row r="2" spans="1:27" x14ac:dyDescent="0.3">
      <c r="A2">
        <v>1</v>
      </c>
      <c r="B2">
        <v>25000</v>
      </c>
      <c r="C2">
        <v>27000</v>
      </c>
      <c r="D2" s="2">
        <v>5</v>
      </c>
      <c r="E2" s="2" t="s">
        <v>7</v>
      </c>
      <c r="F2" s="2">
        <v>2</v>
      </c>
      <c r="G2" s="2">
        <v>1</v>
      </c>
      <c r="H2" s="1">
        <f>VLOOKUP(Zadanie1_Zalacznik1_projekty[[#This Row],[Typowość]],Zadanie1_Zalacznik1_wspolczynniki[[Kategoria]:[Typowość]],2,FALSE)</f>
        <v>1.24</v>
      </c>
      <c r="I2" s="1">
        <f>VLOOKUP(1,Zadanie1_Zalacznik1_wspolczynniki[[#All],[Kategoria]:[Elastyczność]],3,FALSE)</f>
        <v>5.07</v>
      </c>
      <c r="J2" s="1">
        <f>VLOOKUP(1,Zadanie1_Zalacznik1_wspolczynniki[[#All],[Kategoria]:[Elastyczność]],3,FALSE)</f>
        <v>5.07</v>
      </c>
      <c r="K2" s="1">
        <f>VLOOKUP(Zadanie1_Zalacznik1_projekty[[#This Row],[Zarz_ryzykiem]],Zadanie1_Zalacznik1_wspolczynniki[[#All],[Kategoria]:[Zarządzanie ryzykiem]],4,FALSE)</f>
        <v>5.65</v>
      </c>
      <c r="L2" s="1">
        <f>VLOOKUP(Zadanie1_Zalacznik1_projekty[[#This Row],[Spoj_zespołu]],Zadanie1_Zalacznik1_wspolczynniki[#All],5,FALSE)</f>
        <v>5.48</v>
      </c>
      <c r="M2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172772.04581573003</v>
      </c>
      <c r="N2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172772.04581573003</v>
      </c>
      <c r="O2">
        <f>AVERAGE(Zadanie1_Zalacznik1_projekty[[#This Row],[K min - lewo]],Zadanie1_Zalacznik1_projekty[[#This Row],[K min - prawo]])</f>
        <v>172772.04581573003</v>
      </c>
      <c r="P2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187809.77667506112</v>
      </c>
      <c r="Q2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187809.77667506112</v>
      </c>
      <c r="R2">
        <f>AVERAGE(Zadanie1_Zalacznik1_projekty[[#This Row],[K max lewo]],Zadanie1_Zalacznik1_projekty[[#This Row],[K max prawo]])</f>
        <v>187809.77667506112</v>
      </c>
      <c r="S2">
        <f>Zadanie1_Zalacznik1_projekty[[#This Row],[Nr_projektu]]</f>
        <v>1</v>
      </c>
      <c r="T2">
        <f>AVERAGE(Zadanie1_Zalacznik1_projekty[[#This Row],[K min średnia]],Zadanie1_Zalacznik1_projekty[[#This Row],[K max średnia]])</f>
        <v>180290.91124539557</v>
      </c>
      <c r="U2">
        <f>INT(Zadanie1_Zalacznik1_projekty[[#This Row],[K ostateczne]]/(2.5*POWER(Zadanie1_Zalacznik1_projekty[[#This Row],[K ostateczne]],$B$24)))</f>
        <v>13</v>
      </c>
      <c r="V2" s="1">
        <v>12</v>
      </c>
      <c r="W2" s="1">
        <f>Zadanie1_Zalacznik1_projekty[[#This Row],[Nr_projektu]]</f>
        <v>1</v>
      </c>
      <c r="X2" s="1">
        <f>Zadanie1_Zalacznik1_projekty[[#This Row],[P - minimalna liczba pracowników]]-Zadanie1_Zalacznik1_projekty[[#This Row],[zatrudnieni w firmie]]</f>
        <v>1</v>
      </c>
      <c r="Y2" s="1"/>
      <c r="AA2" s="3">
        <v>1</v>
      </c>
    </row>
    <row r="3" spans="1:27" x14ac:dyDescent="0.3">
      <c r="A3">
        <v>2</v>
      </c>
      <c r="B3">
        <v>120000</v>
      </c>
      <c r="C3">
        <v>128000</v>
      </c>
      <c r="D3" s="2">
        <v>5</v>
      </c>
      <c r="E3" s="2" t="s">
        <v>8</v>
      </c>
      <c r="F3" s="2">
        <v>5</v>
      </c>
      <c r="G3" s="2">
        <v>1</v>
      </c>
      <c r="H3" s="1">
        <f>VLOOKUP(Zadanie1_Zalacznik1_projekty[[#This Row],[Typowość]],Zadanie1_Zalacznik1_wspolczynniki[[Kategoria]:[Typowość]],2,FALSE)</f>
        <v>1.24</v>
      </c>
      <c r="I3" s="1">
        <f>VLOOKUP(2,Zadanie1_Zalacznik1_wspolczynniki[[#All],[Kategoria]:[Elastyczność]],3,FALSE)</f>
        <v>4.05</v>
      </c>
      <c r="J3" s="1">
        <f>VLOOKUP(2,Zadanie1_Zalacznik1_wspolczynniki[[#All],[Kategoria]:[Elastyczność]],3,FALSE)</f>
        <v>4.05</v>
      </c>
      <c r="K3" s="1">
        <f>VLOOKUP(Zadanie1_Zalacznik1_projekty[[#This Row],[Zarz_ryzykiem]],Zadanie1_Zalacznik1_wspolczynniki[[#All],[Kategoria]:[Zarządzanie ryzykiem]],4,FALSE)</f>
        <v>1.41</v>
      </c>
      <c r="L3" s="1">
        <f>VLOOKUP(Zadanie1_Zalacznik1_projekty[[#This Row],[Spoj_zespołu]],Zadanie1_Zalacznik1_wspolczynniki[#All],5,FALSE)</f>
        <v>5.48</v>
      </c>
      <c r="M3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511736.67158511968</v>
      </c>
      <c r="N3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511736.67158511968</v>
      </c>
      <c r="O3">
        <f>AVERAGE(Zadanie1_Zalacznik1_projekty[[#This Row],[K min - lewo]],Zadanie1_Zalacznik1_projekty[[#This Row],[K min - prawo]])</f>
        <v>511736.67158511968</v>
      </c>
      <c r="P3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546973.86666682852</v>
      </c>
      <c r="Q3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546973.86666682852</v>
      </c>
      <c r="R3">
        <f>AVERAGE(Zadanie1_Zalacznik1_projekty[[#This Row],[K max lewo]],Zadanie1_Zalacznik1_projekty[[#This Row],[K max prawo]])</f>
        <v>546973.86666682852</v>
      </c>
      <c r="S3">
        <f>Zadanie1_Zalacznik1_projekty[[#This Row],[Nr_projektu]]</f>
        <v>2</v>
      </c>
      <c r="T3">
        <f>AVERAGE(Zadanie1_Zalacznik1_projekty[[#This Row],[K min średnia]],Zadanie1_Zalacznik1_projekty[[#This Row],[K max średnia]])</f>
        <v>529355.26912597404</v>
      </c>
      <c r="U3">
        <f>INT(Zadanie1_Zalacznik1_projekty[[#This Row],[K ostateczne]]/(2.5*POWER(Zadanie1_Zalacznik1_projekty[[#This Row],[K ostateczne]],$B$24)))</f>
        <v>18</v>
      </c>
      <c r="V3" s="1">
        <v>12</v>
      </c>
      <c r="W3" s="1">
        <f>Zadanie1_Zalacznik1_projekty[[#This Row],[Nr_projektu]]</f>
        <v>2</v>
      </c>
      <c r="X3" s="1">
        <f>Zadanie1_Zalacznik1_projekty[[#This Row],[P - minimalna liczba pracowników]]-Zadanie1_Zalacznik1_projekty[[#This Row],[zatrudnieni w firmie]]</f>
        <v>6</v>
      </c>
      <c r="Y3" s="1"/>
      <c r="AA3" s="3"/>
    </row>
    <row r="4" spans="1:27" x14ac:dyDescent="0.3">
      <c r="A4">
        <v>3</v>
      </c>
      <c r="B4">
        <v>60000</v>
      </c>
      <c r="C4">
        <v>70000</v>
      </c>
      <c r="D4" s="2">
        <v>4</v>
      </c>
      <c r="E4" s="2" t="s">
        <v>9</v>
      </c>
      <c r="F4" s="2">
        <v>1</v>
      </c>
      <c r="G4" s="2">
        <v>2</v>
      </c>
      <c r="H4" s="1">
        <f>VLOOKUP(Zadanie1_Zalacznik1_projekty[[#This Row],[Typowość]],Zadanie1_Zalacznik1_wspolczynniki[[Kategoria]:[Typowość]],2,FALSE)</f>
        <v>2.48</v>
      </c>
      <c r="I4" s="1">
        <f>VLOOKUP(3,Zadanie1_Zalacznik1_wspolczynniki[[#All],[Kategoria]:[Elastyczność]],3,FALSE)</f>
        <v>3.04</v>
      </c>
      <c r="J4" s="1">
        <f>VLOOKUP(3,Zadanie1_Zalacznik1_wspolczynniki[[#All],[Kategoria]:[Elastyczność]],3,FALSE)</f>
        <v>3.04</v>
      </c>
      <c r="K4" s="1">
        <f>VLOOKUP(Zadanie1_Zalacznik1_projekty[[#This Row],[Zarz_ryzykiem]],Zadanie1_Zalacznik1_wspolczynniki[[#All],[Kategoria]:[Zarządzanie ryzykiem]],4,FALSE)</f>
        <v>7.07</v>
      </c>
      <c r="L4" s="1">
        <f>VLOOKUP(Zadanie1_Zalacznik1_projekty[[#This Row],[Spoj_zespołu]],Zadanie1_Zalacznik1_wspolczynniki[#All],5,FALSE)</f>
        <v>4.38</v>
      </c>
      <c r="M4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423952.53402737796</v>
      </c>
      <c r="N4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423952.53402737796</v>
      </c>
      <c r="O4">
        <f>AVERAGE(Zadanie1_Zalacznik1_projekty[[#This Row],[K min - lewo]],Zadanie1_Zalacznik1_projekty[[#This Row],[K min - prawo]])</f>
        <v>423952.53402737796</v>
      </c>
      <c r="P4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500725.4715524147</v>
      </c>
      <c r="Q4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500725.4715524147</v>
      </c>
      <c r="R4">
        <f>AVERAGE(Zadanie1_Zalacznik1_projekty[[#This Row],[K max lewo]],Zadanie1_Zalacznik1_projekty[[#This Row],[K max prawo]])</f>
        <v>500725.4715524147</v>
      </c>
      <c r="S4">
        <f>Zadanie1_Zalacznik1_projekty[[#This Row],[Nr_projektu]]</f>
        <v>3</v>
      </c>
      <c r="T4">
        <f>AVERAGE(Zadanie1_Zalacznik1_projekty[[#This Row],[K min średnia]],Zadanie1_Zalacznik1_projekty[[#This Row],[K max średnia]])</f>
        <v>462339.00278989633</v>
      </c>
      <c r="U4">
        <f>INT(Zadanie1_Zalacznik1_projekty[[#This Row],[K ostateczne]]/(2.5*POWER(Zadanie1_Zalacznik1_projekty[[#This Row],[K ostateczne]],$B$24)))</f>
        <v>17</v>
      </c>
      <c r="V4" s="1">
        <v>12</v>
      </c>
      <c r="W4" s="1">
        <f>Zadanie1_Zalacznik1_projekty[[#This Row],[Nr_projektu]]</f>
        <v>3</v>
      </c>
      <c r="X4" s="1">
        <f>Zadanie1_Zalacznik1_projekty[[#This Row],[P - minimalna liczba pracowników]]-Zadanie1_Zalacznik1_projekty[[#This Row],[zatrudnieni w firmie]]</f>
        <v>5</v>
      </c>
      <c r="Y4" s="1">
        <f>X2+X3+Zadanie1_Zalacznik1_projekty[[#This Row],[ile brakuje osób]]</f>
        <v>12</v>
      </c>
      <c r="Z4" s="4">
        <v>12</v>
      </c>
      <c r="AA4" s="3"/>
    </row>
    <row r="5" spans="1:27" x14ac:dyDescent="0.3">
      <c r="A5">
        <v>4</v>
      </c>
      <c r="B5">
        <v>45000</v>
      </c>
      <c r="C5">
        <v>50000</v>
      </c>
      <c r="D5" s="2">
        <v>5</v>
      </c>
      <c r="E5" s="2" t="s">
        <v>8</v>
      </c>
      <c r="F5" s="2">
        <v>1</v>
      </c>
      <c r="G5" s="2">
        <v>1</v>
      </c>
      <c r="H5" s="1">
        <f>VLOOKUP(Zadanie1_Zalacznik1_projekty[[#This Row],[Typowość]],Zadanie1_Zalacznik1_wspolczynniki[[Kategoria]:[Typowość]],2,FALSE)</f>
        <v>1.24</v>
      </c>
      <c r="I5" s="1">
        <f>VLOOKUP(2,Zadanie1_Zalacznik1_wspolczynniki[[#All],[Kategoria]:[Elastyczność]],3,FALSE)</f>
        <v>4.05</v>
      </c>
      <c r="J5" s="1">
        <f>VLOOKUP(2,Zadanie1_Zalacznik1_wspolczynniki[[#All],[Kategoria]:[Elastyczność]],3,FALSE)</f>
        <v>4.05</v>
      </c>
      <c r="K5" s="1">
        <f>VLOOKUP(Zadanie1_Zalacznik1_projekty[[#This Row],[Zarz_ryzykiem]],Zadanie1_Zalacznik1_wspolczynniki[[#All],[Kategoria]:[Zarządzanie ryzykiem]],4,FALSE)</f>
        <v>7.07</v>
      </c>
      <c r="L5" s="1">
        <f>VLOOKUP(Zadanie1_Zalacznik1_projekty[[#This Row],[Spoj_zespołu]],Zadanie1_Zalacznik1_wspolczynniki[#All],5,FALSE)</f>
        <v>5.48</v>
      </c>
      <c r="M5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341117.36668015522</v>
      </c>
      <c r="N5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341117.36668015522</v>
      </c>
      <c r="O5">
        <f>AVERAGE(Zadanie1_Zalacznik1_projekty[[#This Row],[K min - lewo]],Zadanie1_Zalacznik1_projekty[[#This Row],[K min - prawo]])</f>
        <v>341117.36668015522</v>
      </c>
      <c r="P5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382565.92337941262</v>
      </c>
      <c r="Q5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382565.92337941262</v>
      </c>
      <c r="R5">
        <f>AVERAGE(Zadanie1_Zalacznik1_projekty[[#This Row],[K max lewo]],Zadanie1_Zalacznik1_projekty[[#This Row],[K max prawo]])</f>
        <v>382565.92337941262</v>
      </c>
      <c r="S5">
        <f>Zadanie1_Zalacznik1_projekty[[#This Row],[Nr_projektu]]</f>
        <v>4</v>
      </c>
      <c r="T5">
        <f>AVERAGE(Zadanie1_Zalacznik1_projekty[[#This Row],[K min średnia]],Zadanie1_Zalacznik1_projekty[[#This Row],[K max średnia]])</f>
        <v>361841.64502978395</v>
      </c>
      <c r="U5">
        <f>INT(Zadanie1_Zalacznik1_projekty[[#This Row],[K ostateczne]]/(2.5*POWER(Zadanie1_Zalacznik1_projekty[[#This Row],[K ostateczne]],$B$24)))</f>
        <v>16</v>
      </c>
      <c r="V5" s="1">
        <v>12</v>
      </c>
      <c r="W5" s="1">
        <f>Zadanie1_Zalacznik1_projekty[[#This Row],[Nr_projektu]]</f>
        <v>4</v>
      </c>
      <c r="X5" s="1">
        <f>Zadanie1_Zalacznik1_projekty[[#This Row],[P - minimalna liczba pracowników]]-Zadanie1_Zalacznik1_projekty[[#This Row],[zatrudnieni w firmie]]</f>
        <v>4</v>
      </c>
      <c r="Y5" s="1">
        <f>Zadanie1_Zalacznik1_projekty[[#This Row],[ile brakuje osób]]-X2</f>
        <v>3</v>
      </c>
      <c r="Z5" s="4">
        <v>3</v>
      </c>
      <c r="AA5" s="3">
        <v>2</v>
      </c>
    </row>
    <row r="6" spans="1:27" x14ac:dyDescent="0.3">
      <c r="A6">
        <v>5</v>
      </c>
      <c r="B6">
        <v>95000</v>
      </c>
      <c r="C6">
        <v>105000</v>
      </c>
      <c r="D6" s="2">
        <v>4</v>
      </c>
      <c r="E6" s="2" t="s">
        <v>10</v>
      </c>
      <c r="F6" s="2">
        <v>2</v>
      </c>
      <c r="G6" s="2">
        <v>3</v>
      </c>
      <c r="H6" s="1">
        <f>VLOOKUP(Zadanie1_Zalacznik1_projekty[[#This Row],[Typowość]],Zadanie1_Zalacznik1_wspolczynniki[[Kategoria]:[Typowość]],2,FALSE)</f>
        <v>2.48</v>
      </c>
      <c r="I6" s="1">
        <f>VLOOKUP(4,Zadanie1_Zalacznik1_wspolczynniki[[#All],[Kategoria]:[Elastyczność]],3,FALSE)</f>
        <v>2.0299999999999998</v>
      </c>
      <c r="J6" s="1">
        <f>VLOOKUP(5,Zadanie1_Zalacznik1_wspolczynniki[[#All],[Kategoria]:[Elastyczność]],3,FALSE)</f>
        <v>1.01</v>
      </c>
      <c r="K6" s="1">
        <f>VLOOKUP(Zadanie1_Zalacznik1_projekty[[#This Row],[Zarz_ryzykiem]],Zadanie1_Zalacznik1_wspolczynniki[[#All],[Kategoria]:[Zarządzanie ryzykiem]],4,FALSE)</f>
        <v>5.65</v>
      </c>
      <c r="L6" s="1">
        <f>VLOOKUP(Zadanie1_Zalacznik1_projekty[[#This Row],[Spoj_zespołu]],Zadanie1_Zalacznik1_wspolczynniki[#All],5,FALSE)</f>
        <v>3.29</v>
      </c>
      <c r="M6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465135.65979888645</v>
      </c>
      <c r="N6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413815.59686725063</v>
      </c>
      <c r="O6">
        <f>AVERAGE(Zadanie1_Zalacznik1_projekty[[#This Row],[K min - lewo]],Zadanie1_Zalacznik1_projekty[[#This Row],[K min - prawo]])</f>
        <v>439475.62833306857</v>
      </c>
      <c r="P6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516392.05681299232</v>
      </c>
      <c r="Q6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458947.93744776829</v>
      </c>
      <c r="R6">
        <f>AVERAGE(Zadanie1_Zalacznik1_projekty[[#This Row],[K max lewo]],Zadanie1_Zalacznik1_projekty[[#This Row],[K max prawo]])</f>
        <v>487669.9971303803</v>
      </c>
      <c r="S6">
        <f>Zadanie1_Zalacznik1_projekty[[#This Row],[Nr_projektu]]</f>
        <v>5</v>
      </c>
      <c r="T6">
        <f>AVERAGE(Zadanie1_Zalacznik1_projekty[[#This Row],[K min średnia]],Zadanie1_Zalacznik1_projekty[[#This Row],[K max średnia]])</f>
        <v>463572.81273172447</v>
      </c>
      <c r="U6">
        <f>INT(Zadanie1_Zalacznik1_projekty[[#This Row],[K ostateczne]]/(2.5*POWER(Zadanie1_Zalacznik1_projekty[[#This Row],[K ostateczne]],$B$24)))</f>
        <v>17</v>
      </c>
      <c r="V6" s="1">
        <v>12</v>
      </c>
      <c r="W6" s="1">
        <f>Zadanie1_Zalacznik1_projekty[[#This Row],[Nr_projektu]]</f>
        <v>5</v>
      </c>
      <c r="X6" s="1">
        <f>Zadanie1_Zalacznik1_projekty[[#This Row],[P - minimalna liczba pracowników]]-Zadanie1_Zalacznik1_projekty[[#This Row],[zatrudnieni w firmie]]</f>
        <v>5</v>
      </c>
      <c r="Y6" s="1">
        <f>Zadanie1_Zalacznik1_projekty[[#This Row],[ile brakuje osób]]-X3</f>
        <v>-1</v>
      </c>
      <c r="Z6" t="s">
        <v>40</v>
      </c>
      <c r="AA6" s="3"/>
    </row>
    <row r="7" spans="1:27" x14ac:dyDescent="0.3">
      <c r="A7">
        <v>6</v>
      </c>
      <c r="B7">
        <v>30000</v>
      </c>
      <c r="C7">
        <v>40000</v>
      </c>
      <c r="D7" s="2">
        <v>4</v>
      </c>
      <c r="E7" s="2" t="s">
        <v>10</v>
      </c>
      <c r="F7" s="2">
        <v>3</v>
      </c>
      <c r="G7" s="2">
        <v>2</v>
      </c>
      <c r="H7" s="1">
        <f>VLOOKUP(Zadanie1_Zalacznik1_projekty[[#This Row],[Typowość]],Zadanie1_Zalacznik1_wspolczynniki[[Kategoria]:[Typowość]],2,FALSE)</f>
        <v>2.48</v>
      </c>
      <c r="I7" s="1">
        <f>VLOOKUP(4,Zadanie1_Zalacznik1_wspolczynniki[[#All],[Kategoria]:[Elastyczność]],3,FALSE)</f>
        <v>2.0299999999999998</v>
      </c>
      <c r="J7" s="1">
        <f>VLOOKUP(5,Zadanie1_Zalacznik1_wspolczynniki[[#All],[Kategoria]:[Elastyczność]],3,FALSE)</f>
        <v>1.01</v>
      </c>
      <c r="K7" s="1">
        <f>VLOOKUP(Zadanie1_Zalacznik1_projekty[[#This Row],[Zarz_ryzykiem]],Zadanie1_Zalacznik1_wspolczynniki[[#All],[Kategoria]:[Zarządzanie ryzykiem]],4,FALSE)</f>
        <v>4.24</v>
      </c>
      <c r="L7" s="1">
        <f>VLOOKUP(Zadanie1_Zalacznik1_projekty[[#This Row],[Spoj_zespołu]],Zadanie1_Zalacznik1_wspolczynniki[#All],5,FALSE)</f>
        <v>4.38</v>
      </c>
      <c r="M7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135012.4110474168</v>
      </c>
      <c r="N7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121536.59255859423</v>
      </c>
      <c r="O7">
        <f>AVERAGE(Zadanie1_Zalacznik1_projekty[[#This Row],[K min - lewo]],Zadanie1_Zalacznik1_projekty[[#This Row],[K min - prawo]])</f>
        <v>128274.50180300552</v>
      </c>
      <c r="P7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182168.12965174988</v>
      </c>
      <c r="Q7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163505.13158141149</v>
      </c>
      <c r="R7">
        <f>AVERAGE(Zadanie1_Zalacznik1_projekty[[#This Row],[K max lewo]],Zadanie1_Zalacznik1_projekty[[#This Row],[K max prawo]])</f>
        <v>172836.63061658069</v>
      </c>
      <c r="S7">
        <f>Zadanie1_Zalacznik1_projekty[[#This Row],[Nr_projektu]]</f>
        <v>6</v>
      </c>
      <c r="T7">
        <f>AVERAGE(Zadanie1_Zalacznik1_projekty[[#This Row],[K min średnia]],Zadanie1_Zalacznik1_projekty[[#This Row],[K max średnia]])</f>
        <v>150555.56620979309</v>
      </c>
      <c r="U7">
        <f>INT(Zadanie1_Zalacznik1_projekty[[#This Row],[K ostateczne]]/(2.5*POWER(Zadanie1_Zalacznik1_projekty[[#This Row],[K ostateczne]],$B$24)))</f>
        <v>12</v>
      </c>
      <c r="V7" s="1">
        <v>12</v>
      </c>
      <c r="W7" s="1">
        <f>Zadanie1_Zalacznik1_projekty[[#This Row],[Nr_projektu]]</f>
        <v>6</v>
      </c>
      <c r="X7" s="1">
        <f>Zadanie1_Zalacznik1_projekty[[#This Row],[P - minimalna liczba pracowników]]-Zadanie1_Zalacznik1_projekty[[#This Row],[zatrudnieni w firmie]]</f>
        <v>0</v>
      </c>
      <c r="Y7" s="1">
        <f>Zadanie1_Zalacznik1_projekty[[#This Row],[ile brakuje osób]]-X4</f>
        <v>-5</v>
      </c>
      <c r="Z7" t="s">
        <v>41</v>
      </c>
      <c r="AA7" s="3"/>
    </row>
    <row r="8" spans="1:27" x14ac:dyDescent="0.3">
      <c r="A8">
        <v>7</v>
      </c>
      <c r="B8">
        <v>35000</v>
      </c>
      <c r="C8">
        <v>42000</v>
      </c>
      <c r="D8" s="2">
        <v>3</v>
      </c>
      <c r="E8" s="2" t="s">
        <v>11</v>
      </c>
      <c r="F8" s="2">
        <v>4</v>
      </c>
      <c r="G8" s="2">
        <v>1</v>
      </c>
      <c r="H8" s="1">
        <f>VLOOKUP(Zadanie1_Zalacznik1_projekty[[#This Row],[Typowość]],Zadanie1_Zalacznik1_wspolczynniki[[Kategoria]:[Typowość]],2,FALSE)</f>
        <v>3.72</v>
      </c>
      <c r="I8" s="1">
        <f>VLOOKUP(4,Zadanie1_Zalacznik1_wspolczynniki[[#All],[Kategoria]:[Elastyczność]],3,FALSE)</f>
        <v>2.0299999999999998</v>
      </c>
      <c r="J8" s="1">
        <f>VLOOKUP(4,Zadanie1_Zalacznik1_wspolczynniki[[#All],[Kategoria]:[Elastyczność]],3,FALSE)</f>
        <v>2.0299999999999998</v>
      </c>
      <c r="K8" s="1">
        <f>VLOOKUP(Zadanie1_Zalacznik1_projekty[[#This Row],[Zarz_ryzykiem]],Zadanie1_Zalacznik1_wspolczynniki[[#All],[Kategoria]:[Zarządzanie ryzykiem]],4,FALSE)</f>
        <v>2.83</v>
      </c>
      <c r="L8" s="1">
        <f>VLOOKUP(Zadanie1_Zalacznik1_projekty[[#This Row],[Spoj_zespołu]],Zadanie1_Zalacznik1_wspolczynniki[#All],5,FALSE)</f>
        <v>5.48</v>
      </c>
      <c r="M8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174721.04470839768</v>
      </c>
      <c r="N8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174721.04470839768</v>
      </c>
      <c r="O8">
        <f>AVERAGE(Zadanie1_Zalacznik1_projekty[[#This Row],[K min - lewo]],Zadanie1_Zalacznik1_projekty[[#This Row],[K min - prawo]])</f>
        <v>174721.04470839768</v>
      </c>
      <c r="P8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211608.46405320408</v>
      </c>
      <c r="Q8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211608.46405320408</v>
      </c>
      <c r="R8">
        <f>AVERAGE(Zadanie1_Zalacznik1_projekty[[#This Row],[K max lewo]],Zadanie1_Zalacznik1_projekty[[#This Row],[K max prawo]])</f>
        <v>211608.46405320408</v>
      </c>
      <c r="S8">
        <f>Zadanie1_Zalacznik1_projekty[[#This Row],[Nr_projektu]]</f>
        <v>7</v>
      </c>
      <c r="T8">
        <f>AVERAGE(Zadanie1_Zalacznik1_projekty[[#This Row],[K min średnia]],Zadanie1_Zalacznik1_projekty[[#This Row],[K max średnia]])</f>
        <v>193164.75438080088</v>
      </c>
      <c r="U8">
        <f>INT(Zadanie1_Zalacznik1_projekty[[#This Row],[K ostateczne]]/(2.5*POWER(Zadanie1_Zalacznik1_projekty[[#This Row],[K ostateczne]],$B$24)))</f>
        <v>13</v>
      </c>
      <c r="V8" s="1">
        <v>12</v>
      </c>
      <c r="W8" s="1">
        <f>Zadanie1_Zalacznik1_projekty[[#This Row],[Nr_projektu]]</f>
        <v>7</v>
      </c>
      <c r="X8" s="1">
        <f>Zadanie1_Zalacznik1_projekty[[#This Row],[P - minimalna liczba pracowników]]-Zadanie1_Zalacznik1_projekty[[#This Row],[zatrudnieni w firmie]]</f>
        <v>1</v>
      </c>
      <c r="Y8" s="1">
        <f>Zadanie1_Zalacznik1_projekty[[#This Row],[ile brakuje osób]]-X5</f>
        <v>-3</v>
      </c>
      <c r="Z8" t="s">
        <v>42</v>
      </c>
      <c r="AA8" s="3">
        <v>3</v>
      </c>
    </row>
    <row r="9" spans="1:27" x14ac:dyDescent="0.3">
      <c r="A9">
        <v>8</v>
      </c>
      <c r="B9">
        <v>85000</v>
      </c>
      <c r="C9">
        <v>88000</v>
      </c>
      <c r="D9" s="2">
        <v>1</v>
      </c>
      <c r="E9" s="2" t="s">
        <v>12</v>
      </c>
      <c r="F9" s="2">
        <v>4</v>
      </c>
      <c r="G9" s="2">
        <v>4</v>
      </c>
      <c r="H9" s="1">
        <f>VLOOKUP(Zadanie1_Zalacznik1_projekty[[#This Row],[Typowość]],Zadanie1_Zalacznik1_wspolczynniki[[Kategoria]:[Typowość]],2,FALSE)</f>
        <v>6.2</v>
      </c>
      <c r="I9" s="1">
        <f>VLOOKUP(5,Zadanie1_Zalacznik1_wspolczynniki[[#All],[Kategoria]:[Elastyczność]],3,FALSE)</f>
        <v>1.01</v>
      </c>
      <c r="J9" s="1">
        <f>VLOOKUP(5,Zadanie1_Zalacznik1_wspolczynniki[[#All],[Kategoria]:[Elastyczność]],3,FALSE)</f>
        <v>1.01</v>
      </c>
      <c r="K9" s="1">
        <f>VLOOKUP(Zadanie1_Zalacznik1_projekty[[#This Row],[Zarz_ryzykiem]],Zadanie1_Zalacznik1_wspolczynniki[[#All],[Kategoria]:[Zarządzanie ryzykiem]],4,FALSE)</f>
        <v>2.83</v>
      </c>
      <c r="L9" s="1">
        <f>VLOOKUP(Zadanie1_Zalacznik1_projekty[[#This Row],[Spoj_zespołu]],Zadanie1_Zalacznik1_wspolczynniki[#All],5,FALSE)</f>
        <v>2.19</v>
      </c>
      <c r="M9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360567.4242066833</v>
      </c>
      <c r="N9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360567.4242066833</v>
      </c>
      <c r="O9">
        <f>AVERAGE(Zadanie1_Zalacznik1_projekty[[#This Row],[K min - lewo]],Zadanie1_Zalacznik1_projekty[[#This Row],[K min - prawo]])</f>
        <v>360567.4242066833</v>
      </c>
      <c r="P9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373711.78442520846</v>
      </c>
      <c r="Q9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373711.78442520846</v>
      </c>
      <c r="R9">
        <f>AVERAGE(Zadanie1_Zalacznik1_projekty[[#This Row],[K max lewo]],Zadanie1_Zalacznik1_projekty[[#This Row],[K max prawo]])</f>
        <v>373711.78442520846</v>
      </c>
      <c r="S9">
        <f>Zadanie1_Zalacznik1_projekty[[#This Row],[Nr_projektu]]</f>
        <v>8</v>
      </c>
      <c r="T9">
        <f>AVERAGE(Zadanie1_Zalacznik1_projekty[[#This Row],[K min średnia]],Zadanie1_Zalacznik1_projekty[[#This Row],[K max średnia]])</f>
        <v>367139.60431594588</v>
      </c>
      <c r="U9">
        <f>INT(Zadanie1_Zalacznik1_projekty[[#This Row],[K ostateczne]]/(2.5*POWER(Zadanie1_Zalacznik1_projekty[[#This Row],[K ostateczne]],$B$24)))</f>
        <v>16</v>
      </c>
      <c r="V9" s="1">
        <v>12</v>
      </c>
      <c r="W9" s="1">
        <f>Zadanie1_Zalacznik1_projekty[[#This Row],[Nr_projektu]]</f>
        <v>8</v>
      </c>
      <c r="X9" s="1">
        <f>Zadanie1_Zalacznik1_projekty[[#This Row],[P - minimalna liczba pracowników]]-Zadanie1_Zalacznik1_projekty[[#This Row],[zatrudnieni w firmie]]</f>
        <v>4</v>
      </c>
      <c r="Y9" s="1">
        <f>Zadanie1_Zalacznik1_projekty[[#This Row],[ile brakuje osób]]-X6</f>
        <v>-1</v>
      </c>
      <c r="Z9" t="s">
        <v>43</v>
      </c>
      <c r="AA9" s="3"/>
    </row>
    <row r="10" spans="1:27" x14ac:dyDescent="0.3">
      <c r="A10">
        <v>9</v>
      </c>
      <c r="B10">
        <v>100000</v>
      </c>
      <c r="C10">
        <v>110000</v>
      </c>
      <c r="D10" s="2">
        <v>5</v>
      </c>
      <c r="E10" s="2" t="s">
        <v>13</v>
      </c>
      <c r="F10" s="2">
        <v>2</v>
      </c>
      <c r="G10" s="2">
        <v>5</v>
      </c>
      <c r="H10" s="1">
        <f>VLOOKUP(Zadanie1_Zalacznik1_projekty[[#This Row],[Typowość]],Zadanie1_Zalacznik1_wspolczynniki[[Kategoria]:[Typowość]],2,FALSE)</f>
        <v>1.24</v>
      </c>
      <c r="I10" s="1">
        <f>VLOOKUP(3,Zadanie1_Zalacznik1_wspolczynniki[[#All],[Kategoria]:[Elastyczność]],3,FALSE)</f>
        <v>3.04</v>
      </c>
      <c r="J10" s="1">
        <f>VLOOKUP(4,Zadanie1_Zalacznik1_wspolczynniki[[#All],[Kategoria]:[Elastyczność]],3,FALSE)</f>
        <v>2.0299999999999998</v>
      </c>
      <c r="K10" s="1">
        <f>VLOOKUP(Zadanie1_Zalacznik1_projekty[[#This Row],[Zarz_ryzykiem]],Zadanie1_Zalacznik1_wspolczynniki[[#All],[Kategoria]:[Zarządzanie ryzykiem]],4,FALSE)</f>
        <v>5.65</v>
      </c>
      <c r="L10" s="1">
        <f>VLOOKUP(Zadanie1_Zalacznik1_projekty[[#This Row],[Spoj_zespołu]],Zadanie1_Zalacznik1_wspolczynniki[#All],5,FALSE)</f>
        <v>1.1000000000000001</v>
      </c>
      <c r="M10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371404.64451936289</v>
      </c>
      <c r="N10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330633.86234627652</v>
      </c>
      <c r="O10">
        <f>AVERAGE(Zadanie1_Zalacznik1_projekty[[#This Row],[K min - lewo]],Zadanie1_Zalacznik1_projekty[[#This Row],[K min - prawo]])</f>
        <v>351019.25343281974</v>
      </c>
      <c r="P10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409336.32585458679</v>
      </c>
      <c r="Q10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364050.99381380115</v>
      </c>
      <c r="R10">
        <f>AVERAGE(Zadanie1_Zalacznik1_projekty[[#This Row],[K max lewo]],Zadanie1_Zalacznik1_projekty[[#This Row],[K max prawo]])</f>
        <v>386693.659834194</v>
      </c>
      <c r="S10">
        <f>Zadanie1_Zalacznik1_projekty[[#This Row],[Nr_projektu]]</f>
        <v>9</v>
      </c>
      <c r="T10">
        <f>AVERAGE(Zadanie1_Zalacznik1_projekty[[#This Row],[K min średnia]],Zadanie1_Zalacznik1_projekty[[#This Row],[K max średnia]])</f>
        <v>368856.45663350687</v>
      </c>
      <c r="U10">
        <f>INT(Zadanie1_Zalacznik1_projekty[[#This Row],[K ostateczne]]/(2.5*POWER(Zadanie1_Zalacznik1_projekty[[#This Row],[K ostateczne]],$B$24)))</f>
        <v>16</v>
      </c>
      <c r="V10" s="1">
        <v>12</v>
      </c>
      <c r="W10" s="1">
        <f>Zadanie1_Zalacznik1_projekty[[#This Row],[Nr_projektu]]</f>
        <v>9</v>
      </c>
      <c r="X10" s="1">
        <f>Zadanie1_Zalacznik1_projekty[[#This Row],[P - minimalna liczba pracowników]]-Zadanie1_Zalacznik1_projekty[[#This Row],[zatrudnieni w firmie]]</f>
        <v>4</v>
      </c>
      <c r="Y10" s="1">
        <f>Zadanie1_Zalacznik1_projekty[[#This Row],[ile brakuje osób]]-X7</f>
        <v>4</v>
      </c>
      <c r="AA10" s="3"/>
    </row>
    <row r="11" spans="1:27" x14ac:dyDescent="0.3">
      <c r="A11">
        <v>10</v>
      </c>
      <c r="B11">
        <v>75000</v>
      </c>
      <c r="C11">
        <v>90000</v>
      </c>
      <c r="D11" s="2">
        <v>4</v>
      </c>
      <c r="E11" s="2" t="s">
        <v>10</v>
      </c>
      <c r="F11" s="2">
        <v>5</v>
      </c>
      <c r="G11" s="2">
        <v>1</v>
      </c>
      <c r="H11" s="1">
        <f>VLOOKUP(Zadanie1_Zalacznik1_projekty[[#This Row],[Typowość]],Zadanie1_Zalacznik1_wspolczynniki[[Kategoria]:[Typowość]],2,FALSE)</f>
        <v>2.48</v>
      </c>
      <c r="I11" s="1">
        <f>VLOOKUP(4,Zadanie1_Zalacznik1_wspolczynniki[[#All],[Kategoria]:[Elastyczność]],3,FALSE)</f>
        <v>2.0299999999999998</v>
      </c>
      <c r="J11" s="1">
        <f>VLOOKUP(5,Zadanie1_Zalacznik1_wspolczynniki[[#All],[Kategoria]:[Elastyczność]],3,FALSE)</f>
        <v>1.01</v>
      </c>
      <c r="K11" s="1">
        <f>VLOOKUP(Zadanie1_Zalacznik1_projekty[[#This Row],[Zarz_ryzykiem]],Zadanie1_Zalacznik1_wspolczynniki[[#All],[Kategoria]:[Zarządzanie ryzykiem]],4,FALSE)</f>
        <v>1.41</v>
      </c>
      <c r="L11" s="1">
        <f>VLOOKUP(Zadanie1_Zalacznik1_projekty[[#This Row],[Spoj_zespołu]],Zadanie1_Zalacznik1_wspolczynniki[#All],5,FALSE)</f>
        <v>5.48</v>
      </c>
      <c r="M11">
        <f>$B$22*POWER(Zadanie1_Zalacznik1_projekty[[#This Row],[Minimalna_długość_kodu]],$B$23+0.01*(Zadanie1_Zalacznik1_projekty[[#This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288675.59134251665</v>
      </c>
      <c r="N11">
        <f>$B$22*POWER(Zadanie1_Zalacznik1_projekty[[#This Row],[Minimalna_długość_kodu]],$B$23+0.01*(Zadanie1_Zalacznik1_projekty[[#This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257444.98677941272</v>
      </c>
      <c r="O11">
        <f>AVERAGE(Zadanie1_Zalacznik1_projekty[[#This Row],[K min - lewo]],Zadanie1_Zalacznik1_projekty[[#This Row],[K min - prawo]])</f>
        <v>273060.28906096471</v>
      </c>
      <c r="P11">
        <f>$B$22*POWER(Zadanie1_Zalacznik1_projekty[[#This Row],[Maksymalna_długość_kodu]],$B$23+0.01*(Zadanie1_Zalacznik1_projekty[[#This Row],[typowość - wartość]]+Zadanie1_Zalacznik1_projekty[[#This Row],[elastyczność lewy - wartość]]+Zadanie1_Zalacznik1_projekty[[#This Row],[zarządzanie ryz - wartość]]+Zadanie1_Zalacznik1_projekty[[#This Row],[spójność - wartość]]))</f>
        <v>347929.82615627069</v>
      </c>
      <c r="Q11">
        <f>$B$22*POWER(Zadanie1_Zalacznik1_projekty[[#This Row],[Maksymalna_długość_kodu]],$B$23+0.01*(Zadanie1_Zalacznik1_projekty[[#This Row],[typowość - wartość]]+Zadanie1_Zalacznik1_projekty[[#This Row],[elastyczność prawy - wartość]]+Zadanie1_Zalacznik1_projekty[[#This Row],[zarządzanie ryz - wartość]]+Zadanie1_Zalacznik1_projekty[[#This Row],[spójność - wartość]]))</f>
        <v>309712.25228473893</v>
      </c>
      <c r="R11">
        <f>AVERAGE(Zadanie1_Zalacznik1_projekty[[#This Row],[K max lewo]],Zadanie1_Zalacznik1_projekty[[#This Row],[K max prawo]])</f>
        <v>328821.03922050481</v>
      </c>
      <c r="S11">
        <f>Zadanie1_Zalacznik1_projekty[[#This Row],[Nr_projektu]]</f>
        <v>10</v>
      </c>
      <c r="T11">
        <f>AVERAGE(Zadanie1_Zalacznik1_projekty[[#This Row],[K min średnia]],Zadanie1_Zalacznik1_projekty[[#This Row],[K max średnia]])</f>
        <v>300940.66414073476</v>
      </c>
      <c r="U11">
        <f>INT(Zadanie1_Zalacznik1_projekty[[#This Row],[K ostateczne]]/(2.5*POWER(Zadanie1_Zalacznik1_projekty[[#This Row],[K ostateczne]],$B$24)))</f>
        <v>15</v>
      </c>
      <c r="V11" s="1">
        <v>12</v>
      </c>
      <c r="W11" s="1">
        <f>Zadanie1_Zalacznik1_projekty[[#This Row],[Nr_projektu]]</f>
        <v>10</v>
      </c>
      <c r="X11" s="1">
        <f>Zadanie1_Zalacznik1_projekty[[#This Row],[P - minimalna liczba pracowników]]-Zadanie1_Zalacznik1_projekty[[#This Row],[zatrudnieni w firmie]]</f>
        <v>3</v>
      </c>
      <c r="Y11" s="1">
        <f>Zadanie1_Zalacznik1_projekty[[#This Row],[ile brakuje osób]]-X8</f>
        <v>2</v>
      </c>
      <c r="AA11" s="3"/>
    </row>
    <row r="12" spans="1:27" x14ac:dyDescent="0.3">
      <c r="E12" s="1"/>
    </row>
    <row r="14" spans="1:27" x14ac:dyDescent="0.3">
      <c r="A14" t="s">
        <v>14</v>
      </c>
      <c r="B14" t="s">
        <v>3</v>
      </c>
      <c r="C14" t="s">
        <v>4</v>
      </c>
      <c r="D14" t="s">
        <v>15</v>
      </c>
      <c r="E14" t="s">
        <v>16</v>
      </c>
    </row>
    <row r="15" spans="1:27" x14ac:dyDescent="0.3">
      <c r="A15" s="1">
        <v>1</v>
      </c>
      <c r="B15">
        <v>6.2</v>
      </c>
      <c r="C15">
        <v>5.07</v>
      </c>
      <c r="D15">
        <v>7.07</v>
      </c>
      <c r="E15">
        <v>5.48</v>
      </c>
      <c r="H15" t="str">
        <f>LEFT(E2,1)</f>
        <v>1</v>
      </c>
    </row>
    <row r="16" spans="1:27" x14ac:dyDescent="0.3">
      <c r="A16" s="1">
        <v>2</v>
      </c>
      <c r="B16">
        <v>4.96</v>
      </c>
      <c r="C16">
        <v>4.05</v>
      </c>
      <c r="D16">
        <v>5.65</v>
      </c>
      <c r="E16">
        <v>4.38</v>
      </c>
      <c r="H16" t="str">
        <f t="shared" ref="H16:H26" si="0">LEFT(E3,1)</f>
        <v>2</v>
      </c>
    </row>
    <row r="17" spans="1:8" x14ac:dyDescent="0.3">
      <c r="A17" s="1">
        <v>3</v>
      </c>
      <c r="B17">
        <v>3.72</v>
      </c>
      <c r="C17">
        <v>3.04</v>
      </c>
      <c r="D17">
        <v>4.24</v>
      </c>
      <c r="E17">
        <v>3.29</v>
      </c>
      <c r="H17" t="str">
        <f t="shared" si="0"/>
        <v>3</v>
      </c>
    </row>
    <row r="18" spans="1:8" x14ac:dyDescent="0.3">
      <c r="A18" s="1">
        <v>4</v>
      </c>
      <c r="B18">
        <v>2.48</v>
      </c>
      <c r="C18">
        <v>2.0299999999999998</v>
      </c>
      <c r="D18">
        <v>2.83</v>
      </c>
      <c r="E18">
        <v>2.19</v>
      </c>
      <c r="H18" t="str">
        <f t="shared" si="0"/>
        <v>2</v>
      </c>
    </row>
    <row r="19" spans="1:8" x14ac:dyDescent="0.3">
      <c r="A19" s="1">
        <v>5</v>
      </c>
      <c r="B19">
        <v>1.24</v>
      </c>
      <c r="C19">
        <v>1.01</v>
      </c>
      <c r="D19">
        <v>1.41</v>
      </c>
      <c r="E19">
        <v>1.1000000000000001</v>
      </c>
      <c r="H19" t="str">
        <f t="shared" si="0"/>
        <v>4</v>
      </c>
    </row>
    <row r="20" spans="1:8" x14ac:dyDescent="0.3">
      <c r="H20" t="str">
        <f t="shared" si="0"/>
        <v>4</v>
      </c>
    </row>
    <row r="21" spans="1:8" x14ac:dyDescent="0.3">
      <c r="H21" t="str">
        <f t="shared" si="0"/>
        <v>4</v>
      </c>
    </row>
    <row r="22" spans="1:8" x14ac:dyDescent="0.3">
      <c r="A22" t="s">
        <v>17</v>
      </c>
      <c r="B22">
        <v>2.94</v>
      </c>
      <c r="H22" t="str">
        <f t="shared" si="0"/>
        <v>5</v>
      </c>
    </row>
    <row r="23" spans="1:8" x14ac:dyDescent="0.3">
      <c r="A23" t="s">
        <v>18</v>
      </c>
      <c r="B23">
        <v>0.91</v>
      </c>
      <c r="H23" t="str">
        <f>LEFT(E10,1)</f>
        <v>3</v>
      </c>
    </row>
    <row r="24" spans="1:8" x14ac:dyDescent="0.3">
      <c r="A24" t="s">
        <v>19</v>
      </c>
      <c r="B24">
        <v>0.71</v>
      </c>
      <c r="H24" t="str">
        <f t="shared" si="0"/>
        <v>4</v>
      </c>
    </row>
    <row r="25" spans="1:8" x14ac:dyDescent="0.3">
      <c r="H25" t="str">
        <f>LEFT(E12,1)</f>
        <v/>
      </c>
    </row>
    <row r="26" spans="1:8" x14ac:dyDescent="0.3">
      <c r="H26" t="str">
        <f t="shared" si="0"/>
        <v/>
      </c>
    </row>
  </sheetData>
  <mergeCells count="3">
    <mergeCell ref="AA2:AA4"/>
    <mergeCell ref="AA5:AA7"/>
    <mergeCell ref="AA8:AA11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72AF-DBD3-4CF9-A0A0-A08CC297726E}">
  <dimension ref="A1:AC26"/>
  <sheetViews>
    <sheetView topLeftCell="O1" workbookViewId="0">
      <selection activeCell="O1" sqref="A1:XFD1048576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5.33203125" bestFit="1" customWidth="1"/>
    <col min="7" max="7" width="14.44140625" bestFit="1" customWidth="1"/>
    <col min="8" max="8" width="19.6640625" bestFit="1" customWidth="1"/>
    <col min="9" max="11" width="14.44140625" customWidth="1"/>
    <col min="12" max="12" width="18.88671875" bestFit="1" customWidth="1"/>
    <col min="13" max="13" width="13.5546875" bestFit="1" customWidth="1"/>
    <col min="14" max="14" width="14.88671875" bestFit="1" customWidth="1"/>
    <col min="15" max="15" width="14.5546875" bestFit="1" customWidth="1"/>
    <col min="16" max="16" width="12.77734375" bestFit="1" customWidth="1"/>
    <col min="17" max="17" width="14.109375" bestFit="1" customWidth="1"/>
    <col min="18" max="18" width="14.88671875" bestFit="1" customWidth="1"/>
    <col min="19" max="19" width="13.77734375" bestFit="1" customWidth="1"/>
    <col min="20" max="20" width="32.21875" bestFit="1" customWidth="1"/>
    <col min="21" max="21" width="20.109375" bestFit="1" customWidth="1"/>
    <col min="22" max="22" width="20.109375" customWidth="1"/>
    <col min="23" max="23" width="16.6640625" bestFit="1" customWidth="1"/>
    <col min="24" max="24" width="16.44140625" bestFit="1" customWidth="1"/>
    <col min="25" max="25" width="11.109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34</v>
      </c>
      <c r="J1" t="s">
        <v>35</v>
      </c>
      <c r="K1" t="s">
        <v>32</v>
      </c>
      <c r="L1" t="s">
        <v>33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20</v>
      </c>
      <c r="U1" t="s">
        <v>36</v>
      </c>
      <c r="V1" t="s">
        <v>38</v>
      </c>
      <c r="W1" t="s">
        <v>37</v>
      </c>
      <c r="X1" t="s">
        <v>39</v>
      </c>
    </row>
    <row r="2" spans="1:29" x14ac:dyDescent="0.3">
      <c r="A2">
        <v>1</v>
      </c>
      <c r="B2">
        <v>25000</v>
      </c>
      <c r="C2">
        <v>27000</v>
      </c>
      <c r="D2" s="2">
        <v>5</v>
      </c>
      <c r="E2" s="2" t="s">
        <v>7</v>
      </c>
      <c r="F2" s="2">
        <v>2</v>
      </c>
      <c r="G2" s="2">
        <v>1</v>
      </c>
      <c r="H2" s="1">
        <f>VLOOKUP(Zadanie1_Zalacznik1_projekty6[[#This Row],[Typowość]],Zadanie1_Zalacznik1_wspolczynniki7[[Kategoria]:[Typowość]],2,FALSE)</f>
        <v>1.24</v>
      </c>
      <c r="I2" s="1">
        <f>VLOOKUP(1,Zadanie1_Zalacznik1_wspolczynniki7[[#All],[Kategoria]:[Elastyczność]],3,FALSE)</f>
        <v>5.07</v>
      </c>
      <c r="J2" s="1">
        <f>VLOOKUP(1,Zadanie1_Zalacznik1_wspolczynniki7[[#All],[Kategoria]:[Elastyczność]],3,FALSE)</f>
        <v>5.07</v>
      </c>
      <c r="K2" s="1">
        <f>VLOOKUP(Zadanie1_Zalacznik1_projekty6[[#This Row],[Zarz_ryzykiem]],Zadanie1_Zalacznik1_wspolczynniki7[[#All],[Kategoria]:[Zarządzanie ryzykiem]],4,FALSE)</f>
        <v>5.65</v>
      </c>
      <c r="L2" s="1">
        <f>VLOOKUP(Zadanie1_Zalacznik1_projekty6[[#This Row],[Spoj_zespołu]],Zadanie1_Zalacznik1_wspolczynniki7[#All],5,FALSE)</f>
        <v>5.48</v>
      </c>
      <c r="M2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172772.04581573003</v>
      </c>
      <c r="N2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172772.04581573003</v>
      </c>
      <c r="O2">
        <f>AVERAGE(Zadanie1_Zalacznik1_projekty6[[#This Row],[K min - lewo]],Zadanie1_Zalacznik1_projekty6[[#This Row],[K min - prawo]])</f>
        <v>172772.04581573003</v>
      </c>
      <c r="P2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187809.77667506112</v>
      </c>
      <c r="Q2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187809.77667506112</v>
      </c>
      <c r="R2">
        <f>AVERAGE(Zadanie1_Zalacznik1_projekty6[[#This Row],[K max lewo]],Zadanie1_Zalacznik1_projekty6[[#This Row],[K max prawo]])</f>
        <v>187809.77667506112</v>
      </c>
      <c r="S2">
        <f>AVERAGE(Zadanie1_Zalacznik1_projekty6[[#This Row],[K min średnia]],Zadanie1_Zalacznik1_projekty6[[#This Row],[K max średnia]])</f>
        <v>180290.91124539557</v>
      </c>
      <c r="T2">
        <f>INT(Zadanie1_Zalacznik1_projekty6[[#This Row],[K ostateczne]]/(2.5*POWER(Zadanie1_Zalacznik1_projekty6[[#This Row],[K ostateczne]],$B$24)))</f>
        <v>13</v>
      </c>
      <c r="U2" s="1">
        <v>12</v>
      </c>
      <c r="V2" s="1">
        <f>Zadanie1_Zalacznik1_projekty6[[#This Row],[Nr_projektu]]</f>
        <v>1</v>
      </c>
      <c r="W2" s="1">
        <f>Zadanie1_Zalacznik1_projekty6[[#This Row],[P - minimalna liczba pracowników]]-Zadanie1_Zalacznik1_projekty6[[#This Row],[zatrudnieni w firmie]]</f>
        <v>1</v>
      </c>
      <c r="X2" s="1"/>
      <c r="Y2" s="4">
        <v>13</v>
      </c>
      <c r="Z2" s="3">
        <v>1</v>
      </c>
      <c r="AA2">
        <f>SUM(Y2:Y4)</f>
        <v>48</v>
      </c>
      <c r="AB2" s="4">
        <f>AA2-12</f>
        <v>36</v>
      </c>
    </row>
    <row r="3" spans="1:29" x14ac:dyDescent="0.3">
      <c r="A3">
        <v>2</v>
      </c>
      <c r="B3">
        <v>120000</v>
      </c>
      <c r="C3">
        <v>128000</v>
      </c>
      <c r="D3" s="2">
        <v>5</v>
      </c>
      <c r="E3" s="2" t="s">
        <v>8</v>
      </c>
      <c r="F3" s="2">
        <v>5</v>
      </c>
      <c r="G3" s="2">
        <v>1</v>
      </c>
      <c r="H3" s="1">
        <f>VLOOKUP(Zadanie1_Zalacznik1_projekty6[[#This Row],[Typowość]],Zadanie1_Zalacznik1_wspolczynniki7[[Kategoria]:[Typowość]],2,FALSE)</f>
        <v>1.24</v>
      </c>
      <c r="I3" s="1">
        <f>VLOOKUP(2,Zadanie1_Zalacznik1_wspolczynniki7[[#All],[Kategoria]:[Elastyczność]],3,FALSE)</f>
        <v>4.05</v>
      </c>
      <c r="J3" s="1">
        <f>VLOOKUP(2,Zadanie1_Zalacznik1_wspolczynniki7[[#All],[Kategoria]:[Elastyczność]],3,FALSE)</f>
        <v>4.05</v>
      </c>
      <c r="K3" s="1">
        <f>VLOOKUP(Zadanie1_Zalacznik1_projekty6[[#This Row],[Zarz_ryzykiem]],Zadanie1_Zalacznik1_wspolczynniki7[[#All],[Kategoria]:[Zarządzanie ryzykiem]],4,FALSE)</f>
        <v>1.41</v>
      </c>
      <c r="L3" s="1">
        <f>VLOOKUP(Zadanie1_Zalacznik1_projekty6[[#This Row],[Spoj_zespołu]],Zadanie1_Zalacznik1_wspolczynniki7[#All],5,FALSE)</f>
        <v>5.48</v>
      </c>
      <c r="M3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511736.67158511968</v>
      </c>
      <c r="N3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511736.67158511968</v>
      </c>
      <c r="O3">
        <f>AVERAGE(Zadanie1_Zalacznik1_projekty6[[#This Row],[K min - lewo]],Zadanie1_Zalacznik1_projekty6[[#This Row],[K min - prawo]])</f>
        <v>511736.67158511968</v>
      </c>
      <c r="P3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546973.86666682852</v>
      </c>
      <c r="Q3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546973.86666682852</v>
      </c>
      <c r="R3">
        <f>AVERAGE(Zadanie1_Zalacznik1_projekty6[[#This Row],[K max lewo]],Zadanie1_Zalacznik1_projekty6[[#This Row],[K max prawo]])</f>
        <v>546973.86666682852</v>
      </c>
      <c r="S3">
        <f>AVERAGE(Zadanie1_Zalacznik1_projekty6[[#This Row],[K min średnia]],Zadanie1_Zalacznik1_projekty6[[#This Row],[K max średnia]])</f>
        <v>529355.26912597404</v>
      </c>
      <c r="T3">
        <f>INT(Zadanie1_Zalacznik1_projekty6[[#This Row],[K ostateczne]]/(2.5*POWER(Zadanie1_Zalacznik1_projekty6[[#This Row],[K ostateczne]],$B$24)))</f>
        <v>18</v>
      </c>
      <c r="U3" s="1">
        <v>12</v>
      </c>
      <c r="V3" s="1">
        <f>Zadanie1_Zalacznik1_projekty6[[#This Row],[Nr_projektu]]</f>
        <v>2</v>
      </c>
      <c r="W3" s="1">
        <f>Zadanie1_Zalacznik1_projekty6[[#This Row],[P - minimalna liczba pracowników]]-Zadanie1_Zalacznik1_projekty6[[#This Row],[zatrudnieni w firmie]]</f>
        <v>6</v>
      </c>
      <c r="X3" s="1"/>
      <c r="Y3" s="4">
        <v>18</v>
      </c>
      <c r="Z3" s="3"/>
    </row>
    <row r="4" spans="1:29" x14ac:dyDescent="0.3">
      <c r="A4">
        <v>3</v>
      </c>
      <c r="B4">
        <v>60000</v>
      </c>
      <c r="C4">
        <v>70000</v>
      </c>
      <c r="D4" s="2">
        <v>4</v>
      </c>
      <c r="E4" s="2" t="s">
        <v>9</v>
      </c>
      <c r="F4" s="2">
        <v>1</v>
      </c>
      <c r="G4" s="2">
        <v>2</v>
      </c>
      <c r="H4" s="1">
        <f>VLOOKUP(Zadanie1_Zalacznik1_projekty6[[#This Row],[Typowość]],Zadanie1_Zalacznik1_wspolczynniki7[[Kategoria]:[Typowość]],2,FALSE)</f>
        <v>2.48</v>
      </c>
      <c r="I4" s="1">
        <f>VLOOKUP(3,Zadanie1_Zalacznik1_wspolczynniki7[[#All],[Kategoria]:[Elastyczność]],3,FALSE)</f>
        <v>3.04</v>
      </c>
      <c r="J4" s="1">
        <f>VLOOKUP(3,Zadanie1_Zalacznik1_wspolczynniki7[[#All],[Kategoria]:[Elastyczność]],3,FALSE)</f>
        <v>3.04</v>
      </c>
      <c r="K4" s="1">
        <f>VLOOKUP(Zadanie1_Zalacznik1_projekty6[[#This Row],[Zarz_ryzykiem]],Zadanie1_Zalacznik1_wspolczynniki7[[#All],[Kategoria]:[Zarządzanie ryzykiem]],4,FALSE)</f>
        <v>7.07</v>
      </c>
      <c r="L4" s="1">
        <f>VLOOKUP(Zadanie1_Zalacznik1_projekty6[[#This Row],[Spoj_zespołu]],Zadanie1_Zalacznik1_wspolczynniki7[#All],5,FALSE)</f>
        <v>4.38</v>
      </c>
      <c r="M4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423952.53402737796</v>
      </c>
      <c r="N4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423952.53402737796</v>
      </c>
      <c r="O4">
        <f>AVERAGE(Zadanie1_Zalacznik1_projekty6[[#This Row],[K min - lewo]],Zadanie1_Zalacznik1_projekty6[[#This Row],[K min - prawo]])</f>
        <v>423952.53402737796</v>
      </c>
      <c r="P4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500725.4715524147</v>
      </c>
      <c r="Q4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500725.4715524147</v>
      </c>
      <c r="R4">
        <f>AVERAGE(Zadanie1_Zalacznik1_projekty6[[#This Row],[K max lewo]],Zadanie1_Zalacznik1_projekty6[[#This Row],[K max prawo]])</f>
        <v>500725.4715524147</v>
      </c>
      <c r="S4">
        <f>AVERAGE(Zadanie1_Zalacznik1_projekty6[[#This Row],[K min średnia]],Zadanie1_Zalacznik1_projekty6[[#This Row],[K max średnia]])</f>
        <v>462339.00278989633</v>
      </c>
      <c r="T4">
        <f>INT(Zadanie1_Zalacznik1_projekty6[[#This Row],[K ostateczne]]/(2.5*POWER(Zadanie1_Zalacznik1_projekty6[[#This Row],[K ostateczne]],$B$24)))</f>
        <v>17</v>
      </c>
      <c r="U4" s="1">
        <v>12</v>
      </c>
      <c r="V4" s="1">
        <f>Zadanie1_Zalacznik1_projekty6[[#This Row],[Nr_projektu]]</f>
        <v>3</v>
      </c>
      <c r="W4" s="1">
        <f>Zadanie1_Zalacznik1_projekty6[[#This Row],[P - minimalna liczba pracowników]]-Zadanie1_Zalacznik1_projekty6[[#This Row],[zatrudnieni w firmie]]</f>
        <v>5</v>
      </c>
      <c r="X4" s="1">
        <f>W2+W3+Zadanie1_Zalacznik1_projekty6[[#This Row],[ile brakuje osób]]</f>
        <v>12</v>
      </c>
      <c r="Y4" s="4">
        <v>17</v>
      </c>
      <c r="Z4" s="3"/>
    </row>
    <row r="5" spans="1:29" x14ac:dyDescent="0.3">
      <c r="A5">
        <v>4</v>
      </c>
      <c r="B5">
        <v>45000</v>
      </c>
      <c r="C5">
        <v>50000</v>
      </c>
      <c r="D5" s="2">
        <v>5</v>
      </c>
      <c r="E5" s="2" t="s">
        <v>8</v>
      </c>
      <c r="F5" s="2">
        <v>1</v>
      </c>
      <c r="G5" s="2">
        <v>1</v>
      </c>
      <c r="H5" s="1">
        <f>VLOOKUP(Zadanie1_Zalacznik1_projekty6[[#This Row],[Typowość]],Zadanie1_Zalacznik1_wspolczynniki7[[Kategoria]:[Typowość]],2,FALSE)</f>
        <v>1.24</v>
      </c>
      <c r="I5" s="1">
        <f>VLOOKUP(2,Zadanie1_Zalacznik1_wspolczynniki7[[#All],[Kategoria]:[Elastyczność]],3,FALSE)</f>
        <v>4.05</v>
      </c>
      <c r="J5" s="1">
        <f>VLOOKUP(2,Zadanie1_Zalacznik1_wspolczynniki7[[#All],[Kategoria]:[Elastyczność]],3,FALSE)</f>
        <v>4.05</v>
      </c>
      <c r="K5" s="1">
        <f>VLOOKUP(Zadanie1_Zalacznik1_projekty6[[#This Row],[Zarz_ryzykiem]],Zadanie1_Zalacznik1_wspolczynniki7[[#All],[Kategoria]:[Zarządzanie ryzykiem]],4,FALSE)</f>
        <v>7.07</v>
      </c>
      <c r="L5" s="1">
        <f>VLOOKUP(Zadanie1_Zalacznik1_projekty6[[#This Row],[Spoj_zespołu]],Zadanie1_Zalacznik1_wspolczynniki7[#All],5,FALSE)</f>
        <v>5.48</v>
      </c>
      <c r="M5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341117.36668015522</v>
      </c>
      <c r="N5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341117.36668015522</v>
      </c>
      <c r="O5">
        <f>AVERAGE(Zadanie1_Zalacznik1_projekty6[[#This Row],[K min - lewo]],Zadanie1_Zalacznik1_projekty6[[#This Row],[K min - prawo]])</f>
        <v>341117.36668015522</v>
      </c>
      <c r="P5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382565.92337941262</v>
      </c>
      <c r="Q5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382565.92337941262</v>
      </c>
      <c r="R5">
        <f>AVERAGE(Zadanie1_Zalacznik1_projekty6[[#This Row],[K max lewo]],Zadanie1_Zalacznik1_projekty6[[#This Row],[K max prawo]])</f>
        <v>382565.92337941262</v>
      </c>
      <c r="S5">
        <f>AVERAGE(Zadanie1_Zalacznik1_projekty6[[#This Row],[K min średnia]],Zadanie1_Zalacznik1_projekty6[[#This Row],[K max średnia]])</f>
        <v>361841.64502978395</v>
      </c>
      <c r="T5">
        <f>INT(Zadanie1_Zalacznik1_projekty6[[#This Row],[K ostateczne]]/(2.5*POWER(Zadanie1_Zalacznik1_projekty6[[#This Row],[K ostateczne]],$B$24)))</f>
        <v>16</v>
      </c>
      <c r="U5" s="1">
        <v>12</v>
      </c>
      <c r="V5" s="1">
        <f>Zadanie1_Zalacznik1_projekty6[[#This Row],[Nr_projektu]]</f>
        <v>4</v>
      </c>
      <c r="W5" s="1">
        <f>Zadanie1_Zalacznik1_projekty6[[#This Row],[P - minimalna liczba pracowników]]-Zadanie1_Zalacznik1_projekty6[[#This Row],[zatrudnieni w firmie]]</f>
        <v>4</v>
      </c>
      <c r="X5" s="1">
        <f>Zadanie1_Zalacznik1_projekty6[[#This Row],[ile brakuje osób]]-W2</f>
        <v>3</v>
      </c>
      <c r="Y5" s="4">
        <v>3</v>
      </c>
      <c r="Z5" s="3">
        <v>2</v>
      </c>
      <c r="AA5">
        <f>SUM(T5:T7)</f>
        <v>45</v>
      </c>
    </row>
    <row r="6" spans="1:29" x14ac:dyDescent="0.3">
      <c r="A6">
        <v>5</v>
      </c>
      <c r="B6">
        <v>95000</v>
      </c>
      <c r="C6">
        <v>105000</v>
      </c>
      <c r="D6" s="2">
        <v>4</v>
      </c>
      <c r="E6" s="2" t="s">
        <v>10</v>
      </c>
      <c r="F6" s="2">
        <v>2</v>
      </c>
      <c r="G6" s="2">
        <v>3</v>
      </c>
      <c r="H6" s="1">
        <f>VLOOKUP(Zadanie1_Zalacznik1_projekty6[[#This Row],[Typowość]],Zadanie1_Zalacznik1_wspolczynniki7[[Kategoria]:[Typowość]],2,FALSE)</f>
        <v>2.48</v>
      </c>
      <c r="I6" s="1">
        <f>VLOOKUP(4,Zadanie1_Zalacznik1_wspolczynniki7[[#All],[Kategoria]:[Elastyczność]],3,FALSE)</f>
        <v>2.0299999999999998</v>
      </c>
      <c r="J6" s="1">
        <f>VLOOKUP(5,Zadanie1_Zalacznik1_wspolczynniki7[[#All],[Kategoria]:[Elastyczność]],3,FALSE)</f>
        <v>1.01</v>
      </c>
      <c r="K6" s="1">
        <f>VLOOKUP(Zadanie1_Zalacznik1_projekty6[[#This Row],[Zarz_ryzykiem]],Zadanie1_Zalacznik1_wspolczynniki7[[#All],[Kategoria]:[Zarządzanie ryzykiem]],4,FALSE)</f>
        <v>5.65</v>
      </c>
      <c r="L6" s="1">
        <f>VLOOKUP(Zadanie1_Zalacznik1_projekty6[[#This Row],[Spoj_zespołu]],Zadanie1_Zalacznik1_wspolczynniki7[#All],5,FALSE)</f>
        <v>3.29</v>
      </c>
      <c r="M6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465135.65979888645</v>
      </c>
      <c r="N6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413815.59686725063</v>
      </c>
      <c r="O6">
        <f>AVERAGE(Zadanie1_Zalacznik1_projekty6[[#This Row],[K min - lewo]],Zadanie1_Zalacznik1_projekty6[[#This Row],[K min - prawo]])</f>
        <v>439475.62833306857</v>
      </c>
      <c r="P6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516392.05681299232</v>
      </c>
      <c r="Q6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458947.93744776829</v>
      </c>
      <c r="R6">
        <f>AVERAGE(Zadanie1_Zalacznik1_projekty6[[#This Row],[K max lewo]],Zadanie1_Zalacznik1_projekty6[[#This Row],[K max prawo]])</f>
        <v>487669.9971303803</v>
      </c>
      <c r="S6">
        <f>AVERAGE(Zadanie1_Zalacznik1_projekty6[[#This Row],[K min średnia]],Zadanie1_Zalacznik1_projekty6[[#This Row],[K max średnia]])</f>
        <v>463572.81273172447</v>
      </c>
      <c r="T6">
        <f>INT(Zadanie1_Zalacznik1_projekty6[[#This Row],[K ostateczne]]/(2.5*POWER(Zadanie1_Zalacznik1_projekty6[[#This Row],[K ostateczne]],$B$24)))</f>
        <v>17</v>
      </c>
      <c r="U6" s="1">
        <v>12</v>
      </c>
      <c r="V6" s="1">
        <f>Zadanie1_Zalacznik1_projekty6[[#This Row],[Nr_projektu]]</f>
        <v>5</v>
      </c>
      <c r="W6" s="1">
        <f>Zadanie1_Zalacznik1_projekty6[[#This Row],[P - minimalna liczba pracowników]]-Zadanie1_Zalacznik1_projekty6[[#This Row],[zatrudnieni w firmie]]</f>
        <v>5</v>
      </c>
      <c r="X6" s="1">
        <f>Zadanie1_Zalacznik1_projekty6[[#This Row],[ile brakuje osób]]-W3</f>
        <v>-1</v>
      </c>
      <c r="Z6" s="3"/>
    </row>
    <row r="7" spans="1:29" x14ac:dyDescent="0.3">
      <c r="A7">
        <v>6</v>
      </c>
      <c r="B7">
        <v>30000</v>
      </c>
      <c r="C7">
        <v>40000</v>
      </c>
      <c r="D7" s="2">
        <v>4</v>
      </c>
      <c r="E7" s="2" t="s">
        <v>10</v>
      </c>
      <c r="F7" s="2">
        <v>3</v>
      </c>
      <c r="G7" s="2">
        <v>2</v>
      </c>
      <c r="H7" s="1">
        <f>VLOOKUP(Zadanie1_Zalacznik1_projekty6[[#This Row],[Typowość]],Zadanie1_Zalacznik1_wspolczynniki7[[Kategoria]:[Typowość]],2,FALSE)</f>
        <v>2.48</v>
      </c>
      <c r="I7" s="1">
        <f>VLOOKUP(4,Zadanie1_Zalacznik1_wspolczynniki7[[#All],[Kategoria]:[Elastyczność]],3,FALSE)</f>
        <v>2.0299999999999998</v>
      </c>
      <c r="J7" s="1">
        <f>VLOOKUP(5,Zadanie1_Zalacznik1_wspolczynniki7[[#All],[Kategoria]:[Elastyczność]],3,FALSE)</f>
        <v>1.01</v>
      </c>
      <c r="K7" s="1">
        <f>VLOOKUP(Zadanie1_Zalacznik1_projekty6[[#This Row],[Zarz_ryzykiem]],Zadanie1_Zalacznik1_wspolczynniki7[[#All],[Kategoria]:[Zarządzanie ryzykiem]],4,FALSE)</f>
        <v>4.24</v>
      </c>
      <c r="L7" s="1">
        <f>VLOOKUP(Zadanie1_Zalacznik1_projekty6[[#This Row],[Spoj_zespołu]],Zadanie1_Zalacznik1_wspolczynniki7[#All],5,FALSE)</f>
        <v>4.38</v>
      </c>
      <c r="M7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135012.4110474168</v>
      </c>
      <c r="N7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121536.59255859423</v>
      </c>
      <c r="O7">
        <f>AVERAGE(Zadanie1_Zalacznik1_projekty6[[#This Row],[K min - lewo]],Zadanie1_Zalacznik1_projekty6[[#This Row],[K min - prawo]])</f>
        <v>128274.50180300552</v>
      </c>
      <c r="P7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182168.12965174988</v>
      </c>
      <c r="Q7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163505.13158141149</v>
      </c>
      <c r="R7">
        <f>AVERAGE(Zadanie1_Zalacznik1_projekty6[[#This Row],[K max lewo]],Zadanie1_Zalacznik1_projekty6[[#This Row],[K max prawo]])</f>
        <v>172836.63061658069</v>
      </c>
      <c r="S7">
        <f>AVERAGE(Zadanie1_Zalacznik1_projekty6[[#This Row],[K min średnia]],Zadanie1_Zalacznik1_projekty6[[#This Row],[K max średnia]])</f>
        <v>150555.56620979309</v>
      </c>
      <c r="T7">
        <f>INT(Zadanie1_Zalacznik1_projekty6[[#This Row],[K ostateczne]]/(2.5*POWER(Zadanie1_Zalacznik1_projekty6[[#This Row],[K ostateczne]],$B$24)))</f>
        <v>12</v>
      </c>
      <c r="U7" s="1">
        <v>12</v>
      </c>
      <c r="V7" s="1">
        <f>Zadanie1_Zalacznik1_projekty6[[#This Row],[Nr_projektu]]</f>
        <v>6</v>
      </c>
      <c r="W7" s="1">
        <f>Zadanie1_Zalacznik1_projekty6[[#This Row],[P - minimalna liczba pracowników]]-Zadanie1_Zalacznik1_projekty6[[#This Row],[zatrudnieni w firmie]]</f>
        <v>0</v>
      </c>
      <c r="X7" s="1">
        <f>Zadanie1_Zalacznik1_projekty6[[#This Row],[ile brakuje osób]]-W4</f>
        <v>-5</v>
      </c>
      <c r="Z7" s="3"/>
    </row>
    <row r="8" spans="1:29" x14ac:dyDescent="0.3">
      <c r="A8">
        <v>7</v>
      </c>
      <c r="B8">
        <v>35000</v>
      </c>
      <c r="C8">
        <v>42000</v>
      </c>
      <c r="D8" s="2">
        <v>3</v>
      </c>
      <c r="E8" s="2" t="s">
        <v>11</v>
      </c>
      <c r="F8" s="2">
        <v>4</v>
      </c>
      <c r="G8" s="2">
        <v>1</v>
      </c>
      <c r="H8" s="1">
        <f>VLOOKUP(Zadanie1_Zalacznik1_projekty6[[#This Row],[Typowość]],Zadanie1_Zalacznik1_wspolczynniki7[[Kategoria]:[Typowość]],2,FALSE)</f>
        <v>3.72</v>
      </c>
      <c r="I8" s="1">
        <f>VLOOKUP(4,Zadanie1_Zalacznik1_wspolczynniki7[[#All],[Kategoria]:[Elastyczność]],3,FALSE)</f>
        <v>2.0299999999999998</v>
      </c>
      <c r="J8" s="1">
        <f>VLOOKUP(4,Zadanie1_Zalacznik1_wspolczynniki7[[#All],[Kategoria]:[Elastyczność]],3,FALSE)</f>
        <v>2.0299999999999998</v>
      </c>
      <c r="K8" s="1">
        <f>VLOOKUP(Zadanie1_Zalacznik1_projekty6[[#This Row],[Zarz_ryzykiem]],Zadanie1_Zalacznik1_wspolczynniki7[[#All],[Kategoria]:[Zarządzanie ryzykiem]],4,FALSE)</f>
        <v>2.83</v>
      </c>
      <c r="L8" s="1">
        <f>VLOOKUP(Zadanie1_Zalacznik1_projekty6[[#This Row],[Spoj_zespołu]],Zadanie1_Zalacznik1_wspolczynniki7[#All],5,FALSE)</f>
        <v>5.48</v>
      </c>
      <c r="M8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174721.04470839768</v>
      </c>
      <c r="N8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174721.04470839768</v>
      </c>
      <c r="O8">
        <f>AVERAGE(Zadanie1_Zalacznik1_projekty6[[#This Row],[K min - lewo]],Zadanie1_Zalacznik1_projekty6[[#This Row],[K min - prawo]])</f>
        <v>174721.04470839768</v>
      </c>
      <c r="P8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211608.46405320408</v>
      </c>
      <c r="Q8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211608.46405320408</v>
      </c>
      <c r="R8">
        <f>AVERAGE(Zadanie1_Zalacznik1_projekty6[[#This Row],[K max lewo]],Zadanie1_Zalacznik1_projekty6[[#This Row],[K max prawo]])</f>
        <v>211608.46405320408</v>
      </c>
      <c r="S8">
        <f>AVERAGE(Zadanie1_Zalacznik1_projekty6[[#This Row],[K min średnia]],Zadanie1_Zalacznik1_projekty6[[#This Row],[K max średnia]])</f>
        <v>193164.75438080088</v>
      </c>
      <c r="T8">
        <f>INT(Zadanie1_Zalacznik1_projekty6[[#This Row],[K ostateczne]]/(2.5*POWER(Zadanie1_Zalacznik1_projekty6[[#This Row],[K ostateczne]],$B$24)))</f>
        <v>13</v>
      </c>
      <c r="U8" s="1">
        <v>12</v>
      </c>
      <c r="V8" s="1">
        <f>Zadanie1_Zalacznik1_projekty6[[#This Row],[Nr_projektu]]</f>
        <v>7</v>
      </c>
      <c r="W8" s="1">
        <f>Zadanie1_Zalacznik1_projekty6[[#This Row],[P - minimalna liczba pracowników]]-Zadanie1_Zalacznik1_projekty6[[#This Row],[zatrudnieni w firmie]]</f>
        <v>1</v>
      </c>
      <c r="X8" s="1">
        <f>Zadanie1_Zalacznik1_projekty6[[#This Row],[ile brakuje osób]]-W5</f>
        <v>-3</v>
      </c>
      <c r="Z8" s="3">
        <v>3</v>
      </c>
      <c r="AA8">
        <f>SUM(T8:T11)</f>
        <v>60</v>
      </c>
      <c r="AB8" s="4">
        <f>12+AB2-AA8</f>
        <v>-12</v>
      </c>
      <c r="AC8">
        <f>36+12</f>
        <v>48</v>
      </c>
    </row>
    <row r="9" spans="1:29" x14ac:dyDescent="0.3">
      <c r="A9">
        <v>8</v>
      </c>
      <c r="B9">
        <v>85000</v>
      </c>
      <c r="C9">
        <v>88000</v>
      </c>
      <c r="D9" s="2">
        <v>1</v>
      </c>
      <c r="E9" s="2" t="s">
        <v>12</v>
      </c>
      <c r="F9" s="2">
        <v>4</v>
      </c>
      <c r="G9" s="2">
        <v>4</v>
      </c>
      <c r="H9" s="1">
        <f>VLOOKUP(Zadanie1_Zalacznik1_projekty6[[#This Row],[Typowość]],Zadanie1_Zalacznik1_wspolczynniki7[[Kategoria]:[Typowość]],2,FALSE)</f>
        <v>6.2</v>
      </c>
      <c r="I9" s="1">
        <f>VLOOKUP(5,Zadanie1_Zalacznik1_wspolczynniki7[[#All],[Kategoria]:[Elastyczność]],3,FALSE)</f>
        <v>1.01</v>
      </c>
      <c r="J9" s="1">
        <f>VLOOKUP(5,Zadanie1_Zalacznik1_wspolczynniki7[[#All],[Kategoria]:[Elastyczność]],3,FALSE)</f>
        <v>1.01</v>
      </c>
      <c r="K9" s="1">
        <f>VLOOKUP(Zadanie1_Zalacznik1_projekty6[[#This Row],[Zarz_ryzykiem]],Zadanie1_Zalacznik1_wspolczynniki7[[#All],[Kategoria]:[Zarządzanie ryzykiem]],4,FALSE)</f>
        <v>2.83</v>
      </c>
      <c r="L9" s="1">
        <f>VLOOKUP(Zadanie1_Zalacznik1_projekty6[[#This Row],[Spoj_zespołu]],Zadanie1_Zalacznik1_wspolczynniki7[#All],5,FALSE)</f>
        <v>2.19</v>
      </c>
      <c r="M9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360567.4242066833</v>
      </c>
      <c r="N9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360567.4242066833</v>
      </c>
      <c r="O9">
        <f>AVERAGE(Zadanie1_Zalacznik1_projekty6[[#This Row],[K min - lewo]],Zadanie1_Zalacznik1_projekty6[[#This Row],[K min - prawo]])</f>
        <v>360567.4242066833</v>
      </c>
      <c r="P9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373711.78442520846</v>
      </c>
      <c r="Q9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373711.78442520846</v>
      </c>
      <c r="R9">
        <f>AVERAGE(Zadanie1_Zalacznik1_projekty6[[#This Row],[K max lewo]],Zadanie1_Zalacznik1_projekty6[[#This Row],[K max prawo]])</f>
        <v>373711.78442520846</v>
      </c>
      <c r="S9">
        <f>AVERAGE(Zadanie1_Zalacznik1_projekty6[[#This Row],[K min średnia]],Zadanie1_Zalacznik1_projekty6[[#This Row],[K max średnia]])</f>
        <v>367139.60431594588</v>
      </c>
      <c r="T9">
        <f>INT(Zadanie1_Zalacznik1_projekty6[[#This Row],[K ostateczne]]/(2.5*POWER(Zadanie1_Zalacznik1_projekty6[[#This Row],[K ostateczne]],$B$24)))</f>
        <v>16</v>
      </c>
      <c r="U9" s="1">
        <v>12</v>
      </c>
      <c r="V9" s="1">
        <f>Zadanie1_Zalacznik1_projekty6[[#This Row],[Nr_projektu]]</f>
        <v>8</v>
      </c>
      <c r="W9" s="1">
        <f>Zadanie1_Zalacznik1_projekty6[[#This Row],[P - minimalna liczba pracowników]]-Zadanie1_Zalacznik1_projekty6[[#This Row],[zatrudnieni w firmie]]</f>
        <v>4</v>
      </c>
      <c r="X9" s="1">
        <f>Zadanie1_Zalacznik1_projekty6[[#This Row],[ile brakuje osób]]-W6</f>
        <v>-1</v>
      </c>
      <c r="Z9" s="3"/>
    </row>
    <row r="10" spans="1:29" x14ac:dyDescent="0.3">
      <c r="A10">
        <v>9</v>
      </c>
      <c r="B10">
        <v>100000</v>
      </c>
      <c r="C10">
        <v>110000</v>
      </c>
      <c r="D10" s="2">
        <v>5</v>
      </c>
      <c r="E10" s="2" t="s">
        <v>13</v>
      </c>
      <c r="F10" s="2">
        <v>2</v>
      </c>
      <c r="G10" s="2">
        <v>5</v>
      </c>
      <c r="H10" s="1">
        <f>VLOOKUP(Zadanie1_Zalacznik1_projekty6[[#This Row],[Typowość]],Zadanie1_Zalacznik1_wspolczynniki7[[Kategoria]:[Typowość]],2,FALSE)</f>
        <v>1.24</v>
      </c>
      <c r="I10" s="1">
        <f>VLOOKUP(3,Zadanie1_Zalacznik1_wspolczynniki7[[#All],[Kategoria]:[Elastyczność]],3,FALSE)</f>
        <v>3.04</v>
      </c>
      <c r="J10" s="1">
        <f>VLOOKUP(4,Zadanie1_Zalacznik1_wspolczynniki7[[#All],[Kategoria]:[Elastyczność]],3,FALSE)</f>
        <v>2.0299999999999998</v>
      </c>
      <c r="K10" s="1">
        <f>VLOOKUP(Zadanie1_Zalacznik1_projekty6[[#This Row],[Zarz_ryzykiem]],Zadanie1_Zalacznik1_wspolczynniki7[[#All],[Kategoria]:[Zarządzanie ryzykiem]],4,FALSE)</f>
        <v>5.65</v>
      </c>
      <c r="L10" s="1">
        <f>VLOOKUP(Zadanie1_Zalacznik1_projekty6[[#This Row],[Spoj_zespołu]],Zadanie1_Zalacznik1_wspolczynniki7[#All],5,FALSE)</f>
        <v>1.1000000000000001</v>
      </c>
      <c r="M10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371404.64451936289</v>
      </c>
      <c r="N10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330633.86234627652</v>
      </c>
      <c r="O10">
        <f>AVERAGE(Zadanie1_Zalacznik1_projekty6[[#This Row],[K min - lewo]],Zadanie1_Zalacznik1_projekty6[[#This Row],[K min - prawo]])</f>
        <v>351019.25343281974</v>
      </c>
      <c r="P10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409336.32585458679</v>
      </c>
      <c r="Q10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364050.99381380115</v>
      </c>
      <c r="R10">
        <f>AVERAGE(Zadanie1_Zalacznik1_projekty6[[#This Row],[K max lewo]],Zadanie1_Zalacznik1_projekty6[[#This Row],[K max prawo]])</f>
        <v>386693.659834194</v>
      </c>
      <c r="S10">
        <f>AVERAGE(Zadanie1_Zalacznik1_projekty6[[#This Row],[K min średnia]],Zadanie1_Zalacznik1_projekty6[[#This Row],[K max średnia]])</f>
        <v>368856.45663350687</v>
      </c>
      <c r="T10">
        <f>INT(Zadanie1_Zalacznik1_projekty6[[#This Row],[K ostateczne]]/(2.5*POWER(Zadanie1_Zalacznik1_projekty6[[#This Row],[K ostateczne]],$B$24)))</f>
        <v>16</v>
      </c>
      <c r="U10" s="1">
        <v>12</v>
      </c>
      <c r="V10" s="1">
        <f>Zadanie1_Zalacznik1_projekty6[[#This Row],[Nr_projektu]]</f>
        <v>9</v>
      </c>
      <c r="W10" s="1">
        <f>Zadanie1_Zalacznik1_projekty6[[#This Row],[P - minimalna liczba pracowników]]-Zadanie1_Zalacznik1_projekty6[[#This Row],[zatrudnieni w firmie]]</f>
        <v>4</v>
      </c>
      <c r="X10" s="1">
        <f>Zadanie1_Zalacznik1_projekty6[[#This Row],[ile brakuje osób]]-W7</f>
        <v>4</v>
      </c>
      <c r="Z10" s="3"/>
    </row>
    <row r="11" spans="1:29" x14ac:dyDescent="0.3">
      <c r="A11">
        <v>10</v>
      </c>
      <c r="B11">
        <v>75000</v>
      </c>
      <c r="C11">
        <v>90000</v>
      </c>
      <c r="D11" s="2">
        <v>4</v>
      </c>
      <c r="E11" s="2" t="s">
        <v>10</v>
      </c>
      <c r="F11" s="2">
        <v>5</v>
      </c>
      <c r="G11" s="2">
        <v>1</v>
      </c>
      <c r="H11" s="1">
        <f>VLOOKUP(Zadanie1_Zalacznik1_projekty6[[#This Row],[Typowość]],Zadanie1_Zalacznik1_wspolczynniki7[[Kategoria]:[Typowość]],2,FALSE)</f>
        <v>2.48</v>
      </c>
      <c r="I11" s="1">
        <f>VLOOKUP(4,Zadanie1_Zalacznik1_wspolczynniki7[[#All],[Kategoria]:[Elastyczność]],3,FALSE)</f>
        <v>2.0299999999999998</v>
      </c>
      <c r="J11" s="1">
        <f>VLOOKUP(5,Zadanie1_Zalacznik1_wspolczynniki7[[#All],[Kategoria]:[Elastyczność]],3,FALSE)</f>
        <v>1.01</v>
      </c>
      <c r="K11" s="1">
        <f>VLOOKUP(Zadanie1_Zalacznik1_projekty6[[#This Row],[Zarz_ryzykiem]],Zadanie1_Zalacznik1_wspolczynniki7[[#All],[Kategoria]:[Zarządzanie ryzykiem]],4,FALSE)</f>
        <v>1.41</v>
      </c>
      <c r="L11" s="1">
        <f>VLOOKUP(Zadanie1_Zalacznik1_projekty6[[#This Row],[Spoj_zespołu]],Zadanie1_Zalacznik1_wspolczynniki7[#All],5,FALSE)</f>
        <v>5.48</v>
      </c>
      <c r="M11">
        <f>$B$22*POWER(Zadanie1_Zalacznik1_projekty6[[#This Row],[Minimalna_długość_kodu]],$B$23+0.01*(Zadanie1_Zalacznik1_projekty6[[#This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288675.59134251665</v>
      </c>
      <c r="N11">
        <f>$B$22*POWER(Zadanie1_Zalacznik1_projekty6[[#This Row],[Minimalna_długość_kodu]],$B$23+0.01*(Zadanie1_Zalacznik1_projekty6[[#This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257444.98677941272</v>
      </c>
      <c r="O11">
        <f>AVERAGE(Zadanie1_Zalacznik1_projekty6[[#This Row],[K min - lewo]],Zadanie1_Zalacznik1_projekty6[[#This Row],[K min - prawo]])</f>
        <v>273060.28906096471</v>
      </c>
      <c r="P11">
        <f>$B$22*POWER(Zadanie1_Zalacznik1_projekty6[[#This Row],[Maksymalna_długość_kodu]],$B$23+0.01*(Zadanie1_Zalacznik1_projekty6[[#This Row],[typowość - wartość]]+Zadanie1_Zalacznik1_projekty6[[#This Row],[elastyczność lewy - wartość]]+Zadanie1_Zalacznik1_projekty6[[#This Row],[zarządzanie ryz - wartość]]+Zadanie1_Zalacznik1_projekty6[[#This Row],[spójność - wartość]]))</f>
        <v>347929.82615627069</v>
      </c>
      <c r="Q11">
        <f>$B$22*POWER(Zadanie1_Zalacznik1_projekty6[[#This Row],[Maksymalna_długość_kodu]],$B$23+0.01*(Zadanie1_Zalacznik1_projekty6[[#This Row],[typowość - wartość]]+Zadanie1_Zalacznik1_projekty6[[#This Row],[elastyczność prawy - wartość]]+Zadanie1_Zalacznik1_projekty6[[#This Row],[zarządzanie ryz - wartość]]+Zadanie1_Zalacznik1_projekty6[[#This Row],[spójność - wartość]]))</f>
        <v>309712.25228473893</v>
      </c>
      <c r="R11">
        <f>AVERAGE(Zadanie1_Zalacznik1_projekty6[[#This Row],[K max lewo]],Zadanie1_Zalacznik1_projekty6[[#This Row],[K max prawo]])</f>
        <v>328821.03922050481</v>
      </c>
      <c r="S11">
        <f>AVERAGE(Zadanie1_Zalacznik1_projekty6[[#This Row],[K min średnia]],Zadanie1_Zalacznik1_projekty6[[#This Row],[K max średnia]])</f>
        <v>300940.66414073476</v>
      </c>
      <c r="T11">
        <f>INT(Zadanie1_Zalacznik1_projekty6[[#This Row],[K ostateczne]]/(2.5*POWER(Zadanie1_Zalacznik1_projekty6[[#This Row],[K ostateczne]],$B$24)))</f>
        <v>15</v>
      </c>
      <c r="U11" s="1">
        <v>12</v>
      </c>
      <c r="V11" s="1">
        <f>Zadanie1_Zalacznik1_projekty6[[#This Row],[Nr_projektu]]</f>
        <v>10</v>
      </c>
      <c r="W11" s="1">
        <f>Zadanie1_Zalacznik1_projekty6[[#This Row],[P - minimalna liczba pracowników]]-Zadanie1_Zalacznik1_projekty6[[#This Row],[zatrudnieni w firmie]]</f>
        <v>3</v>
      </c>
      <c r="X11" s="1">
        <f>Zadanie1_Zalacznik1_projekty6[[#This Row],[ile brakuje osób]]-W8</f>
        <v>2</v>
      </c>
      <c r="Z11" s="3"/>
    </row>
    <row r="12" spans="1:29" x14ac:dyDescent="0.3">
      <c r="E12" s="1"/>
    </row>
    <row r="14" spans="1:29" x14ac:dyDescent="0.3">
      <c r="A14" t="s">
        <v>14</v>
      </c>
      <c r="B14" t="s">
        <v>3</v>
      </c>
      <c r="C14" t="s">
        <v>4</v>
      </c>
      <c r="D14" t="s">
        <v>15</v>
      </c>
      <c r="E14" t="s">
        <v>16</v>
      </c>
    </row>
    <row r="15" spans="1:29" x14ac:dyDescent="0.3">
      <c r="A15" s="1">
        <v>1</v>
      </c>
      <c r="B15">
        <v>6.2</v>
      </c>
      <c r="C15">
        <v>5.07</v>
      </c>
      <c r="D15">
        <v>7.07</v>
      </c>
      <c r="E15">
        <v>5.48</v>
      </c>
      <c r="H15" t="str">
        <f>LEFT(E2,1)</f>
        <v>1</v>
      </c>
    </row>
    <row r="16" spans="1:29" x14ac:dyDescent="0.3">
      <c r="A16" s="1">
        <v>2</v>
      </c>
      <c r="B16">
        <v>4.96</v>
      </c>
      <c r="C16">
        <v>4.05</v>
      </c>
      <c r="D16">
        <v>5.65</v>
      </c>
      <c r="E16">
        <v>4.38</v>
      </c>
      <c r="H16" t="str">
        <f t="shared" ref="H16:H26" si="0">LEFT(E3,1)</f>
        <v>2</v>
      </c>
    </row>
    <row r="17" spans="1:8" x14ac:dyDescent="0.3">
      <c r="A17" s="1">
        <v>3</v>
      </c>
      <c r="B17">
        <v>3.72</v>
      </c>
      <c r="C17">
        <v>3.04</v>
      </c>
      <c r="D17">
        <v>4.24</v>
      </c>
      <c r="E17">
        <v>3.29</v>
      </c>
      <c r="H17" t="str">
        <f t="shared" si="0"/>
        <v>3</v>
      </c>
    </row>
    <row r="18" spans="1:8" x14ac:dyDescent="0.3">
      <c r="A18" s="1">
        <v>4</v>
      </c>
      <c r="B18">
        <v>2.48</v>
      </c>
      <c r="C18">
        <v>2.0299999999999998</v>
      </c>
      <c r="D18">
        <v>2.83</v>
      </c>
      <c r="E18">
        <v>2.19</v>
      </c>
      <c r="H18" t="str">
        <f t="shared" si="0"/>
        <v>2</v>
      </c>
    </row>
    <row r="19" spans="1:8" x14ac:dyDescent="0.3">
      <c r="A19" s="1">
        <v>5</v>
      </c>
      <c r="B19">
        <v>1.24</v>
      </c>
      <c r="C19">
        <v>1.01</v>
      </c>
      <c r="D19">
        <v>1.41</v>
      </c>
      <c r="E19">
        <v>1.1000000000000001</v>
      </c>
      <c r="H19" t="str">
        <f t="shared" si="0"/>
        <v>4</v>
      </c>
    </row>
    <row r="20" spans="1:8" x14ac:dyDescent="0.3">
      <c r="H20" t="str">
        <f t="shared" si="0"/>
        <v>4</v>
      </c>
    </row>
    <row r="21" spans="1:8" x14ac:dyDescent="0.3">
      <c r="H21" t="str">
        <f t="shared" si="0"/>
        <v>4</v>
      </c>
    </row>
    <row r="22" spans="1:8" x14ac:dyDescent="0.3">
      <c r="A22" t="s">
        <v>17</v>
      </c>
      <c r="B22">
        <v>2.94</v>
      </c>
      <c r="H22" t="str">
        <f t="shared" si="0"/>
        <v>5</v>
      </c>
    </row>
    <row r="23" spans="1:8" x14ac:dyDescent="0.3">
      <c r="A23" t="s">
        <v>18</v>
      </c>
      <c r="B23">
        <v>0.91</v>
      </c>
      <c r="H23" t="str">
        <f>LEFT(E10,1)</f>
        <v>3</v>
      </c>
    </row>
    <row r="24" spans="1:8" x14ac:dyDescent="0.3">
      <c r="A24" t="s">
        <v>19</v>
      </c>
      <c r="B24">
        <v>0.71</v>
      </c>
      <c r="H24" t="str">
        <f t="shared" si="0"/>
        <v>4</v>
      </c>
    </row>
    <row r="25" spans="1:8" x14ac:dyDescent="0.3">
      <c r="H25" t="str">
        <f>LEFT(E12,1)</f>
        <v/>
      </c>
    </row>
    <row r="26" spans="1:8" x14ac:dyDescent="0.3">
      <c r="H26" t="str">
        <f t="shared" si="0"/>
        <v/>
      </c>
    </row>
  </sheetData>
  <mergeCells count="3">
    <mergeCell ref="Z2:Z4"/>
    <mergeCell ref="Z5:Z7"/>
    <mergeCell ref="Z8:Z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opLeftCell="H1" workbookViewId="0">
      <selection activeCell="H1" sqref="A1:XFD1048576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5.33203125" bestFit="1" customWidth="1"/>
    <col min="7" max="7" width="14.44140625" bestFit="1" customWidth="1"/>
    <col min="8" max="8" width="19.6640625" bestFit="1" customWidth="1"/>
    <col min="9" max="11" width="14.44140625" customWidth="1"/>
    <col min="12" max="12" width="18.88671875" bestFit="1" customWidth="1"/>
    <col min="13" max="13" width="13.5546875" bestFit="1" customWidth="1"/>
    <col min="14" max="14" width="14.88671875" bestFit="1" customWidth="1"/>
    <col min="15" max="15" width="14.5546875" bestFit="1" customWidth="1"/>
    <col min="16" max="16" width="12.77734375" bestFit="1" customWidth="1"/>
    <col min="17" max="17" width="14.109375" bestFit="1" customWidth="1"/>
    <col min="18" max="18" width="14.88671875" bestFit="1" customWidth="1"/>
    <col min="19" max="19" width="13.77734375" bestFit="1" customWidth="1"/>
    <col min="20" max="20" width="32.21875" bestFit="1" customWidth="1"/>
    <col min="21" max="21" width="20.109375" bestFit="1" customWidth="1"/>
    <col min="22" max="22" width="20.109375" customWidth="1"/>
    <col min="23" max="23" width="16.6640625" bestFit="1" customWidth="1"/>
    <col min="24" max="24" width="16.44140625" bestFit="1" customWidth="1"/>
    <col min="25" max="25" width="11.109375" bestFit="1" customWidth="1"/>
  </cols>
  <sheetData>
    <row r="1" spans="1:26" x14ac:dyDescent="0.3">
      <c r="A1" t="s">
        <v>21</v>
      </c>
      <c r="B1" t="s">
        <v>22</v>
      </c>
      <c r="C1" t="s">
        <v>31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</row>
    <row r="2" spans="1:26" x14ac:dyDescent="0.3">
      <c r="D2" s="2"/>
      <c r="E2" s="2"/>
      <c r="F2" s="2"/>
      <c r="G2" s="2"/>
      <c r="H2" s="1"/>
      <c r="I2" s="1"/>
      <c r="J2" s="1"/>
      <c r="K2" s="1"/>
      <c r="L2" s="1"/>
      <c r="U2" s="1"/>
      <c r="V2" s="1"/>
      <c r="W2" s="1"/>
      <c r="X2" s="1"/>
      <c r="Z2" s="3"/>
    </row>
    <row r="3" spans="1:26" x14ac:dyDescent="0.3">
      <c r="D3" s="2"/>
      <c r="E3" s="2"/>
      <c r="F3" s="2"/>
      <c r="G3" s="2"/>
      <c r="H3" s="1"/>
      <c r="I3" s="1"/>
      <c r="J3" s="1"/>
      <c r="K3" s="1"/>
      <c r="L3" s="1"/>
      <c r="U3" s="1"/>
      <c r="V3" s="1"/>
      <c r="W3" s="1"/>
      <c r="X3" s="1"/>
      <c r="Z3" s="3"/>
    </row>
    <row r="4" spans="1:26" x14ac:dyDescent="0.3">
      <c r="D4" s="2"/>
      <c r="E4" s="2"/>
      <c r="F4" s="2"/>
      <c r="G4" s="2"/>
      <c r="H4" s="1"/>
      <c r="I4" s="1"/>
      <c r="J4" s="1"/>
      <c r="K4" s="1"/>
      <c r="L4" s="1"/>
      <c r="U4" s="1"/>
      <c r="V4" s="1"/>
      <c r="W4" s="1"/>
      <c r="X4" s="1"/>
      <c r="Y4" s="4"/>
      <c r="Z4" s="3"/>
    </row>
    <row r="5" spans="1:26" x14ac:dyDescent="0.3">
      <c r="D5" s="2"/>
      <c r="E5" s="2"/>
      <c r="F5" s="2"/>
      <c r="G5" s="2"/>
      <c r="H5" s="1"/>
      <c r="I5" s="1"/>
      <c r="J5" s="1"/>
      <c r="K5" s="1"/>
      <c r="L5" s="1"/>
      <c r="U5" s="1"/>
      <c r="V5" s="1"/>
      <c r="W5" s="1"/>
      <c r="X5" s="1"/>
      <c r="Y5" s="4"/>
      <c r="Z5" s="3"/>
    </row>
    <row r="6" spans="1:26" x14ac:dyDescent="0.3">
      <c r="D6" s="2"/>
      <c r="E6" s="2"/>
      <c r="F6" s="2"/>
      <c r="G6" s="2"/>
      <c r="H6" s="1"/>
      <c r="I6" s="1"/>
      <c r="J6" s="1"/>
      <c r="K6" s="1"/>
      <c r="L6" s="1"/>
      <c r="U6" s="1"/>
      <c r="V6" s="1"/>
      <c r="W6" s="1"/>
      <c r="X6" s="1"/>
      <c r="Z6" s="3"/>
    </row>
    <row r="7" spans="1:26" x14ac:dyDescent="0.3">
      <c r="D7" s="2"/>
      <c r="E7" s="2"/>
      <c r="F7" s="2"/>
      <c r="G7" s="2"/>
      <c r="H7" s="1"/>
      <c r="I7" s="1"/>
      <c r="J7" s="1"/>
      <c r="K7" s="1"/>
      <c r="L7" s="1"/>
      <c r="U7" s="1"/>
      <c r="V7" s="1"/>
      <c r="W7" s="1"/>
      <c r="X7" s="1"/>
      <c r="Z7" s="3"/>
    </row>
    <row r="8" spans="1:26" x14ac:dyDescent="0.3">
      <c r="D8" s="2"/>
      <c r="E8" s="2"/>
      <c r="F8" s="2"/>
      <c r="G8" s="2"/>
      <c r="H8" s="1"/>
      <c r="I8" s="1"/>
      <c r="J8" s="1"/>
      <c r="K8" s="1"/>
      <c r="L8" s="1"/>
      <c r="U8" s="1"/>
      <c r="V8" s="1"/>
      <c r="W8" s="1"/>
      <c r="X8" s="1"/>
      <c r="Z8" s="3"/>
    </row>
    <row r="9" spans="1:26" x14ac:dyDescent="0.3">
      <c r="D9" s="2"/>
      <c r="E9" s="2"/>
      <c r="F9" s="2"/>
      <c r="G9" s="2"/>
      <c r="H9" s="1"/>
      <c r="I9" s="1"/>
      <c r="J9" s="1"/>
      <c r="K9" s="1"/>
      <c r="L9" s="1"/>
      <c r="U9" s="1"/>
      <c r="V9" s="1"/>
      <c r="W9" s="1"/>
      <c r="X9" s="1"/>
      <c r="Z9" s="3"/>
    </row>
    <row r="10" spans="1:26" x14ac:dyDescent="0.3">
      <c r="D10" s="2"/>
      <c r="E10" s="2"/>
      <c r="F10" s="2"/>
      <c r="G10" s="2"/>
      <c r="H10" s="1"/>
      <c r="I10" s="1"/>
      <c r="J10" s="1"/>
      <c r="K10" s="1"/>
      <c r="L10" s="1"/>
      <c r="U10" s="1"/>
      <c r="V10" s="1"/>
      <c r="W10" s="1"/>
      <c r="X10" s="1"/>
      <c r="Z10" s="3"/>
    </row>
    <row r="11" spans="1:26" x14ac:dyDescent="0.3">
      <c r="D11" s="2"/>
      <c r="E11" s="2"/>
      <c r="F11" s="2"/>
      <c r="G11" s="2"/>
      <c r="H11" s="1"/>
      <c r="I11" s="1"/>
      <c r="J11" s="1"/>
      <c r="K11" s="1"/>
      <c r="L11" s="1"/>
      <c r="U11" s="1"/>
      <c r="V11" s="1"/>
      <c r="W11" s="1"/>
      <c r="X11" s="1"/>
      <c r="Z11" s="3"/>
    </row>
    <row r="12" spans="1:26" x14ac:dyDescent="0.3">
      <c r="E12" s="1"/>
    </row>
    <row r="14" spans="1:26" x14ac:dyDescent="0.3">
      <c r="A14" t="s">
        <v>21</v>
      </c>
      <c r="B14" t="s">
        <v>22</v>
      </c>
      <c r="C14" t="s">
        <v>31</v>
      </c>
      <c r="D14" t="s">
        <v>44</v>
      </c>
      <c r="E14" t="s">
        <v>45</v>
      </c>
    </row>
    <row r="15" spans="1:26" x14ac:dyDescent="0.3">
      <c r="A15" s="1"/>
    </row>
    <row r="16" spans="1:2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</sheetData>
  <mergeCells count="3">
    <mergeCell ref="Z2:Z4"/>
    <mergeCell ref="Z5:Z7"/>
    <mergeCell ref="Z8:Z1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5079-CDB8-430B-931E-D1645F6509D8}">
  <dimension ref="A1:AC26"/>
  <sheetViews>
    <sheetView zoomScale="55" zoomScaleNormal="55" workbookViewId="0">
      <selection activeCell="B23" sqref="B23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5.33203125" bestFit="1" customWidth="1"/>
    <col min="7" max="7" width="14.44140625" bestFit="1" customWidth="1"/>
    <col min="8" max="8" width="19.6640625" bestFit="1" customWidth="1"/>
    <col min="9" max="11" width="14.44140625" customWidth="1"/>
    <col min="12" max="12" width="18.88671875" bestFit="1" customWidth="1"/>
    <col min="13" max="13" width="13.5546875" bestFit="1" customWidth="1"/>
    <col min="14" max="14" width="14.88671875" bestFit="1" customWidth="1"/>
    <col min="15" max="15" width="14.5546875" bestFit="1" customWidth="1"/>
    <col min="16" max="16" width="12.77734375" bestFit="1" customWidth="1"/>
    <col min="17" max="17" width="14.109375" bestFit="1" customWidth="1"/>
    <col min="18" max="18" width="14.88671875" bestFit="1" customWidth="1"/>
    <col min="19" max="19" width="13.77734375" bestFit="1" customWidth="1"/>
    <col min="20" max="20" width="32.21875" bestFit="1" customWidth="1"/>
    <col min="21" max="21" width="20.109375" bestFit="1" customWidth="1"/>
    <col min="22" max="22" width="20.109375" customWidth="1"/>
    <col min="23" max="23" width="16.6640625" bestFit="1" customWidth="1"/>
    <col min="24" max="24" width="16.44140625" bestFit="1" customWidth="1"/>
    <col min="25" max="25" width="11.109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34</v>
      </c>
      <c r="J1" t="s">
        <v>35</v>
      </c>
      <c r="K1" t="s">
        <v>32</v>
      </c>
      <c r="L1" t="s">
        <v>33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20</v>
      </c>
      <c r="U1" t="s">
        <v>36</v>
      </c>
      <c r="V1" t="s">
        <v>38</v>
      </c>
      <c r="W1" t="s">
        <v>37</v>
      </c>
      <c r="X1" t="s">
        <v>39</v>
      </c>
    </row>
    <row r="2" spans="1:29" x14ac:dyDescent="0.3">
      <c r="A2">
        <v>1</v>
      </c>
      <c r="B2">
        <v>25000</v>
      </c>
      <c r="C2">
        <v>27000</v>
      </c>
      <c r="D2" s="2">
        <v>5</v>
      </c>
      <c r="E2" s="2" t="s">
        <v>7</v>
      </c>
      <c r="F2" s="2">
        <v>2</v>
      </c>
      <c r="G2" s="2">
        <v>1</v>
      </c>
      <c r="H2" s="1">
        <f>VLOOKUP(Zadanie1_Zalacznik1_projekty68[[#This Row],[Typowość]],Zadanie1_Zalacznik1_wspolczynniki79[[Kategoria]:[Typowość]],2,FALSE)</f>
        <v>1.24</v>
      </c>
      <c r="I2" s="1">
        <f>VLOOKUP(1,Zadanie1_Zalacznik1_wspolczynniki79[[#All],[Kategoria]:[Elastyczność]],3,FALSE)</f>
        <v>5.07</v>
      </c>
      <c r="J2" s="1">
        <f>VLOOKUP(1,Zadanie1_Zalacznik1_wspolczynniki79[[#All],[Kategoria]:[Elastyczność]],3,FALSE)</f>
        <v>5.07</v>
      </c>
      <c r="K2" s="1">
        <f>VLOOKUP(Zadanie1_Zalacznik1_projekty68[[#This Row],[Zarz_ryzykiem]],Zadanie1_Zalacznik1_wspolczynniki79[[#All],[Kategoria]:[Zarządzanie ryzykiem]],4,FALSE)</f>
        <v>5.65</v>
      </c>
      <c r="L2" s="1">
        <f>VLOOKUP(Zadanie1_Zalacznik1_projekty68[[#This Row],[Spoj_zespołu]],Zadanie1_Zalacznik1_wspolczynniki79[#All],5,FALSE)</f>
        <v>5.48</v>
      </c>
      <c r="M2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2220.0321921069221</v>
      </c>
      <c r="N2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2220.0321921069221</v>
      </c>
      <c r="O2">
        <f>AVERAGE(Zadanie1_Zalacznik1_projekty68[[#This Row],[K min - lewo]],Zadanie1_Zalacznik1_projekty68[[#This Row],[K min - prawo]])</f>
        <v>2220.0321921069221</v>
      </c>
      <c r="P2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2334.703732810859</v>
      </c>
      <c r="Q2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2334.703732810859</v>
      </c>
      <c r="R2">
        <f>AVERAGE(Zadanie1_Zalacznik1_projekty68[[#This Row],[K max lewo]],Zadanie1_Zalacznik1_projekty68[[#This Row],[K max prawo]])</f>
        <v>2334.703732810859</v>
      </c>
      <c r="S2">
        <f>AVERAGE(Zadanie1_Zalacznik1_projekty68[[#This Row],[K min średnia]],Zadanie1_Zalacznik1_projekty68[[#This Row],[K max średnia]])</f>
        <v>2277.3679624588904</v>
      </c>
      <c r="T2" s="4">
        <f>INT(Zadanie1_Zalacznik1_projekty68[[#This Row],[K ostateczne]]/(2.5*POWER(Zadanie1_Zalacznik1_projekty68[[#This Row],[K ostateczne]],$B$24)))</f>
        <v>3</v>
      </c>
      <c r="U2" s="1">
        <v>12</v>
      </c>
      <c r="V2" s="1">
        <f>Zadanie1_Zalacznik1_projekty68[[#This Row],[Nr_projektu]]</f>
        <v>1</v>
      </c>
      <c r="W2" s="1">
        <f>Zadanie1_Zalacznik1_projekty68[[#This Row],[P - minimalna liczba pracowników]]-Zadanie1_Zalacznik1_projekty68[[#This Row],[zatrudnieni w firmie]]</f>
        <v>-9</v>
      </c>
      <c r="X2" s="1"/>
      <c r="Y2" s="4">
        <v>13</v>
      </c>
      <c r="Z2" s="3">
        <v>1</v>
      </c>
      <c r="AA2">
        <f>SUM(Y2:Y4)</f>
        <v>48</v>
      </c>
      <c r="AB2" s="4">
        <f>AA2-12</f>
        <v>36</v>
      </c>
    </row>
    <row r="3" spans="1:29" x14ac:dyDescent="0.3">
      <c r="A3">
        <v>2</v>
      </c>
      <c r="B3">
        <v>120000</v>
      </c>
      <c r="C3">
        <v>128000</v>
      </c>
      <c r="D3" s="2">
        <v>5</v>
      </c>
      <c r="E3" s="2" t="s">
        <v>8</v>
      </c>
      <c r="F3" s="2">
        <v>5</v>
      </c>
      <c r="G3" s="2">
        <v>1</v>
      </c>
      <c r="H3" s="1">
        <f>VLOOKUP(Zadanie1_Zalacznik1_projekty68[[#This Row],[Typowość]],Zadanie1_Zalacznik1_wspolczynniki79[[Kategoria]:[Typowość]],2,FALSE)</f>
        <v>1.24</v>
      </c>
      <c r="I3" s="1">
        <f>VLOOKUP(2,Zadanie1_Zalacznik1_wspolczynniki79[[#All],[Kategoria]:[Elastyczność]],3,FALSE)</f>
        <v>4.05</v>
      </c>
      <c r="J3" s="1">
        <f>VLOOKUP(2,Zadanie1_Zalacznik1_wspolczynniki79[[#All],[Kategoria]:[Elastyczność]],3,FALSE)</f>
        <v>4.05</v>
      </c>
      <c r="K3" s="1">
        <f>VLOOKUP(Zadanie1_Zalacznik1_projekty68[[#This Row],[Zarz_ryzykiem]],Zadanie1_Zalacznik1_wspolczynniki79[[#All],[Kategoria]:[Zarządzanie ryzykiem]],4,FALSE)</f>
        <v>1.41</v>
      </c>
      <c r="L3" s="1">
        <f>VLOOKUP(Zadanie1_Zalacznik1_projekty68[[#This Row],[Spoj_zespołu]],Zadanie1_Zalacznik1_wspolczynniki79[#All],5,FALSE)</f>
        <v>5.48</v>
      </c>
      <c r="M3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3349.6436266245614</v>
      </c>
      <c r="N3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3349.6436266245614</v>
      </c>
      <c r="O3">
        <f>AVERAGE(Zadanie1_Zalacznik1_projekty68[[#This Row],[K min - lewo]],Zadanie1_Zalacznik1_projekty68[[#This Row],[K min - prawo]])</f>
        <v>3349.6436266245614</v>
      </c>
      <c r="P3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3482.3008603763196</v>
      </c>
      <c r="Q3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3482.3008603763196</v>
      </c>
      <c r="R3">
        <f>AVERAGE(Zadanie1_Zalacznik1_projekty68[[#This Row],[K max lewo]],Zadanie1_Zalacznik1_projekty68[[#This Row],[K max prawo]])</f>
        <v>3482.3008603763196</v>
      </c>
      <c r="S3">
        <f>AVERAGE(Zadanie1_Zalacznik1_projekty68[[#This Row],[K min średnia]],Zadanie1_Zalacznik1_projekty68[[#This Row],[K max średnia]])</f>
        <v>3415.9722435004405</v>
      </c>
      <c r="T3" s="4">
        <f>INT(Zadanie1_Zalacznik1_projekty68[[#This Row],[K ostateczne]]/(2.5*POWER(Zadanie1_Zalacznik1_projekty68[[#This Row],[K ostateczne]],$B$24)))</f>
        <v>4</v>
      </c>
      <c r="U3" s="1">
        <v>12</v>
      </c>
      <c r="V3" s="1">
        <f>Zadanie1_Zalacznik1_projekty68[[#This Row],[Nr_projektu]]</f>
        <v>2</v>
      </c>
      <c r="W3" s="1">
        <f>Zadanie1_Zalacznik1_projekty68[[#This Row],[P - minimalna liczba pracowników]]-Zadanie1_Zalacznik1_projekty68[[#This Row],[zatrudnieni w firmie]]</f>
        <v>-8</v>
      </c>
      <c r="X3" s="1"/>
      <c r="Y3" s="4">
        <v>18</v>
      </c>
      <c r="Z3" s="3"/>
    </row>
    <row r="4" spans="1:29" x14ac:dyDescent="0.3">
      <c r="A4">
        <v>3</v>
      </c>
      <c r="B4">
        <v>60000</v>
      </c>
      <c r="C4">
        <v>70000</v>
      </c>
      <c r="D4" s="2">
        <v>4</v>
      </c>
      <c r="E4" s="2" t="s">
        <v>9</v>
      </c>
      <c r="F4" s="2">
        <v>1</v>
      </c>
      <c r="G4" s="2">
        <v>2</v>
      </c>
      <c r="H4" s="1">
        <f>VLOOKUP(Zadanie1_Zalacznik1_projekty68[[#This Row],[Typowość]],Zadanie1_Zalacznik1_wspolczynniki79[[Kategoria]:[Typowość]],2,FALSE)</f>
        <v>2.48</v>
      </c>
      <c r="I4" s="1">
        <f>VLOOKUP(3,Zadanie1_Zalacznik1_wspolczynniki79[[#All],[Kategoria]:[Elastyczność]],3,FALSE)</f>
        <v>3.04</v>
      </c>
      <c r="J4" s="1">
        <f>VLOOKUP(3,Zadanie1_Zalacznik1_wspolczynniki79[[#All],[Kategoria]:[Elastyczność]],3,FALSE)</f>
        <v>3.04</v>
      </c>
      <c r="K4" s="1">
        <f>VLOOKUP(Zadanie1_Zalacznik1_projekty68[[#This Row],[Zarz_ryzykiem]],Zadanie1_Zalacznik1_wspolczynniki79[[#All],[Kategoria]:[Zarządzanie ryzykiem]],4,FALSE)</f>
        <v>7.07</v>
      </c>
      <c r="L4" s="1">
        <f>VLOOKUP(Zadanie1_Zalacznik1_projekty68[[#This Row],[Spoj_zespołu]],Zadanie1_Zalacznik1_wspolczynniki79[#All],5,FALSE)</f>
        <v>4.38</v>
      </c>
      <c r="M4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3738.6275139643722</v>
      </c>
      <c r="N4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3738.6275139643722</v>
      </c>
      <c r="O4">
        <f>AVERAGE(Zadanie1_Zalacznik1_projekty68[[#This Row],[K min - lewo]],Zadanie1_Zalacznik1_projekty68[[#This Row],[K min - prawo]])</f>
        <v>3738.6275139643722</v>
      </c>
      <c r="P4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4132.4492332500913</v>
      </c>
      <c r="Q4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4132.4492332500913</v>
      </c>
      <c r="R4">
        <f>AVERAGE(Zadanie1_Zalacznik1_projekty68[[#This Row],[K max lewo]],Zadanie1_Zalacznik1_projekty68[[#This Row],[K max prawo]])</f>
        <v>4132.4492332500913</v>
      </c>
      <c r="S4">
        <f>AVERAGE(Zadanie1_Zalacznik1_projekty68[[#This Row],[K min średnia]],Zadanie1_Zalacznik1_projekty68[[#This Row],[K max średnia]])</f>
        <v>3935.5383736072317</v>
      </c>
      <c r="T4" s="4">
        <f>INT(Zadanie1_Zalacznik1_projekty68[[#This Row],[K ostateczne]]/(2.5*POWER(Zadanie1_Zalacznik1_projekty68[[#This Row],[K ostateczne]],$B$24)))</f>
        <v>4</v>
      </c>
      <c r="U4" s="1">
        <v>12</v>
      </c>
      <c r="V4" s="1">
        <f>Zadanie1_Zalacznik1_projekty68[[#This Row],[Nr_projektu]]</f>
        <v>3</v>
      </c>
      <c r="W4" s="1">
        <f>Zadanie1_Zalacznik1_projekty68[[#This Row],[P - minimalna liczba pracowników]]-Zadanie1_Zalacznik1_projekty68[[#This Row],[zatrudnieni w firmie]]</f>
        <v>-8</v>
      </c>
      <c r="X4" s="1">
        <f>W2+W3+Zadanie1_Zalacznik1_projekty68[[#This Row],[ile brakuje osób]]</f>
        <v>-25</v>
      </c>
      <c r="Y4" s="4">
        <v>17</v>
      </c>
      <c r="Z4" s="3"/>
    </row>
    <row r="5" spans="1:29" x14ac:dyDescent="0.3">
      <c r="A5">
        <v>4</v>
      </c>
      <c r="B5">
        <v>45000</v>
      </c>
      <c r="C5">
        <v>50000</v>
      </c>
      <c r="D5" s="2">
        <v>5</v>
      </c>
      <c r="E5" s="2" t="s">
        <v>8</v>
      </c>
      <c r="F5" s="2">
        <v>1</v>
      </c>
      <c r="G5" s="2">
        <v>1</v>
      </c>
      <c r="H5" s="1">
        <f>VLOOKUP(Zadanie1_Zalacznik1_projekty68[[#This Row],[Typowość]],Zadanie1_Zalacznik1_wspolczynniki79[[Kategoria]:[Typowość]],2,FALSE)</f>
        <v>1.24</v>
      </c>
      <c r="I5" s="1">
        <f>VLOOKUP(2,Zadanie1_Zalacznik1_wspolczynniki79[[#All],[Kategoria]:[Elastyczność]],3,FALSE)</f>
        <v>4.05</v>
      </c>
      <c r="J5" s="1">
        <f>VLOOKUP(2,Zadanie1_Zalacznik1_wspolczynniki79[[#All],[Kategoria]:[Elastyczność]],3,FALSE)</f>
        <v>4.05</v>
      </c>
      <c r="K5" s="1">
        <f>VLOOKUP(Zadanie1_Zalacznik1_projekty68[[#This Row],[Zarz_ryzykiem]],Zadanie1_Zalacznik1_wspolczynniki79[[#All],[Kategoria]:[Zarządzanie ryzykiem]],4,FALSE)</f>
        <v>7.07</v>
      </c>
      <c r="L5" s="1">
        <f>VLOOKUP(Zadanie1_Zalacznik1_projekty68[[#This Row],[Spoj_zespołu]],Zadanie1_Zalacznik1_wspolczynniki79[#All],5,FALSE)</f>
        <v>5.48</v>
      </c>
      <c r="M5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3404.2578648224053</v>
      </c>
      <c r="N5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3404.2578648224053</v>
      </c>
      <c r="O5">
        <f>AVERAGE(Zadanie1_Zalacznik1_projekty68[[#This Row],[K min - lewo]],Zadanie1_Zalacznik1_projekty68[[#This Row],[K min - prawo]])</f>
        <v>3404.2578648224053</v>
      </c>
      <c r="P5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3648.7926236255953</v>
      </c>
      <c r="Q5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3648.7926236255953</v>
      </c>
      <c r="R5">
        <f>AVERAGE(Zadanie1_Zalacznik1_projekty68[[#This Row],[K max lewo]],Zadanie1_Zalacznik1_projekty68[[#This Row],[K max prawo]])</f>
        <v>3648.7926236255953</v>
      </c>
      <c r="S5">
        <f>AVERAGE(Zadanie1_Zalacznik1_projekty68[[#This Row],[K min średnia]],Zadanie1_Zalacznik1_projekty68[[#This Row],[K max średnia]])</f>
        <v>3526.5252442240003</v>
      </c>
      <c r="T5" s="4">
        <f>INT(Zadanie1_Zalacznik1_projekty68[[#This Row],[K ostateczne]]/(2.5*POWER(Zadanie1_Zalacznik1_projekty68[[#This Row],[K ostateczne]],$B$24)))</f>
        <v>4</v>
      </c>
      <c r="U5" s="1">
        <v>12</v>
      </c>
      <c r="V5" s="1">
        <f>Zadanie1_Zalacznik1_projekty68[[#This Row],[Nr_projektu]]</f>
        <v>4</v>
      </c>
      <c r="W5" s="1">
        <f>Zadanie1_Zalacznik1_projekty68[[#This Row],[P - minimalna liczba pracowników]]-Zadanie1_Zalacznik1_projekty68[[#This Row],[zatrudnieni w firmie]]</f>
        <v>-8</v>
      </c>
      <c r="X5" s="1">
        <f>Zadanie1_Zalacznik1_projekty68[[#This Row],[ile brakuje osób]]-W2</f>
        <v>1</v>
      </c>
      <c r="Y5" s="4">
        <v>3</v>
      </c>
      <c r="Z5" s="3">
        <v>2</v>
      </c>
      <c r="AA5">
        <f>SUM(T5:T7)</f>
        <v>11</v>
      </c>
    </row>
    <row r="6" spans="1:29" x14ac:dyDescent="0.3">
      <c r="A6">
        <v>5</v>
      </c>
      <c r="B6">
        <v>95000</v>
      </c>
      <c r="C6">
        <v>105000</v>
      </c>
      <c r="D6" s="2">
        <v>4</v>
      </c>
      <c r="E6" s="2" t="s">
        <v>10</v>
      </c>
      <c r="F6" s="2">
        <v>2</v>
      </c>
      <c r="G6" s="2">
        <v>3</v>
      </c>
      <c r="H6" s="1">
        <f>VLOOKUP(Zadanie1_Zalacznik1_projekty68[[#This Row],[Typowość]],Zadanie1_Zalacznik1_wspolczynniki79[[Kategoria]:[Typowość]],2,FALSE)</f>
        <v>2.48</v>
      </c>
      <c r="I6" s="1">
        <f>VLOOKUP(4,Zadanie1_Zalacznik1_wspolczynniki79[[#All],[Kategoria]:[Elastyczność]],3,FALSE)</f>
        <v>2.0299999999999998</v>
      </c>
      <c r="J6" s="1">
        <f>VLOOKUP(5,Zadanie1_Zalacznik1_wspolczynniki79[[#All],[Kategoria]:[Elastyczność]],3,FALSE)</f>
        <v>1.01</v>
      </c>
      <c r="K6" s="1">
        <f>VLOOKUP(Zadanie1_Zalacznik1_projekty68[[#This Row],[Zarz_ryzykiem]],Zadanie1_Zalacznik1_wspolczynniki79[[#All],[Kategoria]:[Zarządzanie ryzykiem]],4,FALSE)</f>
        <v>5.65</v>
      </c>
      <c r="L6" s="1">
        <f>VLOOKUP(Zadanie1_Zalacznik1_projekty68[[#This Row],[Spoj_zespołu]],Zadanie1_Zalacznik1_wspolczynniki79[#All],5,FALSE)</f>
        <v>3.29</v>
      </c>
      <c r="M6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3366.3439400442771</v>
      </c>
      <c r="N6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2994.9233034770828</v>
      </c>
      <c r="O6">
        <f>AVERAGE(Zadanie1_Zalacznik1_projekty68[[#This Row],[K min - lewo]],Zadanie1_Zalacznik1_projekty68[[#This Row],[K min - prawo]])</f>
        <v>3180.6336217606799</v>
      </c>
      <c r="P6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3579.8774088015693</v>
      </c>
      <c r="Q6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3181.6472221228073</v>
      </c>
      <c r="R6">
        <f>AVERAGE(Zadanie1_Zalacznik1_projekty68[[#This Row],[K max lewo]],Zadanie1_Zalacznik1_projekty68[[#This Row],[K max prawo]])</f>
        <v>3380.7623154621883</v>
      </c>
      <c r="S6">
        <f>AVERAGE(Zadanie1_Zalacznik1_projekty68[[#This Row],[K min średnia]],Zadanie1_Zalacznik1_projekty68[[#This Row],[K max średnia]])</f>
        <v>3280.6979686114341</v>
      </c>
      <c r="T6" s="4">
        <f>INT(Zadanie1_Zalacznik1_projekty68[[#This Row],[K ostateczne]]/(2.5*POWER(Zadanie1_Zalacznik1_projekty68[[#This Row],[K ostateczne]],$B$24)))</f>
        <v>4</v>
      </c>
      <c r="U6" s="1">
        <v>12</v>
      </c>
      <c r="V6" s="1">
        <f>Zadanie1_Zalacznik1_projekty68[[#This Row],[Nr_projektu]]</f>
        <v>5</v>
      </c>
      <c r="W6" s="1">
        <f>Zadanie1_Zalacznik1_projekty68[[#This Row],[P - minimalna liczba pracowników]]-Zadanie1_Zalacznik1_projekty68[[#This Row],[zatrudnieni w firmie]]</f>
        <v>-8</v>
      </c>
      <c r="X6" s="1">
        <f>Zadanie1_Zalacznik1_projekty68[[#This Row],[ile brakuje osób]]-W3</f>
        <v>0</v>
      </c>
      <c r="Z6" s="3"/>
    </row>
    <row r="7" spans="1:29" x14ac:dyDescent="0.3">
      <c r="A7">
        <v>6</v>
      </c>
      <c r="B7">
        <v>30000</v>
      </c>
      <c r="C7">
        <v>40000</v>
      </c>
      <c r="D7" s="2">
        <v>4</v>
      </c>
      <c r="E7" s="2" t="s">
        <v>10</v>
      </c>
      <c r="F7" s="2">
        <v>3</v>
      </c>
      <c r="G7" s="2">
        <v>2</v>
      </c>
      <c r="H7" s="1">
        <f>VLOOKUP(Zadanie1_Zalacznik1_projekty68[[#This Row],[Typowość]],Zadanie1_Zalacznik1_wspolczynniki79[[Kategoria]:[Typowość]],2,FALSE)</f>
        <v>2.48</v>
      </c>
      <c r="I7" s="1">
        <f>VLOOKUP(4,Zadanie1_Zalacznik1_wspolczynniki79[[#All],[Kategoria]:[Elastyczność]],3,FALSE)</f>
        <v>2.0299999999999998</v>
      </c>
      <c r="J7" s="1">
        <f>VLOOKUP(5,Zadanie1_Zalacznik1_wspolczynniki79[[#All],[Kategoria]:[Elastyczność]],3,FALSE)</f>
        <v>1.01</v>
      </c>
      <c r="K7" s="1">
        <f>VLOOKUP(Zadanie1_Zalacznik1_projekty68[[#This Row],[Zarz_ryzykiem]],Zadanie1_Zalacznik1_wspolczynniki79[[#All],[Kategoria]:[Zarządzanie ryzykiem]],4,FALSE)</f>
        <v>4.24</v>
      </c>
      <c r="L7" s="1">
        <f>VLOOKUP(Zadanie1_Zalacznik1_projekty68[[#This Row],[Spoj_zespołu]],Zadanie1_Zalacznik1_wspolczynniki79[#All],5,FALSE)</f>
        <v>4.38</v>
      </c>
      <c r="M7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1604.0265534388695</v>
      </c>
      <c r="N7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1443.9259336684192</v>
      </c>
      <c r="O7">
        <f>AVERAGE(Zadanie1_Zalacznik1_projekty68[[#This Row],[K min - lewo]],Zadanie1_Zalacznik1_projekty68[[#This Row],[K min - prawo]])</f>
        <v>1523.9762435536445</v>
      </c>
      <c r="P7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1912.4346471504227</v>
      </c>
      <c r="Q7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1716.5070488507192</v>
      </c>
      <c r="R7">
        <f>AVERAGE(Zadanie1_Zalacznik1_projekty68[[#This Row],[K max lewo]],Zadanie1_Zalacznik1_projekty68[[#This Row],[K max prawo]])</f>
        <v>1814.4708480005711</v>
      </c>
      <c r="S7">
        <f>AVERAGE(Zadanie1_Zalacznik1_projekty68[[#This Row],[K min średnia]],Zadanie1_Zalacznik1_projekty68[[#This Row],[K max średnia]])</f>
        <v>1669.2235457771078</v>
      </c>
      <c r="T7" s="4">
        <f>INT(Zadanie1_Zalacznik1_projekty68[[#This Row],[K ostateczne]]/(2.5*POWER(Zadanie1_Zalacznik1_projekty68[[#This Row],[K ostateczne]],$B$24)))</f>
        <v>3</v>
      </c>
      <c r="U7" s="1">
        <v>12</v>
      </c>
      <c r="V7" s="1">
        <f>Zadanie1_Zalacznik1_projekty68[[#This Row],[Nr_projektu]]</f>
        <v>6</v>
      </c>
      <c r="W7" s="1">
        <f>Zadanie1_Zalacznik1_projekty68[[#This Row],[P - minimalna liczba pracowników]]-Zadanie1_Zalacznik1_projekty68[[#This Row],[zatrudnieni w firmie]]</f>
        <v>-9</v>
      </c>
      <c r="X7" s="1">
        <f>Zadanie1_Zalacznik1_projekty68[[#This Row],[ile brakuje osób]]-W4</f>
        <v>-1</v>
      </c>
      <c r="Z7" s="3"/>
    </row>
    <row r="8" spans="1:29" x14ac:dyDescent="0.3">
      <c r="A8">
        <v>7</v>
      </c>
      <c r="B8">
        <v>35000</v>
      </c>
      <c r="C8">
        <v>42000</v>
      </c>
      <c r="D8" s="2">
        <v>3</v>
      </c>
      <c r="E8" s="2" t="s">
        <v>11</v>
      </c>
      <c r="F8" s="2">
        <v>4</v>
      </c>
      <c r="G8" s="2">
        <v>1</v>
      </c>
      <c r="H8" s="1">
        <f>VLOOKUP(Zadanie1_Zalacznik1_projekty68[[#This Row],[Typowość]],Zadanie1_Zalacznik1_wspolczynniki79[[Kategoria]:[Typowość]],2,FALSE)</f>
        <v>3.72</v>
      </c>
      <c r="I8" s="1">
        <f>VLOOKUP(4,Zadanie1_Zalacznik1_wspolczynniki79[[#All],[Kategoria]:[Elastyczność]],3,FALSE)</f>
        <v>2.0299999999999998</v>
      </c>
      <c r="J8" s="1">
        <f>VLOOKUP(4,Zadanie1_Zalacznik1_wspolczynniki79[[#All],[Kategoria]:[Elastyczność]],3,FALSE)</f>
        <v>2.0299999999999998</v>
      </c>
      <c r="K8" s="1">
        <f>VLOOKUP(Zadanie1_Zalacznik1_projekty68[[#This Row],[Zarz_ryzykiem]],Zadanie1_Zalacznik1_wspolczynniki79[[#All],[Kategoria]:[Zarządzanie ryzykiem]],4,FALSE)</f>
        <v>2.83</v>
      </c>
      <c r="L8" s="1">
        <f>VLOOKUP(Zadanie1_Zalacznik1_projekty68[[#This Row],[Spoj_zespołu]],Zadanie1_Zalacznik1_wspolczynniki79[#All],5,FALSE)</f>
        <v>5.48</v>
      </c>
      <c r="M8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1942.6562458425656</v>
      </c>
      <c r="N8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1942.6562458425656</v>
      </c>
      <c r="O8">
        <f>AVERAGE(Zadanie1_Zalacznik1_projekty68[[#This Row],[K min - lewo]],Zadanie1_Zalacznik1_projekty68[[#This Row],[K min - prawo]])</f>
        <v>1942.6562458425656</v>
      </c>
      <c r="P8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2175.3835495434164</v>
      </c>
      <c r="Q8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2175.3835495434164</v>
      </c>
      <c r="R8">
        <f>AVERAGE(Zadanie1_Zalacznik1_projekty68[[#This Row],[K max lewo]],Zadanie1_Zalacznik1_projekty68[[#This Row],[K max prawo]])</f>
        <v>2175.3835495434164</v>
      </c>
      <c r="S8">
        <f>AVERAGE(Zadanie1_Zalacznik1_projekty68[[#This Row],[K min średnia]],Zadanie1_Zalacznik1_projekty68[[#This Row],[K max średnia]])</f>
        <v>2059.019897692991</v>
      </c>
      <c r="T8" s="4">
        <f>INT(Zadanie1_Zalacznik1_projekty68[[#This Row],[K ostateczne]]/(2.5*POWER(Zadanie1_Zalacznik1_projekty68[[#This Row],[K ostateczne]],$B$24)))</f>
        <v>3</v>
      </c>
      <c r="U8" s="1">
        <v>12</v>
      </c>
      <c r="V8" s="1">
        <f>Zadanie1_Zalacznik1_projekty68[[#This Row],[Nr_projektu]]</f>
        <v>7</v>
      </c>
      <c r="W8" s="1">
        <f>Zadanie1_Zalacznik1_projekty68[[#This Row],[P - minimalna liczba pracowników]]-Zadanie1_Zalacznik1_projekty68[[#This Row],[zatrudnieni w firmie]]</f>
        <v>-9</v>
      </c>
      <c r="X8" s="1">
        <f>Zadanie1_Zalacznik1_projekty68[[#This Row],[ile brakuje osób]]-W5</f>
        <v>-1</v>
      </c>
      <c r="Z8" s="3">
        <v>3</v>
      </c>
      <c r="AA8">
        <f>SUM(T8:T11)</f>
        <v>12</v>
      </c>
      <c r="AB8" s="4">
        <f>12+AB2-AA8</f>
        <v>36</v>
      </c>
      <c r="AC8">
        <f>36+12</f>
        <v>48</v>
      </c>
    </row>
    <row r="9" spans="1:29" x14ac:dyDescent="0.3">
      <c r="A9">
        <v>8</v>
      </c>
      <c r="B9">
        <v>85000</v>
      </c>
      <c r="C9">
        <v>88000</v>
      </c>
      <c r="D9" s="2">
        <v>1</v>
      </c>
      <c r="E9" s="2" t="s">
        <v>12</v>
      </c>
      <c r="F9" s="2">
        <v>4</v>
      </c>
      <c r="G9" s="2">
        <v>4</v>
      </c>
      <c r="H9" s="1">
        <f>VLOOKUP(Zadanie1_Zalacznik1_projekty68[[#This Row],[Typowość]],Zadanie1_Zalacznik1_wspolczynniki79[[Kategoria]:[Typowość]],2,FALSE)</f>
        <v>6.2</v>
      </c>
      <c r="I9" s="1">
        <f>VLOOKUP(5,Zadanie1_Zalacznik1_wspolczynniki79[[#All],[Kategoria]:[Elastyczność]],3,FALSE)</f>
        <v>1.01</v>
      </c>
      <c r="J9" s="1">
        <f>VLOOKUP(5,Zadanie1_Zalacznik1_wspolczynniki79[[#All],[Kategoria]:[Elastyczność]],3,FALSE)</f>
        <v>1.01</v>
      </c>
      <c r="K9" s="1">
        <f>VLOOKUP(Zadanie1_Zalacznik1_projekty68[[#This Row],[Zarz_ryzykiem]],Zadanie1_Zalacznik1_wspolczynniki79[[#All],[Kategoria]:[Zarządzanie ryzykiem]],4,FALSE)</f>
        <v>2.83</v>
      </c>
      <c r="L9" s="1">
        <f>VLOOKUP(Zadanie1_Zalacznik1_projekty68[[#This Row],[Spoj_zespołu]],Zadanie1_Zalacznik1_wspolczynniki79[#All],5,FALSE)</f>
        <v>2.19</v>
      </c>
      <c r="M9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2737.3879387369038</v>
      </c>
      <c r="N9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2737.3879387369038</v>
      </c>
      <c r="O9">
        <f>AVERAGE(Zadanie1_Zalacznik1_projekty68[[#This Row],[K min - lewo]],Zadanie1_Zalacznik1_projekty68[[#This Row],[K min - prawo]])</f>
        <v>2737.3879387369038</v>
      </c>
      <c r="P9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2795.1765479845408</v>
      </c>
      <c r="Q9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2795.1765479845408</v>
      </c>
      <c r="R9">
        <f>AVERAGE(Zadanie1_Zalacznik1_projekty68[[#This Row],[K max lewo]],Zadanie1_Zalacznik1_projekty68[[#This Row],[K max prawo]])</f>
        <v>2795.1765479845408</v>
      </c>
      <c r="S9">
        <f>AVERAGE(Zadanie1_Zalacznik1_projekty68[[#This Row],[K min średnia]],Zadanie1_Zalacznik1_projekty68[[#This Row],[K max średnia]])</f>
        <v>2766.2822433607225</v>
      </c>
      <c r="T9" s="4">
        <f>INT(Zadanie1_Zalacznik1_projekty68[[#This Row],[K ostateczne]]/(2.5*POWER(Zadanie1_Zalacznik1_projekty68[[#This Row],[K ostateczne]],$B$24)))</f>
        <v>3</v>
      </c>
      <c r="U9" s="1">
        <v>12</v>
      </c>
      <c r="V9" s="1">
        <f>Zadanie1_Zalacznik1_projekty68[[#This Row],[Nr_projektu]]</f>
        <v>8</v>
      </c>
      <c r="W9" s="1">
        <f>Zadanie1_Zalacznik1_projekty68[[#This Row],[P - minimalna liczba pracowników]]-Zadanie1_Zalacznik1_projekty68[[#This Row],[zatrudnieni w firmie]]</f>
        <v>-9</v>
      </c>
      <c r="X9" s="1">
        <f>Zadanie1_Zalacznik1_projekty68[[#This Row],[ile brakuje osób]]-W6</f>
        <v>-1</v>
      </c>
      <c r="Z9" s="3"/>
    </row>
    <row r="10" spans="1:29" x14ac:dyDescent="0.3">
      <c r="A10">
        <v>9</v>
      </c>
      <c r="B10">
        <v>100000</v>
      </c>
      <c r="C10">
        <v>110000</v>
      </c>
      <c r="D10" s="2">
        <v>5</v>
      </c>
      <c r="E10" s="2" t="s">
        <v>13</v>
      </c>
      <c r="F10" s="2">
        <v>2</v>
      </c>
      <c r="G10" s="2">
        <v>5</v>
      </c>
      <c r="H10" s="1">
        <f>VLOOKUP(Zadanie1_Zalacznik1_projekty68[[#This Row],[Typowość]],Zadanie1_Zalacznik1_wspolczynniki79[[Kategoria]:[Typowość]],2,FALSE)</f>
        <v>1.24</v>
      </c>
      <c r="I10" s="1">
        <f>VLOOKUP(3,Zadanie1_Zalacznik1_wspolczynniki79[[#All],[Kategoria]:[Elastyczność]],3,FALSE)</f>
        <v>3.04</v>
      </c>
      <c r="J10" s="1">
        <f>VLOOKUP(4,Zadanie1_Zalacznik1_wspolczynniki79[[#All],[Kategoria]:[Elastyczność]],3,FALSE)</f>
        <v>2.0299999999999998</v>
      </c>
      <c r="K10" s="1">
        <f>VLOOKUP(Zadanie1_Zalacznik1_projekty68[[#This Row],[Zarz_ryzykiem]],Zadanie1_Zalacznik1_wspolczynniki79[[#All],[Kategoria]:[Zarządzanie ryzykiem]],4,FALSE)</f>
        <v>5.65</v>
      </c>
      <c r="L10" s="1">
        <f>VLOOKUP(Zadanie1_Zalacznik1_projekty68[[#This Row],[Spoj_zespołu]],Zadanie1_Zalacznik1_wspolczynniki79[#All],5,FALSE)</f>
        <v>1.1000000000000001</v>
      </c>
      <c r="M10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2629.3435238817206</v>
      </c>
      <c r="N10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2340.7084902269162</v>
      </c>
      <c r="O10">
        <f>AVERAGE(Zadanie1_Zalacznik1_projekty68[[#This Row],[K min - lewo]],Zadanie1_Zalacznik1_projekty68[[#This Row],[K min - prawo]])</f>
        <v>2485.0260070543181</v>
      </c>
      <c r="P10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2781.5151674097056</v>
      </c>
      <c r="Q10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2473.7930573095255</v>
      </c>
      <c r="R10">
        <f>AVERAGE(Zadanie1_Zalacznik1_projekty68[[#This Row],[K max lewo]],Zadanie1_Zalacznik1_projekty68[[#This Row],[K max prawo]])</f>
        <v>2627.6541123596153</v>
      </c>
      <c r="S10">
        <f>AVERAGE(Zadanie1_Zalacznik1_projekty68[[#This Row],[K min średnia]],Zadanie1_Zalacznik1_projekty68[[#This Row],[K max średnia]])</f>
        <v>2556.3400597069667</v>
      </c>
      <c r="T10" s="4">
        <f>INT(Zadanie1_Zalacznik1_projekty68[[#This Row],[K ostateczne]]/(2.5*POWER(Zadanie1_Zalacznik1_projekty68[[#This Row],[K ostateczne]],$B$24)))</f>
        <v>3</v>
      </c>
      <c r="U10" s="1">
        <v>12</v>
      </c>
      <c r="V10" s="1">
        <f>Zadanie1_Zalacznik1_projekty68[[#This Row],[Nr_projektu]]</f>
        <v>9</v>
      </c>
      <c r="W10" s="1">
        <f>Zadanie1_Zalacznik1_projekty68[[#This Row],[P - minimalna liczba pracowników]]-Zadanie1_Zalacznik1_projekty68[[#This Row],[zatrudnieni w firmie]]</f>
        <v>-9</v>
      </c>
      <c r="X10" s="1">
        <f>Zadanie1_Zalacznik1_projekty68[[#This Row],[ile brakuje osób]]-W7</f>
        <v>0</v>
      </c>
      <c r="Z10" s="3"/>
    </row>
    <row r="11" spans="1:29" x14ac:dyDescent="0.3">
      <c r="A11">
        <v>10</v>
      </c>
      <c r="B11">
        <v>75000</v>
      </c>
      <c r="C11">
        <v>90000</v>
      </c>
      <c r="D11" s="2">
        <v>4</v>
      </c>
      <c r="E11" s="2" t="s">
        <v>10</v>
      </c>
      <c r="F11" s="2">
        <v>5</v>
      </c>
      <c r="G11" s="2">
        <v>1</v>
      </c>
      <c r="H11" s="1">
        <f>VLOOKUP(Zadanie1_Zalacznik1_projekty68[[#This Row],[Typowość]],Zadanie1_Zalacznik1_wspolczynniki79[[Kategoria]:[Typowość]],2,FALSE)</f>
        <v>2.48</v>
      </c>
      <c r="I11" s="1">
        <f>VLOOKUP(4,Zadanie1_Zalacznik1_wspolczynniki79[[#All],[Kategoria]:[Elastyczność]],3,FALSE)</f>
        <v>2.0299999999999998</v>
      </c>
      <c r="J11" s="1">
        <f>VLOOKUP(5,Zadanie1_Zalacznik1_wspolczynniki79[[#All],[Kategoria]:[Elastyczność]],3,FALSE)</f>
        <v>1.01</v>
      </c>
      <c r="K11" s="1">
        <f>VLOOKUP(Zadanie1_Zalacznik1_projekty68[[#This Row],[Zarz_ryzykiem]],Zadanie1_Zalacznik1_wspolczynniki79[[#All],[Kategoria]:[Zarządzanie ryzykiem]],4,FALSE)</f>
        <v>1.41</v>
      </c>
      <c r="L11" s="1">
        <f>VLOOKUP(Zadanie1_Zalacznik1_projekty68[[#This Row],[Spoj_zespołu]],Zadanie1_Zalacznik1_wspolczynniki79[#All],5,FALSE)</f>
        <v>5.48</v>
      </c>
      <c r="M11">
        <f>$B$22*POWER(Zadanie1_Zalacznik1_projekty68[[#This Row],[Minimalna_długość_kodu]],$B$23+0.01*(Zadanie1_Zalacznik1_projekty68[[#This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2312.7767930288742</v>
      </c>
      <c r="N11">
        <f>$B$22*POWER(Zadanie1_Zalacznik1_projekty68[[#This Row],[Minimalna_długość_kodu]],$B$23+0.01*(Zadanie1_Zalacznik1_projekty68[[#This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2062.5671472119298</v>
      </c>
      <c r="O11">
        <f>AVERAGE(Zadanie1_Zalacznik1_projekty68[[#This Row],[K min - lewo]],Zadanie1_Zalacznik1_projekty68[[#This Row],[K min - prawo]])</f>
        <v>2187.671970120402</v>
      </c>
      <c r="P11">
        <f>$B$22*POWER(Zadanie1_Zalacznik1_projekty68[[#This Row],[Maksymalna_długość_kodu]],$B$23+0.01*(Zadanie1_Zalacznik1_projekty68[[#This Row],[typowość - wartość]]+Zadanie1_Zalacznik1_projekty68[[#This Row],[elastyczność lewy - wartość]]+Zadanie1_Zalacznik1_projekty68[[#This Row],[zarządzanie ryz - wartość]]+Zadanie1_Zalacznik1_projekty68[[#This Row],[spójność - wartość]]))</f>
        <v>2577.3142858331744</v>
      </c>
      <c r="Q11">
        <f>$B$22*POWER(Zadanie1_Zalacznik1_projekty68[[#This Row],[Maksymalna_długość_kodu]],$B$23+0.01*(Zadanie1_Zalacznik1_projekty68[[#This Row],[typowość - wartość]]+Zadanie1_Zalacznik1_projekty68[[#This Row],[elastyczność prawy - wartość]]+Zadanie1_Zalacznik1_projekty68[[#This Row],[zarządzanie ryz - wartość]]+Zadanie1_Zalacznik1_projekty68[[#This Row],[spójność - wartość]]))</f>
        <v>2294.214960325095</v>
      </c>
      <c r="R11">
        <f>AVERAGE(Zadanie1_Zalacznik1_projekty68[[#This Row],[K max lewo]],Zadanie1_Zalacznik1_projekty68[[#This Row],[K max prawo]])</f>
        <v>2435.7646230791347</v>
      </c>
      <c r="S11">
        <f>AVERAGE(Zadanie1_Zalacznik1_projekty68[[#This Row],[K min średnia]],Zadanie1_Zalacznik1_projekty68[[#This Row],[K max średnia]])</f>
        <v>2311.7182965997681</v>
      </c>
      <c r="T11" s="4">
        <f>INT(Zadanie1_Zalacznik1_projekty68[[#This Row],[K ostateczne]]/(2.5*POWER(Zadanie1_Zalacznik1_projekty68[[#This Row],[K ostateczne]],$B$24)))</f>
        <v>3</v>
      </c>
      <c r="U11" s="1">
        <v>12</v>
      </c>
      <c r="V11" s="1">
        <f>Zadanie1_Zalacznik1_projekty68[[#This Row],[Nr_projektu]]</f>
        <v>10</v>
      </c>
      <c r="W11" s="1">
        <f>Zadanie1_Zalacznik1_projekty68[[#This Row],[P - minimalna liczba pracowników]]-Zadanie1_Zalacznik1_projekty68[[#This Row],[zatrudnieni w firmie]]</f>
        <v>-9</v>
      </c>
      <c r="X11" s="1">
        <f>Zadanie1_Zalacznik1_projekty68[[#This Row],[ile brakuje osób]]-W8</f>
        <v>0</v>
      </c>
      <c r="Z11" s="3"/>
    </row>
    <row r="12" spans="1:29" x14ac:dyDescent="0.3">
      <c r="E12" s="1"/>
    </row>
    <row r="14" spans="1:29" x14ac:dyDescent="0.3">
      <c r="A14" t="s">
        <v>14</v>
      </c>
      <c r="B14" t="s">
        <v>3</v>
      </c>
      <c r="C14" t="s">
        <v>4</v>
      </c>
      <c r="D14" t="s">
        <v>15</v>
      </c>
      <c r="E14" t="s">
        <v>16</v>
      </c>
      <c r="U14">
        <f>SUM(T2:T4)</f>
        <v>11</v>
      </c>
    </row>
    <row r="15" spans="1:29" x14ac:dyDescent="0.3">
      <c r="A15" s="1">
        <v>1</v>
      </c>
      <c r="B15">
        <v>6.2</v>
      </c>
      <c r="C15">
        <v>5.07</v>
      </c>
      <c r="D15">
        <v>7.07</v>
      </c>
      <c r="E15">
        <v>5.48</v>
      </c>
      <c r="H15" t="str">
        <f>LEFT(E2,1)</f>
        <v>1</v>
      </c>
      <c r="U15">
        <f>SUM(T5:T7)</f>
        <v>11</v>
      </c>
    </row>
    <row r="16" spans="1:29" x14ac:dyDescent="0.3">
      <c r="A16" s="1">
        <v>2</v>
      </c>
      <c r="B16">
        <v>4.96</v>
      </c>
      <c r="C16">
        <v>4.05</v>
      </c>
      <c r="D16">
        <v>5.65</v>
      </c>
      <c r="E16">
        <v>4.38</v>
      </c>
      <c r="H16" t="str">
        <f t="shared" ref="H16:H26" si="0">LEFT(E3,1)</f>
        <v>2</v>
      </c>
      <c r="U16">
        <f>SUM(T8:T11)</f>
        <v>12</v>
      </c>
    </row>
    <row r="17" spans="1:8" x14ac:dyDescent="0.3">
      <c r="A17" s="1">
        <v>3</v>
      </c>
      <c r="B17">
        <v>3.72</v>
      </c>
      <c r="C17">
        <v>3.04</v>
      </c>
      <c r="D17">
        <v>4.24</v>
      </c>
      <c r="E17">
        <v>3.29</v>
      </c>
      <c r="H17" t="str">
        <f t="shared" si="0"/>
        <v>3</v>
      </c>
    </row>
    <row r="18" spans="1:8" x14ac:dyDescent="0.3">
      <c r="A18" s="1">
        <v>4</v>
      </c>
      <c r="B18">
        <v>2.48</v>
      </c>
      <c r="C18">
        <v>2.0299999999999998</v>
      </c>
      <c r="D18">
        <v>2.83</v>
      </c>
      <c r="E18">
        <v>2.19</v>
      </c>
      <c r="H18" t="str">
        <f t="shared" si="0"/>
        <v>2</v>
      </c>
    </row>
    <row r="19" spans="1:8" x14ac:dyDescent="0.3">
      <c r="A19" s="1">
        <v>5</v>
      </c>
      <c r="B19">
        <v>1.24</v>
      </c>
      <c r="C19">
        <v>1.01</v>
      </c>
      <c r="D19">
        <v>1.41</v>
      </c>
      <c r="E19">
        <v>1.1000000000000001</v>
      </c>
      <c r="H19" t="str">
        <f t="shared" si="0"/>
        <v>4</v>
      </c>
    </row>
    <row r="20" spans="1:8" x14ac:dyDescent="0.3">
      <c r="H20" t="str">
        <f t="shared" si="0"/>
        <v>4</v>
      </c>
    </row>
    <row r="21" spans="1:8" x14ac:dyDescent="0.3">
      <c r="H21" t="str">
        <f t="shared" si="0"/>
        <v>4</v>
      </c>
    </row>
    <row r="22" spans="1:8" x14ac:dyDescent="0.3">
      <c r="A22" t="s">
        <v>17</v>
      </c>
      <c r="B22">
        <v>2.94</v>
      </c>
      <c r="H22" t="str">
        <f t="shared" si="0"/>
        <v>5</v>
      </c>
    </row>
    <row r="23" spans="1:8" x14ac:dyDescent="0.3">
      <c r="A23" t="s">
        <v>18</v>
      </c>
      <c r="B23">
        <v>0.48</v>
      </c>
      <c r="H23" t="str">
        <f>LEFT(E10,1)</f>
        <v>3</v>
      </c>
    </row>
    <row r="24" spans="1:8" x14ac:dyDescent="0.3">
      <c r="A24" t="s">
        <v>19</v>
      </c>
      <c r="B24">
        <v>0.71</v>
      </c>
      <c r="H24" t="str">
        <f t="shared" si="0"/>
        <v>4</v>
      </c>
    </row>
    <row r="25" spans="1:8" x14ac:dyDescent="0.3">
      <c r="H25" t="str">
        <f>LEFT(E12,1)</f>
        <v/>
      </c>
    </row>
    <row r="26" spans="1:8" x14ac:dyDescent="0.3">
      <c r="H26" t="str">
        <f t="shared" si="0"/>
        <v/>
      </c>
    </row>
  </sheetData>
  <mergeCells count="3">
    <mergeCell ref="Z2:Z4"/>
    <mergeCell ref="Z5:Z7"/>
    <mergeCell ref="Z8:Z1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K m h b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q a F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h b U k 6 P w D o 4 A g A A N R U A A B M A H A B G b 3 J t d W x h c y 9 T Z W N 0 a W 9 u M S 5 t I K I Y A C i g F A A A A A A A A A A A A A A A A A A A A A A A A A A A A O 2 W X 2 / T M B D A n 6 n U 7 2 B l L 6 m U V X R s I I H y M L V D T L B 2 0 P K S B V V e c h Q 3 i S + y n X V O t Z d J i A / B x + g T E m 9 d v x d u u 9 H u j 7 Z J T C q w 5 C W 2 7 3 y + O / 9 0 Z w m B Y s h J e / 6 v v S q X y i X 5 h Q o I y Z r l 0 Z B y B r V 1 j 8 Y 0 y D m L a u u p w D 5 E S l v E J T G o c o m Y b / J D j E f h 5 B T N Y l 0 e V R s Y Z A l w Z b 9 m M V T r y J W Z S N u q v / Q / S h D S Z z 0 U f b 8 B M l K Y + l 6 j 9 a 6 5 S z y y 3 9 p r f f C 2 / Z p / 2 9 F V d a y s i n P Q g J g l T I F w r S e W Q + o Y Z w m X 7 g u H 7 P A A Q 8 Z 7 b m 1 j 6 6 l D 3 m e o o K 1 0 D O 5 i W G 0 i h 0 8 V Z x 7 B m t W k v c n p e D S I G E G S Y j j Q k 5 8 y R 6 4 T M 8 s Z J g y m M X f o o d m 7 L z A x h t 4 A D U 0 4 9 u / 4 H X J w L t q O 4 3 Z g f B f S V S J b P s g z l r h J N h K l 0 4 X J j q B c f k a R z O P o 6 B S k f T + 3 n O H Q a o r u e X 4 y k 4 t d r p 5 v V q c 2 T h w y t P Y Y Z w m N O e 0 a J 7 M e T r 6 f f e t G G N 6 k S i O p 7 6 l r B j i Y K V y X 7 c R U K m 1 u 7 k J u g g W i 4 F j N x B 4 V e V f o X E c M k u u 7 2 y n 2 u z n I F I 0 P l 8 U n l X K J 8 Z u T e T e + A 2 M y D n L N z Y y t g O F L 5 9 8 B 8 t a j B P k t V W A y y + g d v M 1 4 4 l l y C O I W 4 J Y U p s i d f Q 3 z 6 Z 2 Q J f S u 6 r X T 8 a g / t 0 K W E F x W e 0 A G i b 1 R K T g s O F w B h x f 9 d E U I F u 2 8 a O c P 2 s 6 J / a w o p X 8 j z I + p l K 4 E w a K U F q X 0 T 0 v p A u H N A u E C 4 X 8 R 4 S u v g Z V w X L w G / v v X w C 9 Q S w E C L Q A U A A I A C A A q a F t S P B A V I q Y A A A D 5 A A A A E g A A A A A A A A A A A A A A A A A A A A A A Q 2 9 u Z m l n L 1 B h Y 2 t h Z 2 U u e G 1 s U E s B A i 0 A F A A C A A g A K m h b U g / K 6 a u k A A A A 6 Q A A A B M A A A A A A A A A A A A A A A A A 8 g A A A F t D b 2 5 0 Z W 5 0 X 1 R 5 c G V z X S 5 4 b W x Q S w E C L Q A U A A I A C A A q a F t S T o / A O j g C A A A 1 F Q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Y g A A A A A A A F t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h Z G F u a W U x X 1 p h b G F j e m 5 p a z F f c H J v a m V r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E 6 M T I 6 M T A u M T A 0 N T M 1 O F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c H J v a m V r d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c H J v a m V r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k Z p b G x U Y X J n Z X Q i I F Z h b H V l P S J z W m F k Y W 5 p Z T F f W m F s Y W N 6 b m l r M V 9 3 c 3 B v b G N 6 e W 5 u a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E 6 M T I 6 M z k u N z M 0 M z A z M 1 o i I C 8 + P E V u d H J 5 I F R 5 c G U 9 I k Z p b G x D b 2 x 1 b W 5 U e X B l c y I g V m F s d W U 9 I n N B d 1 V G Q l F V P S I g L z 4 8 R W 5 0 c n k g V H l w Z T 0 i R m l s b E N v b H V t b k 5 h b W V z I i B W Y W x 1 Z T 0 i c 1 s m c X V v d D t L Y X R l Z 2 9 y a W E m c X V v d D s s J n F 1 b 3 Q 7 V H l w b 3 d v x Z v E h y Z x d W 9 0 O y w m c X V v d D t F b G F z d H l j e m 5 v x Z v E h y Z x d W 9 0 O y w m c X V v d D t a Y X J 6 x I V k e m F u a W U g c n l 6 e W t p Z W 0 m c X V v d D s s J n F 1 b 3 Q 7 U 3 D D s 2 p u b 8 W b x I c g e m V z c G / F g n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a Y W R h b m l l M V 9 a Y W x h Y 3 p u a W s x X 3 d z c G 9 s Y 3 p 5 b m 5 p a 2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T o x M j o z O S 4 3 M z Q z M D M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p h Z G F u a W U x X 1 p h b G F j e m 5 p a z F f c H J v a m V r d H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T o x M j o x M C 4 x M D Q 1 M z U 4 W i I g L z 4 8 R W 5 0 c n k g V H l w Z T 0 i R m l s b E N v b H V t b l R 5 c G V z I i B W Y W x 1 Z T 0 i c 0 F 3 T U R B d 1 l E Q X c 9 P S I g L z 4 8 R W 5 0 c n k g V H l w Z T 0 i R m l s b E N v b H V t b k 5 h b W V z I i B W Y W x 1 Z T 0 i c 1 s m c X V v d D t O c l 9 w c m 9 q Z W t 0 d S Z x d W 9 0 O y w m c X V v d D t N a W 5 p b W F s b m F f Z M W C d W d v x Z v E h 1 9 r b 2 R 1 J n F 1 b 3 Q 7 L C Z x d W 9 0 O 0 1 h a 3 N 5 b W F s b m F f Z M W C d W d v x Z v E h 1 9 r b 2 R 1 J n F 1 b 3 Q 7 L C Z x d W 9 0 O 1 R 5 c G 9 3 b 8 W b x I c m c X V v d D s s J n F 1 b 3 Q 7 R W x h c 3 R 5 Y 3 p u b 8 W b x I c m c X V v d D s s J n F 1 b 3 Q 7 W m F y e l 9 y e X p 5 a 2 l l b S Z x d W 9 0 O y w m c X V v d D t T c G 9 q X 3 p l c 3 B v x Y J 1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a Y W R h b m l l M V 9 a Y W x h Y 3 p u a W s x X 3 d z c G 9 s Y 3 p 5 b m 5 p a 2 k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T o x M j o z O S 4 3 M z Q z M D M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p h Z G F u a W U x X 1 p h b G F j e m 5 p a z F f c H J v a m V r d H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T o x M j o x M C 4 x M D Q 1 M z U 4 W i I g L z 4 8 R W 5 0 c n k g V H l w Z T 0 i R m l s b E N v b H V t b l R 5 c G V z I i B W Y W x 1 Z T 0 i c 0 F 3 T U R B d 1 l E Q X c 9 P S I g L z 4 8 R W 5 0 c n k g V H l w Z T 0 i R m l s b E N v b H V t b k 5 h b W V z I i B W Y W x 1 Z T 0 i c 1 s m c X V v d D t O c l 9 w c m 9 q Z W t 0 d S Z x d W 9 0 O y w m c X V v d D t N a W 5 p b W F s b m F f Z M W C d W d v x Z v E h 1 9 r b 2 R 1 J n F 1 b 3 Q 7 L C Z x d W 9 0 O 0 1 h a 3 N 5 b W F s b m F f Z M W C d W d v x Z v E h 1 9 r b 2 R 1 J n F 1 b 3 Q 7 L C Z x d W 9 0 O 1 R 5 c G 9 3 b 8 W b x I c m c X V v d D s s J n F 1 b 3 Q 7 R W x h c 3 R 5 Y 3 p u b 8 W b x I c m c X V v d D s s J n F 1 b 3 Q 7 W m F y e l 9 y e X p 5 a 2 l l b S Z x d W 9 0 O y w m c X V v d D t T c G 9 q X 3 p l c 3 B v x Y J 1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W m F k Y W 5 p Z T F f W m F s Y W N 6 b m l r M V 9 w c m 9 q Z W t 0 e T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I t M j d U M T E 6 M T I 6 M T A u M T A 0 N T M 1 O F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a Y W R h b m l l M V 9 a Y W x h Y 3 p u a W s x X 3 d z c G 9 s Y 3 p 5 b m 5 p a 2 k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I 3 V D E x O j E y O j M 5 L j c z N D M w M z N a I i A v P j x F b n R y e S B U e X B l P S J G a W x s Q 2 9 s d W 1 u V H l w Z X M i I F Z h b H V l P S J z Q X d V R k J R V T 0 i I C 8 + P E V u d H J 5 I F R 5 c G U 9 I k Z p b G x D b 2 x 1 b W 5 O Y W 1 l c y I g V m F s d W U 9 I n N b J n F 1 b 3 Q 7 S 2 F 0 Z W d v c m l h J n F 1 b 3 Q 7 L C Z x d W 9 0 O 1 R 5 c G 9 3 b 8 W b x I c m c X V v d D s s J n F 1 b 3 Q 7 R W x h c 3 R 5 Y 3 p u b 8 W b x I c m c X V v d D s s J n F 1 b 3 Q 7 W m F y e s S F Z H p h b m l l I H J 5 e n l r a W V t J n F 1 b 3 Q 7 L C Z x d W 9 0 O 1 N w w 7 N q b m / F m 8 S H I H p l c 3 B v x Y J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9 j p X 1 W n b Q b l J 1 e 9 y k c O J A A A A A A I A A A A A A B B m A A A A A Q A A I A A A A P v 5 j C 4 f u 7 y V p Q H x 3 m N c I W s / f n + 4 p y a Z M G c O / 1 T T 2 x w R A A A A A A 6 A A A A A A g A A I A A A A D 5 O D U K x w S h 4 9 m r q Z m j k m C w J y j E X Q J 2 W Z C 6 J 8 l C O 3 R u l U A A A A F t R 9 C x L a B p X Q 3 j j D p B o 8 x Y P j W P r a + K 0 D 6 c J D h 3 y D H N F e 5 R o G H k l c l z t X D u q Z s 8 B 4 + e + 5 p l / X n 6 O T G H 6 S 4 d n 5 j z n E K s c K F A 5 K n u 1 Q l K h x n X 7 Q A A A A P k r O N Z e h 6 K s V s 0 F u k l X K o L d L / 5 u h P z D 8 w z Y k E U j L M l 8 9 P g 3 d t z D P / V I n Y m U t 7 L p 7 x 1 E M b e g s q W E 1 h u B 7 M 5 g n 2 k = < / D a t a M a s h u p > 
</file>

<file path=customXml/itemProps1.xml><?xml version="1.0" encoding="utf-8"?>
<ds:datastoreItem xmlns:ds="http://schemas.openxmlformats.org/officeDocument/2006/customXml" ds:itemID="{1889435E-BEA5-4007-8E56-CEB33F5F0D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3</vt:lpstr>
      <vt:lpstr>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2021-02-27T12:45:27Z</dcterms:modified>
</cp:coreProperties>
</file>